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filterPrivacy="1" codeName="ThisWorkbook" hidePivotFieldList="1"/>
  <xr:revisionPtr revIDLastSave="0" documentId="13_ncr:1_{50E2BC89-BA40-4B7D-9D88-D1CF9F453FB5}" xr6:coauthVersionLast="47" xr6:coauthVersionMax="47" xr10:uidLastSave="{00000000-0000-0000-0000-000000000000}"/>
  <bookViews>
    <workbookView xWindow="-108" yWindow="492" windowWidth="23256" windowHeight="12576" tabRatio="878" xr2:uid="{00000000-000D-0000-FFFF-FFFF00000000}"/>
  </bookViews>
  <sheets>
    <sheet name="Cost Assumptions&gt;&gt;&gt;" sheetId="2" r:id="rId1"/>
    <sheet name="USD to CAD" sheetId="129" r:id="rId2"/>
    <sheet name="Global Parameters" sheetId="3" r:id="rId3"/>
    <sheet name="Annual Event Hours" sheetId="12" r:id="rId4"/>
    <sheet name="Program Life" sheetId="13" r:id="rId5"/>
    <sheet name="Avoided Costs" sheetId="67" r:id="rId6"/>
    <sheet name="Line Losses" sheetId="4" r:id="rId7"/>
    <sheet name="Program Development Costs" sheetId="5" r:id="rId8"/>
    <sheet name="Program Dev Costs_assumptions" sheetId="137" r:id="rId9"/>
    <sheet name="Program Admin Costs" sheetId="7" r:id="rId10"/>
    <sheet name="Program Admin Costs_assumptions" sheetId="138" r:id="rId11"/>
    <sheet name="Marketing &amp; Recruitment Costs" sheetId="8" r:id="rId12"/>
    <sheet name="Mkting &amp; Recruit Costs_assump" sheetId="139" r:id="rId13"/>
    <sheet name="Tech Enablement Costs" sheetId="108" r:id="rId14"/>
    <sheet name="Tech Enablement Backup 1.5" sheetId="145" state="hidden" r:id="rId15"/>
    <sheet name="Tech Enablement Backup 2" sheetId="147" state="hidden" r:id="rId16"/>
    <sheet name="Incentives" sheetId="109" r:id="rId17"/>
    <sheet name="Program Delivery Cost" sheetId="9" r:id="rId18"/>
    <sheet name="O&amp;M Costs" sheetId="11" r:id="rId19"/>
    <sheet name="Cost Test Matrix" sheetId="15" r:id="rId20"/>
    <sheet name="Participation Assumptions&gt;&gt;&gt;" sheetId="16" r:id="rId21"/>
    <sheet name="Participation Assumptions" sheetId="113" r:id="rId22"/>
    <sheet name="Control Strategy Eligibility" sheetId="105" r:id="rId23"/>
    <sheet name="ProCESS CSE" sheetId="143" state="hidden" r:id="rId24"/>
    <sheet name="Participation Ramp Factor" sheetId="19" r:id="rId25"/>
    <sheet name="Attrition" sheetId="20" r:id="rId26"/>
    <sheet name="Peak Demand Forecast &gt;&gt;&gt;" sheetId="31" r:id="rId27"/>
    <sheet name="Winter Peak Load" sheetId="60" r:id="rId28"/>
    <sheet name="Customer Count Projections  &gt;&gt;&gt;" sheetId="37" r:id="rId29"/>
    <sheet name="Customer Count" sheetId="59" r:id="rId30"/>
    <sheet name="Unit Impacts &gt;&gt;&gt;" sheetId="39" r:id="rId31"/>
    <sheet name="Unit Impact by End Use" sheetId="40" r:id="rId32"/>
    <sheet name="Opt Out Factor" sheetId="21" r:id="rId33"/>
    <sheet name="End Use Saturation &gt;&gt;&gt;" sheetId="41" r:id="rId34"/>
    <sheet name="End Use Saturation" sheetId="42" r:id="rId35"/>
    <sheet name="Battery Load Forecasts" sheetId="102" r:id="rId36"/>
    <sheet name="Battery Saturation &amp; Unit Load" sheetId="101" r:id="rId37"/>
    <sheet name="EditableIndexes" sheetId="55" state="hidden" r:id="rId38"/>
  </sheets>
  <externalReferences>
    <externalReference r:id="rId39"/>
    <externalReference r:id="rId40"/>
    <externalReference r:id="rId41"/>
  </externalReferences>
  <definedNames>
    <definedName name="_xlnm._FilterDatabase" localSheetId="3" hidden="1">'Annual Event Hours'!$B$4:$C$8</definedName>
    <definedName name="_xlnm._FilterDatabase" localSheetId="25" hidden="1">Attrition!$A$3:$R$3</definedName>
    <definedName name="_xlnm._FilterDatabase" localSheetId="36" hidden="1">'Battery Saturation &amp; Unit Load'!$A$3:$U$25</definedName>
    <definedName name="_xlnm._FilterDatabase" localSheetId="22" hidden="1">'Control Strategy Eligibility'!$A$3:$AP$645</definedName>
    <definedName name="_xlnm._FilterDatabase" localSheetId="29" hidden="1">'Customer Count'!$A$3:$Z$26</definedName>
    <definedName name="_xlnm._FilterDatabase" localSheetId="37" hidden="1">EditableIndexes!$O$4:$O$9</definedName>
    <definedName name="_xlnm._FilterDatabase" localSheetId="34" hidden="1">'End Use Saturation'!$A$4:$T$102</definedName>
    <definedName name="_xlnm._FilterDatabase" localSheetId="2" hidden="1">'Global Parameters'!$A$3:$F$10</definedName>
    <definedName name="_xlnm._FilterDatabase" localSheetId="16" hidden="1">Incentives!$A$3:$G$195</definedName>
    <definedName name="_xlnm._FilterDatabase" localSheetId="6" hidden="1">'Line Losses'!$A$3:$P$3</definedName>
    <definedName name="_xlnm._FilterDatabase" localSheetId="11" hidden="1">'Marketing &amp; Recruitment Costs'!$A$3:$F$177</definedName>
    <definedName name="_xlnm._FilterDatabase" localSheetId="12" hidden="1">'Mkting &amp; Recruit Costs_assump'!$A$3:$M$261</definedName>
    <definedName name="_xlnm._FilterDatabase" localSheetId="18" hidden="1">'O&amp;M Costs'!$A$3:$E$97</definedName>
    <definedName name="_xlnm._FilterDatabase" localSheetId="32" hidden="1">'Opt Out Factor'!$A$3:$D$97</definedName>
    <definedName name="_xlnm._FilterDatabase" localSheetId="21" hidden="1">'Participation Assumptions'!$A$4:$K$325</definedName>
    <definedName name="_xlnm._FilterDatabase" localSheetId="24" hidden="1">'Participation Ramp Factor'!$A$3:$Q$97</definedName>
    <definedName name="_xlnm._FilterDatabase" localSheetId="23" hidden="1">'ProCESS CSE'!$A$1:$Y$31</definedName>
    <definedName name="_xlnm._FilterDatabase" localSheetId="9" hidden="1">'Program Admin Costs'!$A$3:$E$16</definedName>
    <definedName name="_xlnm._FilterDatabase" localSheetId="10" hidden="1">'Program Admin Costs_assumptions'!$A$3:$K$22</definedName>
    <definedName name="_xlnm._FilterDatabase" localSheetId="17" hidden="1">'Program Delivery Cost'!$A$3:$F$29</definedName>
    <definedName name="_xlnm._FilterDatabase" localSheetId="8" hidden="1">'Program Dev Costs_assumptions'!$A$3:$V$9</definedName>
    <definedName name="_xlnm._FilterDatabase" localSheetId="7" hidden="1">'Program Development Costs'!$A$3:$P$9</definedName>
    <definedName name="_xlnm._FilterDatabase" localSheetId="4" hidden="1">'Program Life'!$A$4:$B$8</definedName>
    <definedName name="_xlnm._FilterDatabase" localSheetId="14" hidden="1">'Tech Enablement Backup 1.5'!$M$23:$X$49</definedName>
    <definedName name="_xlnm._FilterDatabase" localSheetId="15" hidden="1">'Tech Enablement Backup 2'!$M$23:$X$49</definedName>
    <definedName name="_xlnm._FilterDatabase" localSheetId="13" hidden="1">'Tech Enablement Costs'!$A$3:$F$177</definedName>
    <definedName name="_xlnm._FilterDatabase" localSheetId="31" hidden="1">'Unit Impact by End Use'!$A$3:$O$97</definedName>
    <definedName name="_xlnm._FilterDatabase" localSheetId="27" hidden="1">'Winter Peak Load'!$A$3:$W$31</definedName>
    <definedName name="CustSeg">'[1]GI Scripts'!$D$5:$D$36</definedName>
    <definedName name="EndUse">'[1]GI Scripts'!$E$5:$E$26</definedName>
    <definedName name="EndUseMap">'[2]Subscript Maps'!$K$5:$L$29</definedName>
    <definedName name="ImpactType">[3]Indexes!$P$3:$P$5</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RegionMap">'[2]Subscript Maps'!$C$5:$D$8</definedName>
    <definedName name="SegMap">'[2]Subscript Maps'!$I$5:$J$40</definedName>
    <definedName name="utility">'[2]Subscript Maps'!$A$5:$B$11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0" i="139" l="1"/>
  <c r="F18" i="139"/>
  <c r="I94" i="19" l="1"/>
  <c r="H94" i="19"/>
  <c r="G94" i="19"/>
  <c r="F94" i="19"/>
  <c r="E94" i="19"/>
  <c r="D94" i="19"/>
  <c r="C94" i="19"/>
  <c r="W2" i="143"/>
  <c r="Y2" i="143"/>
  <c r="W3" i="143"/>
  <c r="Y3" i="143"/>
  <c r="W4" i="143"/>
  <c r="Y4" i="143"/>
  <c r="W5" i="143"/>
  <c r="Y5" i="143"/>
  <c r="W6" i="143"/>
  <c r="Y6" i="143"/>
  <c r="W7" i="143"/>
  <c r="Y7" i="143"/>
  <c r="W8" i="143"/>
  <c r="Y8" i="143"/>
  <c r="W9" i="143"/>
  <c r="Y9" i="143"/>
  <c r="W10" i="143"/>
  <c r="Y10" i="143"/>
  <c r="W11" i="143"/>
  <c r="Y11" i="143"/>
  <c r="W12" i="143"/>
  <c r="Y12" i="143"/>
  <c r="W13" i="143"/>
  <c r="Y13" i="143"/>
  <c r="W14" i="143"/>
  <c r="Y14" i="143"/>
  <c r="W15" i="143"/>
  <c r="Y15" i="143"/>
  <c r="W16" i="143"/>
  <c r="Y16" i="143"/>
  <c r="W17" i="143"/>
  <c r="Y17" i="143"/>
  <c r="W18" i="143"/>
  <c r="Y18" i="143"/>
  <c r="W19" i="143"/>
  <c r="Y19" i="143"/>
  <c r="W20" i="143"/>
  <c r="Y20" i="143"/>
  <c r="W21" i="143"/>
  <c r="Y21" i="143"/>
  <c r="W22" i="143"/>
  <c r="Y22" i="143"/>
  <c r="W23" i="143"/>
  <c r="Y23" i="143"/>
  <c r="W24" i="143"/>
  <c r="Y24" i="143"/>
  <c r="W25" i="143"/>
  <c r="Y25" i="143"/>
  <c r="W26" i="143"/>
  <c r="Y26" i="143"/>
  <c r="W27" i="143"/>
  <c r="Y27" i="143"/>
  <c r="W28" i="143"/>
  <c r="Y28" i="143"/>
  <c r="W29" i="143"/>
  <c r="Y29" i="143"/>
  <c r="W30" i="143"/>
  <c r="Y30" i="143"/>
  <c r="W31" i="143"/>
  <c r="Y24" i="145"/>
  <c r="G80" i="147"/>
  <c r="G81" i="147"/>
  <c r="G82" i="147"/>
  <c r="G83" i="147"/>
  <c r="H31" i="147" s="1"/>
  <c r="G84" i="147"/>
  <c r="G85" i="147"/>
  <c r="G86" i="147"/>
  <c r="G87" i="147"/>
  <c r="H35" i="147" s="1"/>
  <c r="G88" i="147"/>
  <c r="G89" i="147"/>
  <c r="G79" i="147"/>
  <c r="F80" i="147"/>
  <c r="F81" i="147"/>
  <c r="F82" i="147"/>
  <c r="F83" i="147"/>
  <c r="F84" i="147"/>
  <c r="F85" i="147"/>
  <c r="F86" i="147"/>
  <c r="F87" i="147"/>
  <c r="F88" i="147"/>
  <c r="F89" i="147"/>
  <c r="F79" i="147"/>
  <c r="E80" i="147"/>
  <c r="E81" i="147"/>
  <c r="E82" i="147"/>
  <c r="E83" i="147"/>
  <c r="E84" i="147"/>
  <c r="E85" i="147"/>
  <c r="E86" i="147"/>
  <c r="E87" i="147"/>
  <c r="E88" i="147"/>
  <c r="E89" i="147"/>
  <c r="E79" i="147"/>
  <c r="X39" i="147" a="1"/>
  <c r="X39" i="147" s="1"/>
  <c r="X27" i="147" a="1"/>
  <c r="X27" i="147" s="1"/>
  <c r="Z27" i="147" s="1"/>
  <c r="X26" i="147" a="1"/>
  <c r="X26" i="147" s="1"/>
  <c r="Z26" i="147" s="1"/>
  <c r="X25" i="147" a="1"/>
  <c r="X25" i="147" s="1"/>
  <c r="H27" i="147"/>
  <c r="L24" i="147"/>
  <c r="S24" i="147"/>
  <c r="T24" i="147"/>
  <c r="U24" i="147"/>
  <c r="W24" i="147"/>
  <c r="X24" i="147" s="1" a="1"/>
  <c r="X24" i="147" s="1"/>
  <c r="Y24" i="147" s="1"/>
  <c r="Z24" i="147"/>
  <c r="L25" i="147"/>
  <c r="S25" i="147"/>
  <c r="T25" i="147"/>
  <c r="W25" i="147"/>
  <c r="Z25" i="147"/>
  <c r="L26" i="147"/>
  <c r="S26" i="147"/>
  <c r="T26" i="147"/>
  <c r="W26" i="147"/>
  <c r="Y26" i="147"/>
  <c r="I27" i="147"/>
  <c r="L27" i="147"/>
  <c r="S27" i="147"/>
  <c r="T27" i="147"/>
  <c r="W27" i="147"/>
  <c r="H28" i="147"/>
  <c r="I28" i="147"/>
  <c r="J28" i="147" s="1"/>
  <c r="L28" i="147"/>
  <c r="S28" i="147"/>
  <c r="T28" i="147"/>
  <c r="W28" i="147"/>
  <c r="X28" i="147" s="1" a="1"/>
  <c r="X28" i="147" s="1"/>
  <c r="Z28" i="147" s="1"/>
  <c r="H29" i="147"/>
  <c r="I29" i="147"/>
  <c r="J29" i="147" s="1"/>
  <c r="L29" i="147"/>
  <c r="S29" i="147"/>
  <c r="T29" i="147"/>
  <c r="W29" i="147"/>
  <c r="X29" i="147" s="1" a="1"/>
  <c r="X29" i="147" s="1"/>
  <c r="Z29" i="147" s="1"/>
  <c r="Y29" i="147"/>
  <c r="H30" i="147"/>
  <c r="I30" i="147"/>
  <c r="J30" i="147" s="1"/>
  <c r="L30" i="147"/>
  <c r="S30" i="147"/>
  <c r="T30" i="147"/>
  <c r="W30" i="147"/>
  <c r="X30" i="147" s="1" a="1"/>
  <c r="X30" i="147" s="1"/>
  <c r="Z30" i="147" s="1"/>
  <c r="Y30" i="147"/>
  <c r="I31" i="147"/>
  <c r="J31" i="147" s="1"/>
  <c r="L31" i="147"/>
  <c r="S31" i="147"/>
  <c r="T31" i="147"/>
  <c r="W31" i="147"/>
  <c r="X31" i="147" s="1" a="1"/>
  <c r="X31" i="147" s="1"/>
  <c r="H32" i="147"/>
  <c r="I32" i="147"/>
  <c r="J32" i="147" s="1"/>
  <c r="L32" i="147"/>
  <c r="S32" i="147"/>
  <c r="T32" i="147"/>
  <c r="W32" i="147"/>
  <c r="X32" i="147" s="1" a="1"/>
  <c r="X32" i="147" s="1"/>
  <c r="Z32" i="147" s="1"/>
  <c r="Y32" i="147"/>
  <c r="H33" i="147"/>
  <c r="I33" i="147"/>
  <c r="J33" i="147" s="1"/>
  <c r="L33" i="147"/>
  <c r="S33" i="147"/>
  <c r="T33" i="147"/>
  <c r="W33" i="147"/>
  <c r="X33" i="147" s="1" a="1"/>
  <c r="X33" i="147" s="1"/>
  <c r="Z33" i="147" s="1"/>
  <c r="Y33" i="147"/>
  <c r="H34" i="147"/>
  <c r="I34" i="147"/>
  <c r="J34" i="147" s="1"/>
  <c r="L34" i="147"/>
  <c r="S34" i="147"/>
  <c r="T34" i="147"/>
  <c r="W34" i="147"/>
  <c r="X34" i="147" s="1" a="1"/>
  <c r="X34" i="147" s="1"/>
  <c r="Z34" i="147" s="1"/>
  <c r="I35" i="147"/>
  <c r="J35" i="147" s="1"/>
  <c r="L35" i="147"/>
  <c r="S35" i="147"/>
  <c r="T35" i="147"/>
  <c r="W35" i="147"/>
  <c r="X35" i="147" s="1" a="1"/>
  <c r="X35" i="147" s="1"/>
  <c r="H36" i="147"/>
  <c r="I36" i="147"/>
  <c r="J36" i="147" s="1"/>
  <c r="L36" i="147"/>
  <c r="S36" i="147"/>
  <c r="T36" i="147"/>
  <c r="W36" i="147"/>
  <c r="X36" i="147" s="1" a="1"/>
  <c r="X36" i="147" s="1"/>
  <c r="Z36" i="147" s="1"/>
  <c r="Y36" i="147"/>
  <c r="H37" i="147"/>
  <c r="I37" i="147"/>
  <c r="J37" i="147" s="1"/>
  <c r="L37" i="147"/>
  <c r="S37" i="147"/>
  <c r="T37" i="147"/>
  <c r="W37" i="147"/>
  <c r="X37" i="147" s="1" a="1"/>
  <c r="X37" i="147" s="1"/>
  <c r="Z37" i="147" s="1"/>
  <c r="L38" i="147"/>
  <c r="S38" i="147"/>
  <c r="T38" i="147"/>
  <c r="W38" i="147"/>
  <c r="X38" i="147" s="1" a="1"/>
  <c r="X38" i="147" s="1"/>
  <c r="Z38" i="147" s="1"/>
  <c r="Y38" i="147"/>
  <c r="L39" i="147"/>
  <c r="S39" i="147"/>
  <c r="T39" i="147"/>
  <c r="W39" i="147"/>
  <c r="Y39" i="147"/>
  <c r="Z39" i="147"/>
  <c r="L40" i="147"/>
  <c r="S40" i="147"/>
  <c r="T40" i="147"/>
  <c r="W40" i="147"/>
  <c r="X40" i="147" s="1" a="1"/>
  <c r="X40" i="147" s="1"/>
  <c r="Z40" i="147" s="1"/>
  <c r="Y40" i="147"/>
  <c r="L41" i="147"/>
  <c r="S41" i="147"/>
  <c r="T41" i="147"/>
  <c r="W41" i="147"/>
  <c r="X41" i="147" s="1" a="1"/>
  <c r="X41" i="147" s="1"/>
  <c r="Y41" i="147" s="1"/>
  <c r="Z41" i="147"/>
  <c r="L42" i="147"/>
  <c r="S42" i="147"/>
  <c r="T42" i="147"/>
  <c r="W42" i="147"/>
  <c r="X42" i="147" s="1" a="1"/>
  <c r="X42" i="147" s="1"/>
  <c r="Y42" i="147" s="1"/>
  <c r="Z42" i="147"/>
  <c r="L43" i="147"/>
  <c r="S43" i="147"/>
  <c r="T43" i="147"/>
  <c r="W43" i="147"/>
  <c r="X43" i="147" s="1" a="1"/>
  <c r="X43" i="147" s="1"/>
  <c r="Y43" i="147"/>
  <c r="Z43" i="147"/>
  <c r="L44" i="147"/>
  <c r="S44" i="147"/>
  <c r="T44" i="147"/>
  <c r="W44" i="147"/>
  <c r="X44" i="147" s="1" a="1"/>
  <c r="X44" i="147" s="1"/>
  <c r="L45" i="147"/>
  <c r="S45" i="147"/>
  <c r="T45" i="147"/>
  <c r="W45" i="147"/>
  <c r="X45" i="147" s="1" a="1"/>
  <c r="X45" i="147" s="1"/>
  <c r="Z45" i="147" s="1"/>
  <c r="Y45" i="147"/>
  <c r="L46" i="147"/>
  <c r="S46" i="147"/>
  <c r="T46" i="147"/>
  <c r="W46" i="147"/>
  <c r="X46" i="147" s="1" a="1"/>
  <c r="X46" i="147" s="1"/>
  <c r="L47" i="147"/>
  <c r="S47" i="147"/>
  <c r="T47" i="147"/>
  <c r="W47" i="147"/>
  <c r="X47" i="147" s="1" a="1"/>
  <c r="X47" i="147" s="1"/>
  <c r="Z47" i="147" s="1"/>
  <c r="Y47" i="147"/>
  <c r="L48" i="147"/>
  <c r="S48" i="147"/>
  <c r="T48" i="147"/>
  <c r="W48" i="147"/>
  <c r="X48" i="147" s="1" a="1"/>
  <c r="X48" i="147" s="1"/>
  <c r="Y48" i="147" s="1"/>
  <c r="L49" i="147"/>
  <c r="S49" i="147"/>
  <c r="T49" i="147"/>
  <c r="W49" i="147"/>
  <c r="X49" i="147" s="1" a="1"/>
  <c r="X49" i="147" s="1"/>
  <c r="G5" i="147"/>
  <c r="G6" i="147"/>
  <c r="G9" i="147"/>
  <c r="G10" i="147"/>
  <c r="G11" i="147"/>
  <c r="G12" i="147"/>
  <c r="G13" i="147"/>
  <c r="G14" i="147"/>
  <c r="G15" i="147"/>
  <c r="G16" i="147"/>
  <c r="G17" i="147"/>
  <c r="G6" i="145"/>
  <c r="G9" i="145"/>
  <c r="G10" i="145"/>
  <c r="G11" i="145"/>
  <c r="G12" i="145"/>
  <c r="G13" i="145"/>
  <c r="G14" i="145"/>
  <c r="G15" i="145"/>
  <c r="G16" i="145"/>
  <c r="G17" i="145"/>
  <c r="G5" i="145"/>
  <c r="Z48" i="147" l="1"/>
  <c r="Z35" i="147"/>
  <c r="Y35" i="147"/>
  <c r="Y28" i="147"/>
  <c r="J27" i="147"/>
  <c r="G39" i="147" s="1"/>
  <c r="Z49" i="147" s="1"/>
  <c r="F38" i="147"/>
  <c r="Y46" i="147" s="1"/>
  <c r="G38" i="147"/>
  <c r="Z46" i="147" s="1"/>
  <c r="Y37" i="147"/>
  <c r="Y34" i="147"/>
  <c r="Z31" i="147"/>
  <c r="Y31" i="147"/>
  <c r="Y27" i="147"/>
  <c r="U25" i="147"/>
  <c r="Y44" i="147" l="1"/>
  <c r="U26" i="147"/>
  <c r="F39" i="147"/>
  <c r="Y49" i="147" s="1"/>
  <c r="Z44" i="147"/>
  <c r="U27" i="147" l="1"/>
  <c r="U28" i="147" l="1"/>
  <c r="U29" i="147" l="1"/>
  <c r="U30" i="147" l="1"/>
  <c r="U31" i="147" l="1"/>
  <c r="U32" i="147" l="1"/>
  <c r="U33" i="147" l="1"/>
  <c r="U34" i="147" l="1"/>
  <c r="U35" i="147" l="1"/>
  <c r="U36" i="147" l="1"/>
  <c r="U37" i="147" l="1"/>
  <c r="U38" i="147" l="1"/>
  <c r="U39" i="147" l="1"/>
  <c r="U40" i="147" l="1"/>
  <c r="U41" i="147" l="1"/>
  <c r="U42" i="147" l="1"/>
  <c r="U43" i="147" l="1"/>
  <c r="U44" i="147" l="1"/>
  <c r="U45" i="147" l="1"/>
  <c r="U46" i="147" l="1"/>
  <c r="U47" i="147" l="1"/>
  <c r="E80" i="145"/>
  <c r="F80" i="145"/>
  <c r="G80" i="145"/>
  <c r="E81" i="145"/>
  <c r="F81" i="145"/>
  <c r="G81" i="145"/>
  <c r="E82" i="145"/>
  <c r="F82" i="145"/>
  <c r="G82" i="145"/>
  <c r="E83" i="145"/>
  <c r="F83" i="145"/>
  <c r="G83" i="145"/>
  <c r="E84" i="145"/>
  <c r="F84" i="145"/>
  <c r="G84" i="145"/>
  <c r="E85" i="145"/>
  <c r="F85" i="145"/>
  <c r="G85" i="145"/>
  <c r="E86" i="145"/>
  <c r="F86" i="145"/>
  <c r="G86" i="145"/>
  <c r="E87" i="145"/>
  <c r="F87" i="145"/>
  <c r="G87" i="145"/>
  <c r="E88" i="145"/>
  <c r="F88" i="145"/>
  <c r="G88" i="145"/>
  <c r="E89" i="145"/>
  <c r="F89" i="145"/>
  <c r="G89" i="145"/>
  <c r="G79" i="145"/>
  <c r="F79" i="145"/>
  <c r="E79" i="145"/>
  <c r="K57" i="139"/>
  <c r="K58" i="139"/>
  <c r="K59" i="139"/>
  <c r="K60" i="139"/>
  <c r="K61" i="139"/>
  <c r="K56" i="139"/>
  <c r="H57" i="139"/>
  <c r="H58" i="139"/>
  <c r="H59" i="139"/>
  <c r="H60" i="139"/>
  <c r="H61" i="139"/>
  <c r="H56" i="139"/>
  <c r="H63" i="139"/>
  <c r="H64" i="139"/>
  <c r="H65" i="139"/>
  <c r="H66" i="139"/>
  <c r="H67" i="139"/>
  <c r="H62" i="139"/>
  <c r="D5" i="137"/>
  <c r="D4" i="137"/>
  <c r="F5" i="109"/>
  <c r="F6" i="109"/>
  <c r="F7" i="109"/>
  <c r="F8" i="109"/>
  <c r="F9" i="109"/>
  <c r="F10" i="109"/>
  <c r="F11" i="109"/>
  <c r="F15" i="109"/>
  <c r="F16" i="109"/>
  <c r="F17" i="109"/>
  <c r="F18" i="109"/>
  <c r="F19" i="109"/>
  <c r="F20" i="109"/>
  <c r="F21" i="109"/>
  <c r="F22" i="109"/>
  <c r="F23" i="109"/>
  <c r="F24" i="109"/>
  <c r="F25" i="109"/>
  <c r="F26" i="109"/>
  <c r="F27" i="109"/>
  <c r="F28" i="109"/>
  <c r="F29" i="109"/>
  <c r="F77" i="109"/>
  <c r="F78" i="109"/>
  <c r="F79" i="109"/>
  <c r="F80" i="109"/>
  <c r="F81" i="109"/>
  <c r="F82" i="109"/>
  <c r="F83" i="109"/>
  <c r="F84" i="109"/>
  <c r="F85" i="109"/>
  <c r="F86" i="109"/>
  <c r="F87" i="109"/>
  <c r="F88" i="109"/>
  <c r="F89" i="109"/>
  <c r="F90" i="109"/>
  <c r="F91" i="109"/>
  <c r="F92" i="109"/>
  <c r="F93" i="109"/>
  <c r="F94" i="109"/>
  <c r="F96" i="109"/>
  <c r="F97" i="109"/>
  <c r="F98" i="109"/>
  <c r="F99" i="109"/>
  <c r="F100" i="109"/>
  <c r="F101" i="109"/>
  <c r="F102" i="109"/>
  <c r="F103" i="109"/>
  <c r="F104" i="109"/>
  <c r="F105" i="109"/>
  <c r="F106" i="109"/>
  <c r="F107" i="109"/>
  <c r="F108" i="109"/>
  <c r="F109" i="109"/>
  <c r="F110" i="109"/>
  <c r="F111" i="109"/>
  <c r="F112" i="109"/>
  <c r="F113" i="109"/>
  <c r="F114" i="109"/>
  <c r="F115" i="109"/>
  <c r="F116" i="109"/>
  <c r="F117" i="109"/>
  <c r="F118" i="109"/>
  <c r="F119" i="109"/>
  <c r="F120" i="109"/>
  <c r="F121" i="109"/>
  <c r="F122" i="109"/>
  <c r="F123" i="109"/>
  <c r="F124" i="109"/>
  <c r="F125" i="109"/>
  <c r="F126" i="109"/>
  <c r="F127" i="109"/>
  <c r="F128" i="109"/>
  <c r="F129" i="109"/>
  <c r="F130" i="109"/>
  <c r="F131" i="109"/>
  <c r="F132" i="109"/>
  <c r="F133" i="109"/>
  <c r="F134" i="109"/>
  <c r="F135" i="109"/>
  <c r="F157" i="109"/>
  <c r="F158" i="109"/>
  <c r="F159" i="109"/>
  <c r="F160" i="109"/>
  <c r="F161" i="109"/>
  <c r="F162" i="109"/>
  <c r="F163" i="109"/>
  <c r="F164" i="109"/>
  <c r="F165" i="109"/>
  <c r="F166" i="109"/>
  <c r="F167" i="109"/>
  <c r="F168" i="109"/>
  <c r="F169" i="109"/>
  <c r="F170" i="109"/>
  <c r="F171" i="109"/>
  <c r="F172" i="109"/>
  <c r="F173" i="109"/>
  <c r="F174" i="109"/>
  <c r="F175" i="109"/>
  <c r="F176" i="109"/>
  <c r="F177" i="109"/>
  <c r="F178" i="109"/>
  <c r="F181" i="109"/>
  <c r="F182" i="109"/>
  <c r="F183" i="109"/>
  <c r="F184" i="109"/>
  <c r="F185" i="109"/>
  <c r="F186" i="109"/>
  <c r="F187" i="109"/>
  <c r="F195" i="109"/>
  <c r="F4" i="109"/>
  <c r="F92" i="40"/>
  <c r="F91" i="40"/>
  <c r="F90" i="40"/>
  <c r="F89" i="40"/>
  <c r="F88" i="40"/>
  <c r="F86" i="40"/>
  <c r="F84" i="40"/>
  <c r="F83" i="40"/>
  <c r="F48" i="40"/>
  <c r="F47" i="40"/>
  <c r="F46" i="40"/>
  <c r="F45" i="40"/>
  <c r="F44" i="40"/>
  <c r="F43" i="40"/>
  <c r="F42" i="40"/>
  <c r="F41" i="40"/>
  <c r="F40" i="40"/>
  <c r="F39" i="40"/>
  <c r="F38" i="40"/>
  <c r="F37" i="40"/>
  <c r="F36" i="40"/>
  <c r="F35" i="40"/>
  <c r="F33" i="40"/>
  <c r="F32" i="40"/>
  <c r="F31" i="40"/>
  <c r="F30" i="40"/>
  <c r="F29" i="40"/>
  <c r="F28" i="40"/>
  <c r="F27" i="40"/>
  <c r="F26" i="40"/>
  <c r="F25" i="40"/>
  <c r="F24" i="40"/>
  <c r="F23" i="40"/>
  <c r="F21" i="40"/>
  <c r="F19" i="40"/>
  <c r="F17" i="40"/>
  <c r="F16" i="40"/>
  <c r="F7" i="40"/>
  <c r="F6" i="40"/>
  <c r="F5" i="40"/>
  <c r="F4" i="40"/>
  <c r="U48" i="147" l="1"/>
  <c r="F298" i="113"/>
  <c r="F297" i="113"/>
  <c r="F296" i="113"/>
  <c r="F295" i="113"/>
  <c r="F294" i="113"/>
  <c r="F293" i="113"/>
  <c r="F292" i="113"/>
  <c r="F291" i="113"/>
  <c r="F290" i="113"/>
  <c r="F289" i="113"/>
  <c r="F288" i="113"/>
  <c r="F287" i="113"/>
  <c r="F192" i="113"/>
  <c r="F191" i="113"/>
  <c r="F190" i="113"/>
  <c r="F189" i="113"/>
  <c r="F188" i="113"/>
  <c r="F187" i="113"/>
  <c r="F186" i="113"/>
  <c r="F185" i="113"/>
  <c r="F184" i="113"/>
  <c r="F183" i="113"/>
  <c r="F182" i="113"/>
  <c r="F181" i="113"/>
  <c r="F180" i="113"/>
  <c r="F179" i="113"/>
  <c r="F178" i="113"/>
  <c r="F177" i="113"/>
  <c r="F176" i="113"/>
  <c r="F175" i="113"/>
  <c r="F174" i="113"/>
  <c r="F173" i="113"/>
  <c r="F172" i="113"/>
  <c r="F171" i="113"/>
  <c r="F170" i="113"/>
  <c r="F169" i="113"/>
  <c r="F168" i="113"/>
  <c r="F167" i="113"/>
  <c r="F166" i="113"/>
  <c r="F165" i="113"/>
  <c r="F164" i="113"/>
  <c r="F163" i="113"/>
  <c r="F162" i="113"/>
  <c r="F161" i="113"/>
  <c r="F160" i="113"/>
  <c r="F159" i="113"/>
  <c r="F158" i="113"/>
  <c r="F157" i="113"/>
  <c r="F156" i="113"/>
  <c r="F155" i="113"/>
  <c r="F154" i="113"/>
  <c r="F153" i="113"/>
  <c r="F152" i="113"/>
  <c r="F151" i="113"/>
  <c r="F150" i="113"/>
  <c r="F149" i="113"/>
  <c r="F148" i="113"/>
  <c r="F147" i="113"/>
  <c r="F146" i="113"/>
  <c r="F145" i="113"/>
  <c r="F144" i="113"/>
  <c r="F143" i="113"/>
  <c r="F142" i="113"/>
  <c r="F141" i="113"/>
  <c r="F140" i="113"/>
  <c r="F139" i="113"/>
  <c r="F138" i="113"/>
  <c r="F137" i="113"/>
  <c r="F136" i="113"/>
  <c r="F135" i="113"/>
  <c r="F134" i="113"/>
  <c r="F133" i="113"/>
  <c r="F132" i="113"/>
  <c r="F131" i="113"/>
  <c r="F301" i="113"/>
  <c r="F300" i="113"/>
  <c r="F130" i="113"/>
  <c r="F129" i="113"/>
  <c r="F128" i="113"/>
  <c r="F127" i="113"/>
  <c r="F126" i="113"/>
  <c r="F125" i="113"/>
  <c r="F124" i="113"/>
  <c r="F123" i="113"/>
  <c r="F122" i="113"/>
  <c r="F121" i="113"/>
  <c r="F120" i="113"/>
  <c r="F119" i="113"/>
  <c r="F118" i="113"/>
  <c r="F117" i="113"/>
  <c r="F116" i="113"/>
  <c r="F115" i="113"/>
  <c r="F114" i="113"/>
  <c r="F113" i="113"/>
  <c r="F112" i="113"/>
  <c r="F111" i="113"/>
  <c r="F110" i="113"/>
  <c r="F109" i="113"/>
  <c r="F108" i="113"/>
  <c r="F107" i="113"/>
  <c r="F106" i="113"/>
  <c r="F105" i="113"/>
  <c r="F104" i="113"/>
  <c r="F103" i="113"/>
  <c r="F102" i="113"/>
  <c r="F101" i="113"/>
  <c r="F90" i="113"/>
  <c r="F89" i="113"/>
  <c r="F88" i="113"/>
  <c r="F87" i="113"/>
  <c r="F86" i="113"/>
  <c r="F85" i="113"/>
  <c r="F84" i="113"/>
  <c r="F83" i="113"/>
  <c r="F82" i="113"/>
  <c r="F81" i="113"/>
  <c r="F70" i="113"/>
  <c r="F69" i="113"/>
  <c r="F68" i="113"/>
  <c r="F67" i="113"/>
  <c r="F66" i="113"/>
  <c r="F65" i="113"/>
  <c r="F64" i="113"/>
  <c r="F63" i="113"/>
  <c r="F62" i="113"/>
  <c r="F61" i="113"/>
  <c r="F40" i="113"/>
  <c r="F38" i="113"/>
  <c r="F36" i="113"/>
  <c r="F34" i="113"/>
  <c r="F32" i="113"/>
  <c r="F31" i="113"/>
  <c r="F30" i="113"/>
  <c r="F29" i="113"/>
  <c r="F28" i="113"/>
  <c r="F27" i="113"/>
  <c r="F26" i="113"/>
  <c r="F25" i="113"/>
  <c r="F24" i="113"/>
  <c r="F23" i="113"/>
  <c r="F22" i="113"/>
  <c r="F21" i="113"/>
  <c r="F20" i="113"/>
  <c r="F19" i="113"/>
  <c r="F18" i="113"/>
  <c r="F17" i="113"/>
  <c r="F16" i="113"/>
  <c r="F15" i="113"/>
  <c r="F14" i="113"/>
  <c r="F13" i="113"/>
  <c r="F12" i="113"/>
  <c r="F11" i="113"/>
  <c r="F8" i="113"/>
  <c r="F7" i="113"/>
  <c r="F6" i="113"/>
  <c r="F5" i="113"/>
  <c r="U49" i="147" l="1"/>
  <c r="V56" i="60"/>
  <c r="V55" i="60"/>
  <c r="V54" i="60"/>
  <c r="V53" i="60"/>
  <c r="V52" i="60"/>
  <c r="V51" i="60"/>
  <c r="V50" i="60"/>
  <c r="V49" i="60"/>
  <c r="V48" i="60"/>
  <c r="V47" i="60"/>
  <c r="V46" i="60"/>
  <c r="V45" i="60"/>
  <c r="V44" i="60"/>
  <c r="V43" i="60"/>
  <c r="V42" i="60"/>
  <c r="V41" i="60"/>
  <c r="V40" i="60"/>
  <c r="V39" i="60"/>
  <c r="V38" i="60"/>
  <c r="V37" i="60"/>
  <c r="V36" i="60"/>
  <c r="V35" i="60"/>
  <c r="V34" i="60"/>
  <c r="V33" i="60"/>
  <c r="V32" i="60"/>
  <c r="C17" i="7" l="1"/>
  <c r="C16" i="7"/>
  <c r="C24" i="138"/>
  <c r="C23" i="138"/>
  <c r="F10" i="138"/>
  <c r="D10" i="138"/>
  <c r="D8" i="138"/>
  <c r="D7" i="138"/>
  <c r="D5" i="138"/>
  <c r="D4" i="138"/>
  <c r="C17" i="5"/>
  <c r="C16" i="5"/>
  <c r="C24" i="137"/>
  <c r="C23" i="137"/>
  <c r="F10" i="137"/>
  <c r="D10" i="137"/>
  <c r="E193" i="109" l="1"/>
  <c r="F193" i="109" s="1"/>
  <c r="E192" i="109"/>
  <c r="F192" i="109" s="1"/>
  <c r="E191" i="109"/>
  <c r="F191" i="109" s="1"/>
  <c r="E190" i="109"/>
  <c r="F190" i="109" s="1"/>
  <c r="E189" i="109"/>
  <c r="F189" i="109" s="1"/>
  <c r="E188" i="109"/>
  <c r="F188" i="109" s="1"/>
  <c r="D6" i="137"/>
  <c r="E87" i="40"/>
  <c r="F87" i="40" s="1"/>
  <c r="E55" i="40"/>
  <c r="F55" i="40" s="1"/>
  <c r="E54" i="40"/>
  <c r="F54" i="40" s="1"/>
  <c r="E53" i="40"/>
  <c r="F53" i="40" s="1"/>
  <c r="E52" i="40"/>
  <c r="F52" i="40" s="1"/>
  <c r="E51" i="40"/>
  <c r="F51" i="40" s="1"/>
  <c r="E50" i="40"/>
  <c r="F50" i="40" s="1"/>
  <c r="E49" i="40"/>
  <c r="F49" i="40" s="1"/>
  <c r="E34" i="40"/>
  <c r="F34" i="40" s="1"/>
  <c r="E12" i="40" l="1"/>
  <c r="F12" i="40" s="1"/>
  <c r="L25" i="145" l="1"/>
  <c r="L26" i="145"/>
  <c r="L27" i="145"/>
  <c r="L28" i="145"/>
  <c r="L29" i="145"/>
  <c r="L30" i="145"/>
  <c r="L31" i="145"/>
  <c r="L32" i="145"/>
  <c r="L33" i="145"/>
  <c r="L34" i="145"/>
  <c r="L35" i="145"/>
  <c r="L36" i="145"/>
  <c r="L37" i="145"/>
  <c r="L38" i="145"/>
  <c r="L39" i="145"/>
  <c r="L40" i="145"/>
  <c r="L41" i="145"/>
  <c r="L42" i="145"/>
  <c r="L43" i="145"/>
  <c r="L44" i="145"/>
  <c r="L45" i="145"/>
  <c r="L46" i="145"/>
  <c r="L47" i="145"/>
  <c r="L48" i="145"/>
  <c r="L49" i="145"/>
  <c r="L24" i="145"/>
  <c r="Z25" i="145"/>
  <c r="Z26" i="145"/>
  <c r="Z27" i="145"/>
  <c r="Z28" i="145"/>
  <c r="Z29" i="145"/>
  <c r="Z30" i="145"/>
  <c r="Z31" i="145"/>
  <c r="Z32" i="145"/>
  <c r="Z33" i="145"/>
  <c r="Z34" i="145"/>
  <c r="Z35" i="145"/>
  <c r="Z36" i="145"/>
  <c r="Z37" i="145"/>
  <c r="Z38" i="145"/>
  <c r="Z39" i="145"/>
  <c r="Z40" i="145"/>
  <c r="Z41" i="145"/>
  <c r="Z42" i="145"/>
  <c r="Z43" i="145"/>
  <c r="Z45" i="145"/>
  <c r="Z47" i="145"/>
  <c r="Z48" i="145"/>
  <c r="Y26" i="145"/>
  <c r="Y27" i="145"/>
  <c r="Y28" i="145"/>
  <c r="Y29" i="145"/>
  <c r="Y30" i="145"/>
  <c r="Y31" i="145"/>
  <c r="Y32" i="145"/>
  <c r="Y33" i="145"/>
  <c r="Y34" i="145"/>
  <c r="Y35" i="145"/>
  <c r="Y36" i="145"/>
  <c r="Y37" i="145"/>
  <c r="Y38" i="145"/>
  <c r="Y39" i="145"/>
  <c r="Y40" i="145"/>
  <c r="Y41" i="145"/>
  <c r="Y42" i="145"/>
  <c r="Y43" i="145"/>
  <c r="Y45" i="145"/>
  <c r="Y47" i="145"/>
  <c r="Y48" i="145"/>
  <c r="Z24" i="145"/>
  <c r="J28" i="145"/>
  <c r="J29" i="145"/>
  <c r="J30" i="145"/>
  <c r="J31" i="145"/>
  <c r="J32" i="145"/>
  <c r="J33" i="145"/>
  <c r="J34" i="145"/>
  <c r="J35" i="145"/>
  <c r="J36" i="145"/>
  <c r="J37" i="145"/>
  <c r="J27" i="145"/>
  <c r="I28" i="145"/>
  <c r="I29" i="145"/>
  <c r="I30" i="145"/>
  <c r="I31" i="145"/>
  <c r="I32" i="145"/>
  <c r="I33" i="145"/>
  <c r="I34" i="145"/>
  <c r="I35" i="145"/>
  <c r="I36" i="145"/>
  <c r="I37" i="145"/>
  <c r="I27" i="145"/>
  <c r="H28" i="145"/>
  <c r="H29" i="145"/>
  <c r="H30" i="145"/>
  <c r="H31" i="145"/>
  <c r="H32" i="145"/>
  <c r="H33" i="145"/>
  <c r="H34" i="145"/>
  <c r="H35" i="145"/>
  <c r="H36" i="145"/>
  <c r="H37" i="145"/>
  <c r="H27" i="145"/>
  <c r="X44" i="145" a="1"/>
  <c r="X44" i="145" s="1"/>
  <c r="X30" i="145" a="1"/>
  <c r="X30" i="145" s="1"/>
  <c r="X25" i="145" a="1"/>
  <c r="X25" i="145" s="1"/>
  <c r="W30" i="145"/>
  <c r="W31" i="145"/>
  <c r="W32" i="145"/>
  <c r="W33" i="145"/>
  <c r="W34" i="145"/>
  <c r="W35" i="145"/>
  <c r="W36" i="145"/>
  <c r="X36" i="145" s="1" a="1"/>
  <c r="X36" i="145" s="1"/>
  <c r="W37" i="145"/>
  <c r="W38" i="145"/>
  <c r="X38" i="145" s="1" a="1"/>
  <c r="X38" i="145" s="1"/>
  <c r="W39" i="145"/>
  <c r="W40" i="145"/>
  <c r="W41" i="145"/>
  <c r="W42" i="145"/>
  <c r="W43" i="145"/>
  <c r="W44" i="145"/>
  <c r="W45" i="145"/>
  <c r="W46" i="145"/>
  <c r="X46" i="145" s="1" a="1"/>
  <c r="X46" i="145" s="1"/>
  <c r="W47" i="145"/>
  <c r="W48" i="145"/>
  <c r="W49" i="145"/>
  <c r="W24" i="145"/>
  <c r="W25" i="145"/>
  <c r="W26" i="145"/>
  <c r="W27" i="145"/>
  <c r="W28" i="145"/>
  <c r="W29" i="145"/>
  <c r="X47" i="145" a="1"/>
  <c r="X47" i="145" s="1"/>
  <c r="X26" i="145" a="1"/>
  <c r="X26" i="145" s="1"/>
  <c r="X27" i="145" a="1"/>
  <c r="X27" i="145" s="1"/>
  <c r="X28" i="145" a="1"/>
  <c r="X28" i="145" s="1"/>
  <c r="X29" i="145" a="1"/>
  <c r="X29" i="145" s="1"/>
  <c r="X31" i="145" a="1"/>
  <c r="X31" i="145" s="1"/>
  <c r="X32" i="145" a="1"/>
  <c r="X32" i="145" s="1"/>
  <c r="X33" i="145" a="1"/>
  <c r="X33" i="145" s="1"/>
  <c r="X34" i="145" a="1"/>
  <c r="X34" i="145" s="1"/>
  <c r="X35" i="145" a="1"/>
  <c r="X35" i="145" s="1"/>
  <c r="X37" i="145" a="1"/>
  <c r="X37" i="145" s="1"/>
  <c r="X39" i="145" a="1"/>
  <c r="X39" i="145" s="1"/>
  <c r="X40" i="145" a="1"/>
  <c r="X40" i="145" s="1"/>
  <c r="X41" i="145" a="1"/>
  <c r="X41" i="145" s="1"/>
  <c r="X42" i="145" a="1"/>
  <c r="X42" i="145" s="1"/>
  <c r="X43" i="145" a="1"/>
  <c r="X43" i="145" s="1"/>
  <c r="X45" i="145" a="1"/>
  <c r="X45" i="145" s="1"/>
  <c r="X48" i="145" a="1"/>
  <c r="X48" i="145" s="1"/>
  <c r="X49" i="145" a="1"/>
  <c r="X49" i="145" s="1"/>
  <c r="X24" i="145" a="1"/>
  <c r="X24" i="145" s="1"/>
  <c r="E9" i="40"/>
  <c r="F9" i="40" s="1"/>
  <c r="U25" i="145"/>
  <c r="U26" i="145" s="1"/>
  <c r="U27" i="145" s="1"/>
  <c r="U28" i="145" s="1"/>
  <c r="U29" i="145" s="1"/>
  <c r="U30" i="145" s="1"/>
  <c r="U31" i="145" s="1"/>
  <c r="U32" i="145" s="1"/>
  <c r="U33" i="145" s="1"/>
  <c r="U34" i="145" s="1"/>
  <c r="U35" i="145" s="1"/>
  <c r="U36" i="145" s="1"/>
  <c r="U37" i="145" s="1"/>
  <c r="U38" i="145" s="1"/>
  <c r="U39" i="145" s="1"/>
  <c r="U40" i="145" s="1"/>
  <c r="U41" i="145" s="1"/>
  <c r="U42" i="145" s="1"/>
  <c r="U43" i="145" s="1"/>
  <c r="U44" i="145" s="1"/>
  <c r="U45" i="145" s="1"/>
  <c r="U46" i="145" s="1"/>
  <c r="U47" i="145" s="1"/>
  <c r="U48" i="145" s="1"/>
  <c r="U49" i="145" s="1"/>
  <c r="U24" i="145"/>
  <c r="E77" i="40"/>
  <c r="F77" i="40" s="1"/>
  <c r="T25" i="145"/>
  <c r="T26" i="145"/>
  <c r="T27" i="145"/>
  <c r="T28" i="145"/>
  <c r="T29" i="145"/>
  <c r="T30" i="145"/>
  <c r="T31" i="145"/>
  <c r="T32" i="145"/>
  <c r="T33" i="145"/>
  <c r="T34" i="145"/>
  <c r="T35" i="145"/>
  <c r="T36" i="145"/>
  <c r="T37" i="145"/>
  <c r="T38" i="145"/>
  <c r="T39" i="145"/>
  <c r="T40" i="145"/>
  <c r="T41" i="145"/>
  <c r="T42" i="145"/>
  <c r="T43" i="145"/>
  <c r="T44" i="145"/>
  <c r="T45" i="145"/>
  <c r="T46" i="145"/>
  <c r="T47" i="145"/>
  <c r="T48" i="145"/>
  <c r="T49" i="145"/>
  <c r="S25" i="145"/>
  <c r="S26" i="145"/>
  <c r="S27" i="145"/>
  <c r="S28" i="145"/>
  <c r="S29" i="145"/>
  <c r="S30" i="145"/>
  <c r="S31" i="145"/>
  <c r="S32" i="145"/>
  <c r="S33" i="145"/>
  <c r="S34" i="145"/>
  <c r="S35" i="145"/>
  <c r="S36" i="145"/>
  <c r="S37" i="145"/>
  <c r="S38" i="145"/>
  <c r="S39" i="145"/>
  <c r="S40" i="145"/>
  <c r="S41" i="145"/>
  <c r="S42" i="145"/>
  <c r="S43" i="145"/>
  <c r="S44" i="145"/>
  <c r="S45" i="145"/>
  <c r="S46" i="145"/>
  <c r="S47" i="145"/>
  <c r="S48" i="145"/>
  <c r="S49" i="145"/>
  <c r="S24" i="145"/>
  <c r="T24" i="145"/>
  <c r="C4" i="19"/>
  <c r="D18" i="19"/>
  <c r="Q4" i="19"/>
  <c r="D8" i="19"/>
  <c r="D9" i="19"/>
  <c r="D21" i="19" s="1"/>
  <c r="E7" i="19"/>
  <c r="D76" i="19"/>
  <c r="D75" i="19"/>
  <c r="D74" i="19"/>
  <c r="D73" i="19"/>
  <c r="D72" i="19"/>
  <c r="D71" i="19"/>
  <c r="D70" i="19"/>
  <c r="D69" i="19"/>
  <c r="D68" i="19"/>
  <c r="D67" i="19"/>
  <c r="D66" i="19"/>
  <c r="D65" i="19"/>
  <c r="D64" i="19"/>
  <c r="D63" i="19"/>
  <c r="D62" i="19"/>
  <c r="D61" i="19"/>
  <c r="D60" i="19"/>
  <c r="D59" i="19"/>
  <c r="D58" i="19"/>
  <c r="D57" i="19"/>
  <c r="D56" i="19"/>
  <c r="D55" i="19"/>
  <c r="D54" i="19"/>
  <c r="D53" i="19"/>
  <c r="D52" i="19"/>
  <c r="D51" i="19"/>
  <c r="D50" i="19"/>
  <c r="D49" i="19"/>
  <c r="D48" i="19"/>
  <c r="D46" i="19"/>
  <c r="D45" i="19"/>
  <c r="D44" i="19"/>
  <c r="D43" i="19"/>
  <c r="D42" i="19"/>
  <c r="D41" i="19"/>
  <c r="D40" i="19"/>
  <c r="D39" i="19"/>
  <c r="D38" i="19"/>
  <c r="D37" i="19"/>
  <c r="D36" i="19"/>
  <c r="D35" i="19"/>
  <c r="D47" i="19"/>
  <c r="V7" i="60"/>
  <c r="V8" i="60"/>
  <c r="V9" i="60"/>
  <c r="V10" i="60"/>
  <c r="V11" i="60"/>
  <c r="V12" i="60"/>
  <c r="V13" i="60"/>
  <c r="V14" i="60"/>
  <c r="V15" i="60"/>
  <c r="V16" i="60"/>
  <c r="V17" i="60"/>
  <c r="V18" i="60"/>
  <c r="V19" i="60"/>
  <c r="V20" i="60"/>
  <c r="V21" i="60"/>
  <c r="V22" i="60"/>
  <c r="V23" i="60"/>
  <c r="V24" i="60"/>
  <c r="V25" i="60"/>
  <c r="V26" i="60"/>
  <c r="V27" i="60"/>
  <c r="V28" i="60"/>
  <c r="V29" i="60"/>
  <c r="V30" i="60"/>
  <c r="V31" i="60"/>
  <c r="G39" i="145" l="1"/>
  <c r="Z49" i="145" s="1"/>
  <c r="F38" i="145"/>
  <c r="Y44" i="145" s="1"/>
  <c r="F39" i="145"/>
  <c r="Y49" i="145" s="1"/>
  <c r="G38" i="145"/>
  <c r="Z44" i="145" s="1"/>
  <c r="I29" i="139"/>
  <c r="I28" i="139"/>
  <c r="I27" i="139"/>
  <c r="I25" i="139"/>
  <c r="I21" i="139"/>
  <c r="I24" i="139"/>
  <c r="I23" i="139"/>
  <c r="I22" i="139"/>
  <c r="I20" i="139"/>
  <c r="I18" i="139"/>
  <c r="I19" i="139"/>
  <c r="Z46" i="145" l="1"/>
  <c r="Y46" i="145"/>
  <c r="F8" i="137"/>
  <c r="F7" i="137"/>
  <c r="F6" i="137"/>
  <c r="F5" i="137"/>
  <c r="F4" i="137"/>
  <c r="F8" i="138"/>
  <c r="F7" i="138"/>
  <c r="F6" i="138"/>
  <c r="F5" i="138"/>
  <c r="F4" i="138"/>
  <c r="F155" i="8"/>
  <c r="F325" i="113"/>
  <c r="F324" i="113"/>
  <c r="F323" i="113"/>
  <c r="F322" i="113"/>
  <c r="F321" i="113"/>
  <c r="F320" i="113"/>
  <c r="F319" i="113"/>
  <c r="F318" i="113"/>
  <c r="F317" i="113"/>
  <c r="F316" i="113"/>
  <c r="F315" i="113"/>
  <c r="F314" i="113"/>
  <c r="F313" i="113"/>
  <c r="F312" i="113"/>
  <c r="F311" i="113"/>
  <c r="F310" i="113"/>
  <c r="F309" i="113"/>
  <c r="F308" i="113"/>
  <c r="F307" i="113"/>
  <c r="F306" i="113"/>
  <c r="F305" i="113"/>
  <c r="F304" i="113"/>
  <c r="F286" i="113"/>
  <c r="F285" i="113"/>
  <c r="F284" i="113"/>
  <c r="F283" i="113"/>
  <c r="F282" i="113"/>
  <c r="F281" i="113"/>
  <c r="F280" i="113"/>
  <c r="F279" i="113"/>
  <c r="F278" i="113"/>
  <c r="F277" i="113"/>
  <c r="E4" i="19" l="1"/>
  <c r="F4" i="19"/>
  <c r="E95" i="109" l="1"/>
  <c r="F95" i="109" s="1"/>
  <c r="E145" i="139"/>
  <c r="E144" i="139"/>
  <c r="E136" i="139"/>
  <c r="E85" i="139"/>
  <c r="E84" i="139"/>
  <c r="E147" i="139"/>
  <c r="E146" i="139"/>
  <c r="E137" i="139"/>
  <c r="E87" i="139"/>
  <c r="E86" i="139"/>
  <c r="E77" i="139"/>
  <c r="E143" i="139"/>
  <c r="E142" i="139"/>
  <c r="E83" i="139"/>
  <c r="E82" i="139"/>
  <c r="E141" i="139"/>
  <c r="E140" i="139"/>
  <c r="E81" i="139"/>
  <c r="E80" i="139"/>
  <c r="E139" i="139"/>
  <c r="E138" i="139"/>
  <c r="E79" i="139"/>
  <c r="E78" i="139"/>
  <c r="C22" i="138"/>
  <c r="C21" i="138"/>
  <c r="C20" i="138"/>
  <c r="C19" i="138"/>
  <c r="C18" i="138"/>
  <c r="C17" i="138"/>
  <c r="C16" i="138"/>
  <c r="C15" i="138"/>
  <c r="C14" i="138"/>
  <c r="C13" i="138"/>
  <c r="C12" i="138"/>
  <c r="E76" i="139"/>
  <c r="E88" i="139"/>
  <c r="E89" i="139"/>
  <c r="E90" i="139"/>
  <c r="E91" i="139"/>
  <c r="E92" i="139"/>
  <c r="E93" i="139"/>
  <c r="E94" i="139"/>
  <c r="E116" i="139"/>
  <c r="E117" i="139"/>
  <c r="E118" i="139"/>
  <c r="E119" i="139"/>
  <c r="E120" i="139"/>
  <c r="E121" i="139"/>
  <c r="E123" i="139"/>
  <c r="E125" i="139"/>
  <c r="E126" i="139"/>
  <c r="E128" i="139"/>
  <c r="E129" i="139"/>
  <c r="E130" i="139"/>
  <c r="E131" i="139"/>
  <c r="E132" i="139"/>
  <c r="E133" i="139"/>
  <c r="E134" i="139"/>
  <c r="E148" i="139"/>
  <c r="E149" i="139"/>
  <c r="E150" i="139"/>
  <c r="E151" i="139"/>
  <c r="E152" i="139"/>
  <c r="E153" i="139"/>
  <c r="E154" i="139"/>
  <c r="E155" i="139"/>
  <c r="E156" i="139"/>
  <c r="E157" i="139"/>
  <c r="E158" i="139"/>
  <c r="E159" i="139"/>
  <c r="E160" i="139"/>
  <c r="E161" i="139"/>
  <c r="E162" i="139"/>
  <c r="E163" i="139"/>
  <c r="E164" i="139"/>
  <c r="E165" i="139"/>
  <c r="E166" i="139"/>
  <c r="E167" i="139"/>
  <c r="E168" i="139"/>
  <c r="E169" i="139"/>
  <c r="E170" i="139"/>
  <c r="E171" i="139"/>
  <c r="E172" i="139"/>
  <c r="E173" i="139"/>
  <c r="E174" i="139"/>
  <c r="E175" i="139"/>
  <c r="E176" i="139"/>
  <c r="E177" i="139"/>
  <c r="E178" i="139"/>
  <c r="E179" i="139"/>
  <c r="E180" i="139"/>
  <c r="E181" i="139"/>
  <c r="E182" i="139"/>
  <c r="E183" i="139"/>
  <c r="E184" i="139"/>
  <c r="E185" i="139"/>
  <c r="E186" i="139"/>
  <c r="E187" i="139"/>
  <c r="E188" i="139"/>
  <c r="E189" i="139"/>
  <c r="E190" i="139"/>
  <c r="E191" i="139"/>
  <c r="E192" i="139"/>
  <c r="E193" i="139"/>
  <c r="E194" i="139"/>
  <c r="E195" i="139"/>
  <c r="E196" i="139"/>
  <c r="E197" i="139"/>
  <c r="E198" i="139"/>
  <c r="E199" i="139"/>
  <c r="E200" i="139"/>
  <c r="E201" i="139"/>
  <c r="E202" i="139"/>
  <c r="E204" i="139"/>
  <c r="E173" i="8" s="1"/>
  <c r="F173" i="8" s="1"/>
  <c r="E206" i="139"/>
  <c r="E175" i="8" s="1"/>
  <c r="F175" i="8" s="1"/>
  <c r="E207" i="139"/>
  <c r="E176" i="8" s="1"/>
  <c r="F176" i="8" s="1"/>
  <c r="E209" i="139"/>
  <c r="E210" i="139"/>
  <c r="E211" i="139"/>
  <c r="E212" i="139"/>
  <c r="E213" i="139"/>
  <c r="E214" i="139"/>
  <c r="E215" i="139"/>
  <c r="C11" i="138"/>
  <c r="C22" i="137"/>
  <c r="C21" i="137"/>
  <c r="C20" i="137"/>
  <c r="C19" i="137"/>
  <c r="C18" i="137"/>
  <c r="C16" i="137"/>
  <c r="C15" i="137"/>
  <c r="C14" i="137"/>
  <c r="C13" i="137"/>
  <c r="C12" i="137"/>
  <c r="E34" i="109"/>
  <c r="F34" i="109" s="1"/>
  <c r="E33" i="109"/>
  <c r="F33" i="109" s="1"/>
  <c r="E32" i="109"/>
  <c r="F32" i="109" s="1"/>
  <c r="E31" i="109"/>
  <c r="F31" i="109" s="1"/>
  <c r="E30" i="109"/>
  <c r="F30" i="109" s="1"/>
  <c r="E194" i="109"/>
  <c r="F194" i="109" s="1"/>
  <c r="D6" i="11"/>
  <c r="E13" i="109"/>
  <c r="F13" i="109" s="1"/>
  <c r="E12" i="109"/>
  <c r="F12" i="109" s="1"/>
  <c r="E179" i="109"/>
  <c r="F179" i="109" s="1"/>
  <c r="E14" i="109"/>
  <c r="F14" i="109" s="1"/>
  <c r="E180" i="109" l="1"/>
  <c r="F180" i="109" s="1"/>
  <c r="D9" i="9"/>
  <c r="D8" i="9"/>
  <c r="D7" i="9"/>
  <c r="V6" i="60"/>
  <c r="V5" i="60"/>
  <c r="V4" i="60"/>
  <c r="W26" i="59"/>
  <c r="U26" i="59"/>
  <c r="W25" i="59"/>
  <c r="U25" i="59"/>
  <c r="W24" i="59"/>
  <c r="U24" i="59"/>
  <c r="W23" i="59"/>
  <c r="U23" i="59"/>
  <c r="W22" i="59"/>
  <c r="U22" i="59"/>
  <c r="W21" i="59"/>
  <c r="U21" i="59"/>
  <c r="W20" i="59"/>
  <c r="U20" i="59"/>
  <c r="W19" i="59"/>
  <c r="U19" i="59"/>
  <c r="W18" i="59"/>
  <c r="U18" i="59"/>
  <c r="W17" i="59"/>
  <c r="U17" i="59"/>
  <c r="W16" i="59"/>
  <c r="U16" i="59"/>
  <c r="W15" i="59"/>
  <c r="U15" i="59"/>
  <c r="W14" i="59"/>
  <c r="U14" i="59"/>
  <c r="W13" i="59"/>
  <c r="U13" i="59"/>
  <c r="W12" i="59"/>
  <c r="U12" i="59"/>
  <c r="W11" i="59"/>
  <c r="U11" i="59"/>
  <c r="W10" i="59"/>
  <c r="U10" i="59"/>
  <c r="W9" i="59"/>
  <c r="U9" i="59"/>
  <c r="W8" i="59"/>
  <c r="U8" i="59"/>
  <c r="W7" i="59"/>
  <c r="U7" i="59"/>
  <c r="W6" i="59"/>
  <c r="U6" i="59"/>
  <c r="W5" i="59"/>
  <c r="U5" i="59"/>
  <c r="W4" i="59"/>
  <c r="U4" i="59"/>
  <c r="B25" i="101"/>
  <c r="A25" i="101"/>
  <c r="U25" i="101" s="1"/>
  <c r="B24" i="101"/>
  <c r="A24" i="101"/>
  <c r="U24" i="101" s="1"/>
  <c r="B23" i="101"/>
  <c r="A23" i="101"/>
  <c r="U23" i="101" s="1"/>
  <c r="B22" i="101"/>
  <c r="A22" i="101"/>
  <c r="U22" i="101" s="1"/>
  <c r="B21" i="101"/>
  <c r="A21" i="101"/>
  <c r="U21" i="101" s="1"/>
  <c r="B20" i="101"/>
  <c r="A20" i="101"/>
  <c r="U20" i="101" s="1"/>
  <c r="B19" i="101"/>
  <c r="A19" i="101"/>
  <c r="U19" i="101" s="1"/>
  <c r="B18" i="101"/>
  <c r="A18" i="101"/>
  <c r="U18" i="101" s="1"/>
  <c r="B17" i="101"/>
  <c r="A17" i="101"/>
  <c r="U17" i="101" s="1"/>
  <c r="S17" i="101" s="1"/>
  <c r="S17" i="102" s="1"/>
  <c r="B16" i="101"/>
  <c r="A16" i="101"/>
  <c r="U16" i="101" s="1"/>
  <c r="B15" i="101"/>
  <c r="A15" i="101"/>
  <c r="U15" i="101" s="1"/>
  <c r="Q15" i="101" s="1"/>
  <c r="Q15" i="102" s="1"/>
  <c r="B14" i="101"/>
  <c r="A14" i="101"/>
  <c r="U14" i="101" s="1"/>
  <c r="B13" i="101"/>
  <c r="A13" i="101"/>
  <c r="U13" i="101" s="1"/>
  <c r="B12" i="101"/>
  <c r="A12" i="101"/>
  <c r="U12" i="101" s="1"/>
  <c r="B11" i="101"/>
  <c r="A11" i="101"/>
  <c r="U11" i="101" s="1"/>
  <c r="B10" i="101"/>
  <c r="A10" i="101"/>
  <c r="U10" i="101" s="1"/>
  <c r="B9" i="101"/>
  <c r="A9" i="101"/>
  <c r="U9" i="101" s="1"/>
  <c r="B8" i="101"/>
  <c r="A8" i="101"/>
  <c r="U8" i="101" s="1"/>
  <c r="S8" i="101" s="1"/>
  <c r="S8" i="102" s="1"/>
  <c r="B7" i="101"/>
  <c r="A7" i="101"/>
  <c r="U7" i="101" s="1"/>
  <c r="B6" i="101"/>
  <c r="A6" i="101"/>
  <c r="U6" i="101" s="1"/>
  <c r="B5" i="101"/>
  <c r="A5" i="101"/>
  <c r="U5" i="101" s="1"/>
  <c r="S5" i="101" s="1"/>
  <c r="S5" i="102" s="1"/>
  <c r="U4" i="101"/>
  <c r="B4" i="101"/>
  <c r="A4" i="101"/>
  <c r="E3" i="101"/>
  <c r="F3" i="101" s="1"/>
  <c r="G3" i="101" s="1"/>
  <c r="H3" i="101" s="1"/>
  <c r="I3" i="101" s="1"/>
  <c r="J3" i="101" s="1"/>
  <c r="K3" i="101" s="1"/>
  <c r="B25" i="102"/>
  <c r="A25" i="102"/>
  <c r="B24" i="102"/>
  <c r="A24" i="102"/>
  <c r="B23" i="102"/>
  <c r="A23" i="102"/>
  <c r="B22" i="102"/>
  <c r="A22" i="102"/>
  <c r="B21" i="102"/>
  <c r="A21" i="102"/>
  <c r="B20" i="102"/>
  <c r="A20" i="102"/>
  <c r="B19" i="102"/>
  <c r="A19" i="102"/>
  <c r="B18" i="102"/>
  <c r="A18" i="102"/>
  <c r="B17" i="102"/>
  <c r="A17" i="102"/>
  <c r="B16" i="102"/>
  <c r="A16" i="102"/>
  <c r="B15" i="102"/>
  <c r="A15" i="102"/>
  <c r="B14" i="102"/>
  <c r="A14" i="102"/>
  <c r="B13" i="102"/>
  <c r="A13" i="102"/>
  <c r="B12" i="102"/>
  <c r="A12" i="102"/>
  <c r="B11" i="102"/>
  <c r="A11" i="102"/>
  <c r="B10" i="102"/>
  <c r="A10" i="102"/>
  <c r="B9" i="102"/>
  <c r="A9" i="102"/>
  <c r="B8" i="102"/>
  <c r="A8" i="102"/>
  <c r="B7" i="102"/>
  <c r="A7" i="102"/>
  <c r="B6" i="102"/>
  <c r="A6" i="102"/>
  <c r="B5" i="102"/>
  <c r="A5" i="102"/>
  <c r="B4" i="102"/>
  <c r="A4" i="102"/>
  <c r="D90" i="42"/>
  <c r="C90" i="42"/>
  <c r="B90" i="42"/>
  <c r="D89" i="42"/>
  <c r="C89" i="42"/>
  <c r="B89" i="42"/>
  <c r="D88" i="42"/>
  <c r="C88" i="42"/>
  <c r="B88" i="42"/>
  <c r="D87" i="42"/>
  <c r="C87" i="42"/>
  <c r="B87" i="42"/>
  <c r="D86" i="42"/>
  <c r="C86" i="42"/>
  <c r="B86" i="42"/>
  <c r="D85" i="42"/>
  <c r="C85" i="42"/>
  <c r="B85" i="42"/>
  <c r="D84" i="42"/>
  <c r="C84" i="42"/>
  <c r="B84" i="42"/>
  <c r="D83" i="42"/>
  <c r="C83" i="42"/>
  <c r="B83" i="42"/>
  <c r="P82" i="42"/>
  <c r="P83" i="42" s="1"/>
  <c r="P84" i="42" s="1"/>
  <c r="P85" i="42" s="1"/>
  <c r="P86" i="42" s="1"/>
  <c r="P87" i="42" s="1"/>
  <c r="P88" i="42" s="1"/>
  <c r="P89" i="42" s="1"/>
  <c r="P90" i="42" s="1"/>
  <c r="D82" i="42"/>
  <c r="C82" i="42"/>
  <c r="B82" i="42"/>
  <c r="P81" i="42"/>
  <c r="D81" i="42"/>
  <c r="C81" i="42"/>
  <c r="B81" i="42"/>
  <c r="D80" i="42"/>
  <c r="C80" i="42"/>
  <c r="B80" i="42"/>
  <c r="D79" i="42"/>
  <c r="C79" i="42"/>
  <c r="B79" i="42"/>
  <c r="D78" i="42"/>
  <c r="C78" i="42"/>
  <c r="B78" i="42"/>
  <c r="D77" i="42"/>
  <c r="C77" i="42"/>
  <c r="B77" i="42"/>
  <c r="D76" i="42"/>
  <c r="C76" i="42"/>
  <c r="B76" i="42"/>
  <c r="D75" i="42"/>
  <c r="C75" i="42"/>
  <c r="B75" i="42"/>
  <c r="D74" i="42"/>
  <c r="C74" i="42"/>
  <c r="B74" i="42"/>
  <c r="D73" i="42"/>
  <c r="C73" i="42"/>
  <c r="B73" i="42"/>
  <c r="D72" i="42"/>
  <c r="C72" i="42"/>
  <c r="B72" i="42"/>
  <c r="P71" i="42"/>
  <c r="P72" i="42" s="1"/>
  <c r="P73" i="42" s="1"/>
  <c r="P74" i="42" s="1"/>
  <c r="P75" i="42" s="1"/>
  <c r="P76" i="42" s="1"/>
  <c r="P77" i="42" s="1"/>
  <c r="P78" i="42" s="1"/>
  <c r="P79" i="42" s="1"/>
  <c r="P80" i="42" s="1"/>
  <c r="D71" i="42"/>
  <c r="C71" i="42"/>
  <c r="B71" i="42"/>
  <c r="D70" i="42"/>
  <c r="C70" i="42"/>
  <c r="B70" i="42"/>
  <c r="D69" i="42"/>
  <c r="C69" i="42"/>
  <c r="B69" i="42"/>
  <c r="D68" i="42"/>
  <c r="C68" i="42"/>
  <c r="B68" i="42"/>
  <c r="D67" i="42"/>
  <c r="C67" i="42"/>
  <c r="B67" i="42"/>
  <c r="D66" i="42"/>
  <c r="C66" i="42"/>
  <c r="B66" i="42"/>
  <c r="D65" i="42"/>
  <c r="C65" i="42"/>
  <c r="B65" i="42"/>
  <c r="D64" i="42"/>
  <c r="C64" i="42"/>
  <c r="B64" i="42"/>
  <c r="D63" i="42"/>
  <c r="C63" i="42"/>
  <c r="B63" i="42"/>
  <c r="D62" i="42"/>
  <c r="C62" i="42"/>
  <c r="B62" i="42"/>
  <c r="P61" i="42"/>
  <c r="P62" i="42" s="1"/>
  <c r="P63" i="42" s="1"/>
  <c r="P64" i="42" s="1"/>
  <c r="P65" i="42" s="1"/>
  <c r="P66" i="42" s="1"/>
  <c r="P67" i="42" s="1"/>
  <c r="P68" i="42" s="1"/>
  <c r="P69" i="42" s="1"/>
  <c r="P70" i="42" s="1"/>
  <c r="D61" i="42"/>
  <c r="C61" i="42"/>
  <c r="B61" i="42"/>
  <c r="D60" i="42"/>
  <c r="C60" i="42"/>
  <c r="B60" i="42"/>
  <c r="D59" i="42"/>
  <c r="C59" i="42"/>
  <c r="B59" i="42"/>
  <c r="D58" i="42"/>
  <c r="C58" i="42"/>
  <c r="B58" i="42"/>
  <c r="D57" i="42"/>
  <c r="C57" i="42"/>
  <c r="B57" i="42"/>
  <c r="D56" i="42"/>
  <c r="C56" i="42"/>
  <c r="B56" i="42"/>
  <c r="D55" i="42"/>
  <c r="C55" i="42"/>
  <c r="B55" i="42"/>
  <c r="E54" i="42"/>
  <c r="E55" i="42" s="1"/>
  <c r="E56" i="42" s="1"/>
  <c r="D54" i="42"/>
  <c r="C54" i="42"/>
  <c r="B54" i="42"/>
  <c r="P32" i="42"/>
  <c r="P33" i="42" s="1"/>
  <c r="P34" i="42" s="1"/>
  <c r="P35" i="42" s="1"/>
  <c r="P36" i="42" s="1"/>
  <c r="P37" i="42" s="1"/>
  <c r="P38" i="42" s="1"/>
  <c r="P39" i="42" s="1"/>
  <c r="P40" i="42" s="1"/>
  <c r="P41" i="42" s="1"/>
  <c r="P22" i="42"/>
  <c r="P23" i="42" s="1"/>
  <c r="P24" i="42" s="1"/>
  <c r="P25" i="42" s="1"/>
  <c r="P26" i="42" s="1"/>
  <c r="P27" i="42" s="1"/>
  <c r="P28" i="42" s="1"/>
  <c r="P29" i="42" s="1"/>
  <c r="P30" i="42" s="1"/>
  <c r="P31" i="42" s="1"/>
  <c r="P12" i="42"/>
  <c r="P13" i="42" s="1"/>
  <c r="P14" i="42" s="1"/>
  <c r="P15" i="42" s="1"/>
  <c r="P16" i="42" s="1"/>
  <c r="P17" i="42" s="1"/>
  <c r="P18" i="42" s="1"/>
  <c r="P19" i="42" s="1"/>
  <c r="P20" i="42" s="1"/>
  <c r="P21" i="42" s="1"/>
  <c r="E6" i="42"/>
  <c r="T6" i="42" s="1"/>
  <c r="T5" i="42"/>
  <c r="E5" i="42"/>
  <c r="C29" i="21"/>
  <c r="C28" i="21"/>
  <c r="C27" i="21"/>
  <c r="C26" i="21"/>
  <c r="C25" i="21"/>
  <c r="C24" i="21"/>
  <c r="C23" i="21"/>
  <c r="C22" i="21"/>
  <c r="C21" i="21"/>
  <c r="C20" i="21"/>
  <c r="C19" i="21"/>
  <c r="C18" i="21"/>
  <c r="E94" i="40"/>
  <c r="F94" i="40" s="1"/>
  <c r="E93" i="40"/>
  <c r="F93" i="40" s="1"/>
  <c r="E85" i="40"/>
  <c r="F85" i="40" s="1"/>
  <c r="E82" i="40"/>
  <c r="F82" i="40" s="1"/>
  <c r="E81" i="40"/>
  <c r="F81" i="40" s="1"/>
  <c r="E80" i="40"/>
  <c r="F80" i="40" s="1"/>
  <c r="E79" i="40"/>
  <c r="F79" i="40" s="1"/>
  <c r="E78" i="40"/>
  <c r="F78" i="40" s="1"/>
  <c r="G76" i="40"/>
  <c r="E76" i="40"/>
  <c r="F76" i="40" s="1"/>
  <c r="G75" i="40"/>
  <c r="E75" i="40"/>
  <c r="F75" i="40" s="1"/>
  <c r="G74" i="40"/>
  <c r="E74" i="40"/>
  <c r="F74" i="40" s="1"/>
  <c r="G73" i="40"/>
  <c r="E73" i="40"/>
  <c r="F73" i="40" s="1"/>
  <c r="G72" i="40"/>
  <c r="E72" i="40"/>
  <c r="F72" i="40" s="1"/>
  <c r="G71" i="40"/>
  <c r="E71" i="40"/>
  <c r="F71" i="40" s="1"/>
  <c r="G70" i="40"/>
  <c r="E70" i="40"/>
  <c r="F70" i="40" s="1"/>
  <c r="G69" i="40"/>
  <c r="E69" i="40"/>
  <c r="F69" i="40" s="1"/>
  <c r="G68" i="40"/>
  <c r="E68" i="40"/>
  <c r="F68" i="40" s="1"/>
  <c r="G67" i="40"/>
  <c r="E67" i="40"/>
  <c r="F67" i="40" s="1"/>
  <c r="G66" i="40"/>
  <c r="E66" i="40"/>
  <c r="F66" i="40" s="1"/>
  <c r="G65" i="40"/>
  <c r="E65" i="40"/>
  <c r="F65" i="40" s="1"/>
  <c r="G64" i="40"/>
  <c r="E64" i="40"/>
  <c r="F64" i="40" s="1"/>
  <c r="G63" i="40"/>
  <c r="E63" i="40"/>
  <c r="F63" i="40" s="1"/>
  <c r="G62" i="40"/>
  <c r="E62" i="40"/>
  <c r="F62" i="40" s="1"/>
  <c r="G61" i="40"/>
  <c r="E61" i="40"/>
  <c r="F61" i="40" s="1"/>
  <c r="G60" i="40"/>
  <c r="E60" i="40"/>
  <c r="F60" i="40" s="1"/>
  <c r="G59" i="40"/>
  <c r="E59" i="40"/>
  <c r="F59" i="40" s="1"/>
  <c r="G58" i="40"/>
  <c r="E58" i="40"/>
  <c r="F58" i="40" s="1"/>
  <c r="G57" i="40"/>
  <c r="E57" i="40"/>
  <c r="F57" i="40" s="1"/>
  <c r="G56" i="40"/>
  <c r="E56" i="40"/>
  <c r="F56" i="40" s="1"/>
  <c r="E18" i="40"/>
  <c r="E15" i="40"/>
  <c r="F15" i="40" s="1"/>
  <c r="E14" i="40"/>
  <c r="F14" i="40" s="1"/>
  <c r="E13" i="40"/>
  <c r="F13" i="40" s="1"/>
  <c r="E11" i="40"/>
  <c r="F11" i="40" s="1"/>
  <c r="E10" i="40"/>
  <c r="F10" i="40" s="1"/>
  <c r="E8" i="40"/>
  <c r="F8" i="40" s="1"/>
  <c r="O26" i="145" a="1"/>
  <c r="O26" i="145" s="1"/>
  <c r="F3" i="40"/>
  <c r="A32" i="20"/>
  <c r="A31" i="20"/>
  <c r="A30" i="20"/>
  <c r="A29" i="20"/>
  <c r="A28" i="20"/>
  <c r="A27" i="20"/>
  <c r="A26" i="20"/>
  <c r="A25" i="20"/>
  <c r="A24" i="20"/>
  <c r="A23" i="20"/>
  <c r="A22" i="20"/>
  <c r="A21" i="20"/>
  <c r="A20" i="20"/>
  <c r="A19" i="20"/>
  <c r="A18" i="20"/>
  <c r="A17" i="20"/>
  <c r="A16" i="20"/>
  <c r="A15" i="20"/>
  <c r="A14" i="20"/>
  <c r="A13" i="20"/>
  <c r="A12" i="20"/>
  <c r="A11" i="20"/>
  <c r="A10" i="20"/>
  <c r="A9" i="20"/>
  <c r="A8" i="20"/>
  <c r="A7" i="20"/>
  <c r="A6" i="20"/>
  <c r="A5" i="20"/>
  <c r="A4" i="20"/>
  <c r="E89" i="19"/>
  <c r="E88" i="19"/>
  <c r="E85" i="19"/>
  <c r="E83" i="19"/>
  <c r="E82" i="19"/>
  <c r="E79" i="19"/>
  <c r="E77" i="19"/>
  <c r="L76" i="19"/>
  <c r="K76" i="19"/>
  <c r="J76" i="19"/>
  <c r="L75" i="19"/>
  <c r="K75" i="19"/>
  <c r="J75" i="19"/>
  <c r="L74" i="19"/>
  <c r="K74" i="19"/>
  <c r="J74" i="19"/>
  <c r="L73" i="19"/>
  <c r="K73" i="19"/>
  <c r="J73" i="19"/>
  <c r="L72" i="19"/>
  <c r="K72" i="19"/>
  <c r="J72" i="19"/>
  <c r="L71" i="19"/>
  <c r="K71" i="19"/>
  <c r="J71" i="19"/>
  <c r="L70" i="19"/>
  <c r="K70" i="19"/>
  <c r="J70" i="19"/>
  <c r="L69" i="19"/>
  <c r="K69" i="19"/>
  <c r="J69" i="19"/>
  <c r="L68" i="19"/>
  <c r="K68" i="19"/>
  <c r="J68" i="19"/>
  <c r="L67" i="19"/>
  <c r="K67" i="19"/>
  <c r="J67" i="19"/>
  <c r="L66" i="19"/>
  <c r="K66" i="19"/>
  <c r="J66" i="19"/>
  <c r="L65" i="19"/>
  <c r="K65" i="19"/>
  <c r="J65" i="19"/>
  <c r="L64" i="19"/>
  <c r="K64" i="19"/>
  <c r="J64" i="19"/>
  <c r="L63" i="19"/>
  <c r="K63" i="19"/>
  <c r="J63" i="19"/>
  <c r="L62" i="19"/>
  <c r="K62" i="19"/>
  <c r="J62" i="19"/>
  <c r="L61" i="19"/>
  <c r="K61" i="19"/>
  <c r="J61" i="19"/>
  <c r="L60" i="19"/>
  <c r="K60" i="19"/>
  <c r="J60" i="19"/>
  <c r="L59" i="19"/>
  <c r="K59" i="19"/>
  <c r="J59" i="19"/>
  <c r="L58" i="19"/>
  <c r="K58" i="19"/>
  <c r="J58" i="19"/>
  <c r="L57" i="19"/>
  <c r="K57" i="19"/>
  <c r="J57" i="19"/>
  <c r="L56" i="19"/>
  <c r="K56" i="19"/>
  <c r="J56" i="19"/>
  <c r="C23" i="19"/>
  <c r="C29" i="19" s="1"/>
  <c r="C21" i="19"/>
  <c r="C27" i="19" s="1"/>
  <c r="C19" i="19"/>
  <c r="C25" i="19" s="1"/>
  <c r="L17" i="19"/>
  <c r="K17" i="19"/>
  <c r="J17" i="19"/>
  <c r="I17" i="19"/>
  <c r="H17" i="19"/>
  <c r="G17" i="19"/>
  <c r="F17" i="19"/>
  <c r="E17" i="19"/>
  <c r="L16" i="19"/>
  <c r="K16" i="19"/>
  <c r="J16" i="19"/>
  <c r="I16" i="19"/>
  <c r="H16" i="19"/>
  <c r="G16" i="19"/>
  <c r="F16" i="19"/>
  <c r="E16" i="19"/>
  <c r="L15" i="19"/>
  <c r="K15" i="19"/>
  <c r="J15" i="19"/>
  <c r="I15" i="19"/>
  <c r="H15" i="19"/>
  <c r="G15" i="19"/>
  <c r="F15" i="19"/>
  <c r="E15" i="19"/>
  <c r="L14" i="19"/>
  <c r="K14" i="19"/>
  <c r="J14" i="19"/>
  <c r="I14" i="19"/>
  <c r="H14" i="19"/>
  <c r="G14" i="19"/>
  <c r="F14" i="19"/>
  <c r="E14" i="19"/>
  <c r="L13" i="19"/>
  <c r="K13" i="19"/>
  <c r="J13" i="19"/>
  <c r="I13" i="19"/>
  <c r="H13" i="19"/>
  <c r="G13" i="19"/>
  <c r="F13" i="19"/>
  <c r="E13" i="19"/>
  <c r="L12" i="19"/>
  <c r="K12" i="19"/>
  <c r="J12" i="19"/>
  <c r="I12" i="19"/>
  <c r="H12" i="19"/>
  <c r="G12" i="19"/>
  <c r="F12" i="19"/>
  <c r="E12" i="19"/>
  <c r="L11" i="19"/>
  <c r="L23" i="19" s="1"/>
  <c r="L29" i="19" s="1"/>
  <c r="K11" i="19"/>
  <c r="K23" i="19" s="1"/>
  <c r="K29" i="19" s="1"/>
  <c r="J11" i="19"/>
  <c r="J23" i="19" s="1"/>
  <c r="J29" i="19" s="1"/>
  <c r="I11" i="19"/>
  <c r="I23" i="19" s="1"/>
  <c r="I29" i="19" s="1"/>
  <c r="H11" i="19"/>
  <c r="H23" i="19" s="1"/>
  <c r="H29" i="19" s="1"/>
  <c r="G11" i="19"/>
  <c r="G23" i="19" s="1"/>
  <c r="G29" i="19" s="1"/>
  <c r="F11" i="19"/>
  <c r="F23" i="19" s="1"/>
  <c r="F29" i="19" s="1"/>
  <c r="E11" i="19"/>
  <c r="E23" i="19" s="1"/>
  <c r="E29" i="19" s="1"/>
  <c r="D23" i="19"/>
  <c r="D29" i="19" s="1"/>
  <c r="L10" i="19"/>
  <c r="L22" i="19" s="1"/>
  <c r="L28" i="19" s="1"/>
  <c r="K10" i="19"/>
  <c r="K22" i="19" s="1"/>
  <c r="K28" i="19" s="1"/>
  <c r="J10" i="19"/>
  <c r="J22" i="19" s="1"/>
  <c r="J28" i="19" s="1"/>
  <c r="I10" i="19"/>
  <c r="I22" i="19" s="1"/>
  <c r="I28" i="19" s="1"/>
  <c r="H10" i="19"/>
  <c r="H22" i="19" s="1"/>
  <c r="H28" i="19" s="1"/>
  <c r="G10" i="19"/>
  <c r="G22" i="19" s="1"/>
  <c r="G28" i="19" s="1"/>
  <c r="F10" i="19"/>
  <c r="F22" i="19" s="1"/>
  <c r="F28" i="19" s="1"/>
  <c r="E10" i="19"/>
  <c r="E22" i="19" s="1"/>
  <c r="E28" i="19" s="1"/>
  <c r="D22" i="19"/>
  <c r="D28" i="19" s="1"/>
  <c r="L9" i="19"/>
  <c r="L21" i="19" s="1"/>
  <c r="L27" i="19" s="1"/>
  <c r="K9" i="19"/>
  <c r="K21" i="19" s="1"/>
  <c r="K27" i="19" s="1"/>
  <c r="J9" i="19"/>
  <c r="J21" i="19" s="1"/>
  <c r="J27" i="19" s="1"/>
  <c r="I9" i="19"/>
  <c r="I21" i="19" s="1"/>
  <c r="I27" i="19" s="1"/>
  <c r="H9" i="19"/>
  <c r="H21" i="19" s="1"/>
  <c r="H27" i="19" s="1"/>
  <c r="G9" i="19"/>
  <c r="G21" i="19" s="1"/>
  <c r="G27" i="19" s="1"/>
  <c r="F9" i="19"/>
  <c r="F21" i="19" s="1"/>
  <c r="F27" i="19" s="1"/>
  <c r="E9" i="19"/>
  <c r="E21" i="19" s="1"/>
  <c r="E27" i="19" s="1"/>
  <c r="D27" i="19"/>
  <c r="L8" i="19"/>
  <c r="L20" i="19" s="1"/>
  <c r="L26" i="19" s="1"/>
  <c r="K8" i="19"/>
  <c r="K20" i="19" s="1"/>
  <c r="K26" i="19" s="1"/>
  <c r="J8" i="19"/>
  <c r="J20" i="19" s="1"/>
  <c r="J26" i="19" s="1"/>
  <c r="I8" i="19"/>
  <c r="I20" i="19" s="1"/>
  <c r="I26" i="19" s="1"/>
  <c r="H8" i="19"/>
  <c r="H20" i="19" s="1"/>
  <c r="H26" i="19" s="1"/>
  <c r="G8" i="19"/>
  <c r="G20" i="19" s="1"/>
  <c r="G26" i="19" s="1"/>
  <c r="F8" i="19"/>
  <c r="F20" i="19" s="1"/>
  <c r="F26" i="19" s="1"/>
  <c r="E8" i="19"/>
  <c r="E20" i="19" s="1"/>
  <c r="E26" i="19" s="1"/>
  <c r="D20" i="19"/>
  <c r="D26" i="19" s="1"/>
  <c r="L7" i="19"/>
  <c r="L19" i="19" s="1"/>
  <c r="L25" i="19" s="1"/>
  <c r="K7" i="19"/>
  <c r="K19" i="19" s="1"/>
  <c r="K25" i="19" s="1"/>
  <c r="J7" i="19"/>
  <c r="J19" i="19" s="1"/>
  <c r="J25" i="19" s="1"/>
  <c r="I7" i="19"/>
  <c r="I19" i="19" s="1"/>
  <c r="I25" i="19" s="1"/>
  <c r="H7" i="19"/>
  <c r="H19" i="19" s="1"/>
  <c r="H25" i="19" s="1"/>
  <c r="G7" i="19"/>
  <c r="G19" i="19" s="1"/>
  <c r="G25" i="19" s="1"/>
  <c r="F7" i="19"/>
  <c r="F19" i="19" s="1"/>
  <c r="F25" i="19" s="1"/>
  <c r="E19" i="19"/>
  <c r="E25" i="19" s="1"/>
  <c r="D19" i="19"/>
  <c r="D25" i="19" s="1"/>
  <c r="L6" i="19"/>
  <c r="L18" i="19" s="1"/>
  <c r="L24" i="19" s="1"/>
  <c r="K6" i="19"/>
  <c r="K18" i="19" s="1"/>
  <c r="K24" i="19" s="1"/>
  <c r="J6" i="19"/>
  <c r="J18" i="19" s="1"/>
  <c r="J24" i="19" s="1"/>
  <c r="I6" i="19"/>
  <c r="I18" i="19" s="1"/>
  <c r="I24" i="19" s="1"/>
  <c r="H6" i="19"/>
  <c r="H18" i="19" s="1"/>
  <c r="H24" i="19" s="1"/>
  <c r="G6" i="19"/>
  <c r="G18" i="19" s="1"/>
  <c r="G24" i="19" s="1"/>
  <c r="F6" i="19"/>
  <c r="F18" i="19" s="1"/>
  <c r="F24" i="19" s="1"/>
  <c r="E6" i="19"/>
  <c r="E18" i="19" s="1"/>
  <c r="E24" i="19" s="1"/>
  <c r="D24" i="19"/>
  <c r="L5" i="19"/>
  <c r="K5" i="19"/>
  <c r="J5" i="19"/>
  <c r="I5" i="19"/>
  <c r="H5" i="19"/>
  <c r="G5" i="19"/>
  <c r="F5" i="19"/>
  <c r="E5" i="19"/>
  <c r="L4" i="19"/>
  <c r="K4" i="19"/>
  <c r="J4" i="19"/>
  <c r="I4" i="19"/>
  <c r="H4" i="19"/>
  <c r="G4" i="19"/>
  <c r="D324" i="105"/>
  <c r="C324" i="105"/>
  <c r="W324" i="105" s="1"/>
  <c r="A324" i="105"/>
  <c r="D323" i="105"/>
  <c r="C323" i="105"/>
  <c r="W323" i="105" s="1"/>
  <c r="A323" i="105"/>
  <c r="D322" i="105"/>
  <c r="C322" i="105"/>
  <c r="W322" i="105" s="1"/>
  <c r="A322" i="105"/>
  <c r="D321" i="105"/>
  <c r="C321" i="105"/>
  <c r="W321" i="105" s="1"/>
  <c r="A321" i="105"/>
  <c r="D320" i="105"/>
  <c r="C320" i="105"/>
  <c r="W320" i="105" s="1"/>
  <c r="A320" i="105"/>
  <c r="D319" i="105"/>
  <c r="C319" i="105"/>
  <c r="W319" i="105" s="1"/>
  <c r="A319" i="105"/>
  <c r="D318" i="105"/>
  <c r="C318" i="105"/>
  <c r="W318" i="105" s="1"/>
  <c r="A318" i="105"/>
  <c r="D317" i="105"/>
  <c r="C317" i="105"/>
  <c r="W317" i="105" s="1"/>
  <c r="A317" i="105"/>
  <c r="D316" i="105"/>
  <c r="C316" i="105"/>
  <c r="W316" i="105" s="1"/>
  <c r="A316" i="105"/>
  <c r="D315" i="105"/>
  <c r="C315" i="105"/>
  <c r="W315" i="105" s="1"/>
  <c r="A315" i="105"/>
  <c r="D314" i="105"/>
  <c r="C314" i="105"/>
  <c r="W314" i="105" s="1"/>
  <c r="A314" i="105"/>
  <c r="D313" i="105"/>
  <c r="C313" i="105"/>
  <c r="W313" i="105" s="1"/>
  <c r="A313" i="105"/>
  <c r="D312" i="105"/>
  <c r="C312" i="105"/>
  <c r="W312" i="105" s="1"/>
  <c r="A312" i="105"/>
  <c r="D311" i="105"/>
  <c r="C311" i="105"/>
  <c r="W311" i="105" s="1"/>
  <c r="A311" i="105"/>
  <c r="D310" i="105"/>
  <c r="C310" i="105"/>
  <c r="W310" i="105" s="1"/>
  <c r="A310" i="105"/>
  <c r="D309" i="105"/>
  <c r="C309" i="105"/>
  <c r="W309" i="105" s="1"/>
  <c r="A309" i="105"/>
  <c r="D308" i="105"/>
  <c r="C308" i="105"/>
  <c r="W308" i="105" s="1"/>
  <c r="A308" i="105"/>
  <c r="D307" i="105"/>
  <c r="C307" i="105"/>
  <c r="W307" i="105" s="1"/>
  <c r="A307" i="105"/>
  <c r="D306" i="105"/>
  <c r="C306" i="105"/>
  <c r="W306" i="105" s="1"/>
  <c r="A306" i="105"/>
  <c r="D305" i="105"/>
  <c r="C305" i="105"/>
  <c r="W305" i="105" s="1"/>
  <c r="A305" i="105"/>
  <c r="D304" i="105"/>
  <c r="C304" i="105"/>
  <c r="W304" i="105" s="1"/>
  <c r="A304" i="105"/>
  <c r="D303" i="105"/>
  <c r="C303" i="105"/>
  <c r="W303" i="105" s="1"/>
  <c r="A303" i="105"/>
  <c r="D302" i="105"/>
  <c r="C302" i="105"/>
  <c r="W302" i="105" s="1"/>
  <c r="A302" i="105"/>
  <c r="D301" i="105"/>
  <c r="C301" i="105"/>
  <c r="W301" i="105" s="1"/>
  <c r="A301" i="105"/>
  <c r="D300" i="105"/>
  <c r="C300" i="105"/>
  <c r="W300" i="105" s="1"/>
  <c r="A300" i="105"/>
  <c r="D299" i="105"/>
  <c r="C299" i="105"/>
  <c r="W299" i="105" s="1"/>
  <c r="A299" i="105"/>
  <c r="D298" i="105"/>
  <c r="C298" i="105"/>
  <c r="W298" i="105" s="1"/>
  <c r="A298" i="105"/>
  <c r="D297" i="105"/>
  <c r="C297" i="105"/>
  <c r="W297" i="105" s="1"/>
  <c r="A297" i="105"/>
  <c r="D296" i="105"/>
  <c r="C296" i="105"/>
  <c r="W296" i="105" s="1"/>
  <c r="A296" i="105"/>
  <c r="D295" i="105"/>
  <c r="C295" i="105"/>
  <c r="W295" i="105" s="1"/>
  <c r="A295" i="105"/>
  <c r="D294" i="105"/>
  <c r="C294" i="105"/>
  <c r="W294" i="105" s="1"/>
  <c r="A294" i="105"/>
  <c r="D293" i="105"/>
  <c r="C293" i="105"/>
  <c r="W293" i="105" s="1"/>
  <c r="A293" i="105"/>
  <c r="D292" i="105"/>
  <c r="C292" i="105"/>
  <c r="W292" i="105" s="1"/>
  <c r="A292" i="105"/>
  <c r="D291" i="105"/>
  <c r="C291" i="105"/>
  <c r="W291" i="105" s="1"/>
  <c r="A291" i="105"/>
  <c r="D290" i="105"/>
  <c r="C290" i="105"/>
  <c r="W290" i="105" s="1"/>
  <c r="A290" i="105"/>
  <c r="D289" i="105"/>
  <c r="C289" i="105"/>
  <c r="W289" i="105" s="1"/>
  <c r="A289" i="105"/>
  <c r="D288" i="105"/>
  <c r="C288" i="105"/>
  <c r="W288" i="105" s="1"/>
  <c r="A288" i="105"/>
  <c r="D287" i="105"/>
  <c r="C287" i="105"/>
  <c r="W287" i="105" s="1"/>
  <c r="A287" i="105"/>
  <c r="D286" i="105"/>
  <c r="C286" i="105"/>
  <c r="W286" i="105" s="1"/>
  <c r="A286" i="105"/>
  <c r="D285" i="105"/>
  <c r="C285" i="105"/>
  <c r="W285" i="105" s="1"/>
  <c r="A285" i="105"/>
  <c r="D284" i="105"/>
  <c r="C284" i="105"/>
  <c r="W284" i="105" s="1"/>
  <c r="A284" i="105"/>
  <c r="D283" i="105"/>
  <c r="C283" i="105"/>
  <c r="W283" i="105" s="1"/>
  <c r="A283" i="105"/>
  <c r="D282" i="105"/>
  <c r="C282" i="105"/>
  <c r="W282" i="105" s="1"/>
  <c r="A282" i="105"/>
  <c r="D281" i="105"/>
  <c r="C281" i="105"/>
  <c r="W281" i="105" s="1"/>
  <c r="A281" i="105"/>
  <c r="D280" i="105"/>
  <c r="C280" i="105"/>
  <c r="W280" i="105" s="1"/>
  <c r="A280" i="105"/>
  <c r="D279" i="105"/>
  <c r="C279" i="105"/>
  <c r="W279" i="105" s="1"/>
  <c r="A279" i="105"/>
  <c r="D278" i="105"/>
  <c r="C278" i="105"/>
  <c r="W278" i="105" s="1"/>
  <c r="A278" i="105"/>
  <c r="D277" i="105"/>
  <c r="C277" i="105"/>
  <c r="W277" i="105" s="1"/>
  <c r="A277" i="105"/>
  <c r="D276" i="105"/>
  <c r="C276" i="105"/>
  <c r="W276" i="105" s="1"/>
  <c r="A276" i="105"/>
  <c r="D275" i="105"/>
  <c r="C275" i="105"/>
  <c r="W275" i="105" s="1"/>
  <c r="A275" i="105"/>
  <c r="D274" i="105"/>
  <c r="C274" i="105"/>
  <c r="W274" i="105" s="1"/>
  <c r="A274" i="105"/>
  <c r="D273" i="105"/>
  <c r="C273" i="105"/>
  <c r="W273" i="105" s="1"/>
  <c r="A273" i="105"/>
  <c r="D272" i="105"/>
  <c r="C272" i="105"/>
  <c r="W272" i="105" s="1"/>
  <c r="A272" i="105"/>
  <c r="D271" i="105"/>
  <c r="C271" i="105"/>
  <c r="W271" i="105" s="1"/>
  <c r="A271" i="105"/>
  <c r="D270" i="105"/>
  <c r="C270" i="105"/>
  <c r="W270" i="105" s="1"/>
  <c r="A270" i="105"/>
  <c r="D269" i="105"/>
  <c r="C269" i="105"/>
  <c r="W269" i="105" s="1"/>
  <c r="A269" i="105"/>
  <c r="D268" i="105"/>
  <c r="C268" i="105"/>
  <c r="W268" i="105" s="1"/>
  <c r="A268" i="105"/>
  <c r="D267" i="105"/>
  <c r="C267" i="105"/>
  <c r="W267" i="105" s="1"/>
  <c r="A267" i="105"/>
  <c r="D266" i="105"/>
  <c r="C266" i="105"/>
  <c r="W266" i="105" s="1"/>
  <c r="A266" i="105"/>
  <c r="D265" i="105"/>
  <c r="C265" i="105"/>
  <c r="W265" i="105" s="1"/>
  <c r="A265" i="105"/>
  <c r="D264" i="105"/>
  <c r="C264" i="105"/>
  <c r="W264" i="105" s="1"/>
  <c r="A264" i="105"/>
  <c r="U263" i="105"/>
  <c r="T263" i="105"/>
  <c r="S263" i="105"/>
  <c r="R263" i="105"/>
  <c r="Q263" i="105"/>
  <c r="P263" i="105"/>
  <c r="O263" i="105"/>
  <c r="N263" i="105"/>
  <c r="M263" i="105"/>
  <c r="L263" i="105"/>
  <c r="K263" i="105"/>
  <c r="J263" i="105"/>
  <c r="I263" i="105"/>
  <c r="H263" i="105"/>
  <c r="G263" i="105"/>
  <c r="F263" i="105"/>
  <c r="E263" i="105"/>
  <c r="D263" i="105"/>
  <c r="C263" i="105"/>
  <c r="W263" i="105" s="1"/>
  <c r="A263" i="105"/>
  <c r="U262" i="105"/>
  <c r="T262" i="105"/>
  <c r="S262" i="105"/>
  <c r="R262" i="105"/>
  <c r="Q262" i="105"/>
  <c r="P262" i="105"/>
  <c r="O262" i="105"/>
  <c r="N262" i="105"/>
  <c r="M262" i="105"/>
  <c r="L262" i="105"/>
  <c r="K262" i="105"/>
  <c r="J262" i="105"/>
  <c r="I262" i="105"/>
  <c r="H262" i="105"/>
  <c r="G262" i="105"/>
  <c r="F262" i="105"/>
  <c r="E262" i="105"/>
  <c r="D262" i="105"/>
  <c r="C262" i="105"/>
  <c r="W262" i="105" s="1"/>
  <c r="A262" i="105"/>
  <c r="U261" i="105"/>
  <c r="T261" i="105"/>
  <c r="S261" i="105"/>
  <c r="R261" i="105"/>
  <c r="Q261" i="105"/>
  <c r="P261" i="105"/>
  <c r="O261" i="105"/>
  <c r="N261" i="105"/>
  <c r="M261" i="105"/>
  <c r="L261" i="105"/>
  <c r="K261" i="105"/>
  <c r="J261" i="105"/>
  <c r="I261" i="105"/>
  <c r="H261" i="105"/>
  <c r="G261" i="105"/>
  <c r="F261" i="105"/>
  <c r="E261" i="105"/>
  <c r="D261" i="105"/>
  <c r="C261" i="105"/>
  <c r="W261" i="105" s="1"/>
  <c r="A261" i="105"/>
  <c r="U260" i="105"/>
  <c r="T260" i="105"/>
  <c r="S260" i="105"/>
  <c r="R260" i="105"/>
  <c r="Q260" i="105"/>
  <c r="P260" i="105"/>
  <c r="O260" i="105"/>
  <c r="N260" i="105"/>
  <c r="M260" i="105"/>
  <c r="L260" i="105"/>
  <c r="K260" i="105"/>
  <c r="J260" i="105"/>
  <c r="I260" i="105"/>
  <c r="H260" i="105"/>
  <c r="G260" i="105"/>
  <c r="F260" i="105"/>
  <c r="E260" i="105"/>
  <c r="D260" i="105"/>
  <c r="C260" i="105"/>
  <c r="W260" i="105" s="1"/>
  <c r="A260" i="105"/>
  <c r="U259" i="105"/>
  <c r="T259" i="105"/>
  <c r="S259" i="105"/>
  <c r="R259" i="105"/>
  <c r="Q259" i="105"/>
  <c r="P259" i="105"/>
  <c r="O259" i="105"/>
  <c r="N259" i="105"/>
  <c r="M259" i="105"/>
  <c r="L259" i="105"/>
  <c r="K259" i="105"/>
  <c r="J259" i="105"/>
  <c r="I259" i="105"/>
  <c r="H259" i="105"/>
  <c r="G259" i="105"/>
  <c r="F259" i="105"/>
  <c r="E259" i="105"/>
  <c r="D259" i="105"/>
  <c r="C259" i="105"/>
  <c r="W259" i="105" s="1"/>
  <c r="A259" i="105"/>
  <c r="U258" i="105"/>
  <c r="T258" i="105"/>
  <c r="S258" i="105"/>
  <c r="R258" i="105"/>
  <c r="Q258" i="105"/>
  <c r="P258" i="105"/>
  <c r="O258" i="105"/>
  <c r="N258" i="105"/>
  <c r="M258" i="105"/>
  <c r="L258" i="105"/>
  <c r="K258" i="105"/>
  <c r="J258" i="105"/>
  <c r="I258" i="105"/>
  <c r="H258" i="105"/>
  <c r="G258" i="105"/>
  <c r="F258" i="105"/>
  <c r="E258" i="105"/>
  <c r="D258" i="105"/>
  <c r="C258" i="105"/>
  <c r="W258" i="105" s="1"/>
  <c r="A258" i="105"/>
  <c r="U257" i="105"/>
  <c r="T257" i="105"/>
  <c r="S257" i="105"/>
  <c r="R257" i="105"/>
  <c r="Q257" i="105"/>
  <c r="P257" i="105"/>
  <c r="O257" i="105"/>
  <c r="N257" i="105"/>
  <c r="M257" i="105"/>
  <c r="L257" i="105"/>
  <c r="K257" i="105"/>
  <c r="J257" i="105"/>
  <c r="I257" i="105"/>
  <c r="H257" i="105"/>
  <c r="G257" i="105"/>
  <c r="F257" i="105"/>
  <c r="E257" i="105"/>
  <c r="D257" i="105"/>
  <c r="C257" i="105"/>
  <c r="W257" i="105" s="1"/>
  <c r="A257" i="105"/>
  <c r="U256" i="105"/>
  <c r="T256" i="105"/>
  <c r="S256" i="105"/>
  <c r="R256" i="105"/>
  <c r="Q256" i="105"/>
  <c r="P256" i="105"/>
  <c r="O256" i="105"/>
  <c r="N256" i="105"/>
  <c r="M256" i="105"/>
  <c r="L256" i="105"/>
  <c r="K256" i="105"/>
  <c r="J256" i="105"/>
  <c r="I256" i="105"/>
  <c r="H256" i="105"/>
  <c r="G256" i="105"/>
  <c r="F256" i="105"/>
  <c r="E256" i="105"/>
  <c r="D256" i="105"/>
  <c r="C256" i="105"/>
  <c r="W256" i="105" s="1"/>
  <c r="A256" i="105"/>
  <c r="U255" i="105"/>
  <c r="T255" i="105"/>
  <c r="S255" i="105"/>
  <c r="R255" i="105"/>
  <c r="Q255" i="105"/>
  <c r="P255" i="105"/>
  <c r="O255" i="105"/>
  <c r="N255" i="105"/>
  <c r="M255" i="105"/>
  <c r="L255" i="105"/>
  <c r="K255" i="105"/>
  <c r="J255" i="105"/>
  <c r="I255" i="105"/>
  <c r="H255" i="105"/>
  <c r="G255" i="105"/>
  <c r="F255" i="105"/>
  <c r="E255" i="105"/>
  <c r="D255" i="105"/>
  <c r="C255" i="105"/>
  <c r="W255" i="105" s="1"/>
  <c r="A255" i="105"/>
  <c r="U254" i="105"/>
  <c r="T254" i="105"/>
  <c r="S254" i="105"/>
  <c r="R254" i="105"/>
  <c r="Q254" i="105"/>
  <c r="P254" i="105"/>
  <c r="O254" i="105"/>
  <c r="N254" i="105"/>
  <c r="M254" i="105"/>
  <c r="L254" i="105"/>
  <c r="K254" i="105"/>
  <c r="J254" i="105"/>
  <c r="I254" i="105"/>
  <c r="H254" i="105"/>
  <c r="G254" i="105"/>
  <c r="F254" i="105"/>
  <c r="E254" i="105"/>
  <c r="D254" i="105"/>
  <c r="C254" i="105"/>
  <c r="W254" i="105" s="1"/>
  <c r="A254" i="105"/>
  <c r="U253" i="105"/>
  <c r="T253" i="105"/>
  <c r="S253" i="105"/>
  <c r="R253" i="105"/>
  <c r="Q253" i="105"/>
  <c r="P253" i="105"/>
  <c r="O253" i="105"/>
  <c r="N253" i="105"/>
  <c r="M253" i="105"/>
  <c r="L253" i="105"/>
  <c r="K253" i="105"/>
  <c r="J253" i="105"/>
  <c r="I253" i="105"/>
  <c r="H253" i="105"/>
  <c r="G253" i="105"/>
  <c r="F253" i="105"/>
  <c r="E253" i="105"/>
  <c r="D253" i="105"/>
  <c r="C253" i="105"/>
  <c r="W253" i="105" s="1"/>
  <c r="A253" i="105"/>
  <c r="U252" i="105"/>
  <c r="T252" i="105"/>
  <c r="S252" i="105"/>
  <c r="R252" i="105"/>
  <c r="Q252" i="105"/>
  <c r="P252" i="105"/>
  <c r="O252" i="105"/>
  <c r="N252" i="105"/>
  <c r="M252" i="105"/>
  <c r="L252" i="105"/>
  <c r="K252" i="105"/>
  <c r="J252" i="105"/>
  <c r="I252" i="105"/>
  <c r="H252" i="105"/>
  <c r="G252" i="105"/>
  <c r="F252" i="105"/>
  <c r="E252" i="105"/>
  <c r="D252" i="105"/>
  <c r="C252" i="105"/>
  <c r="W252" i="105" s="1"/>
  <c r="A252" i="105"/>
  <c r="U251" i="105"/>
  <c r="T251" i="105"/>
  <c r="S251" i="105"/>
  <c r="R251" i="105"/>
  <c r="Q251" i="105"/>
  <c r="P251" i="105"/>
  <c r="O251" i="105"/>
  <c r="N251" i="105"/>
  <c r="M251" i="105"/>
  <c r="L251" i="105"/>
  <c r="K251" i="105"/>
  <c r="J251" i="105"/>
  <c r="I251" i="105"/>
  <c r="H251" i="105"/>
  <c r="G251" i="105"/>
  <c r="F251" i="105"/>
  <c r="E251" i="105"/>
  <c r="D251" i="105"/>
  <c r="C251" i="105"/>
  <c r="W251" i="105" s="1"/>
  <c r="A251" i="105"/>
  <c r="U250" i="105"/>
  <c r="T250" i="105"/>
  <c r="S250" i="105"/>
  <c r="R250" i="105"/>
  <c r="Q250" i="105"/>
  <c r="P250" i="105"/>
  <c r="O250" i="105"/>
  <c r="N250" i="105"/>
  <c r="M250" i="105"/>
  <c r="L250" i="105"/>
  <c r="K250" i="105"/>
  <c r="J250" i="105"/>
  <c r="I250" i="105"/>
  <c r="H250" i="105"/>
  <c r="G250" i="105"/>
  <c r="F250" i="105"/>
  <c r="E250" i="105"/>
  <c r="D250" i="105"/>
  <c r="C250" i="105"/>
  <c r="W250" i="105" s="1"/>
  <c r="A250" i="105"/>
  <c r="U249" i="105"/>
  <c r="T249" i="105"/>
  <c r="S249" i="105"/>
  <c r="R249" i="105"/>
  <c r="Q249" i="105"/>
  <c r="P249" i="105"/>
  <c r="O249" i="105"/>
  <c r="N249" i="105"/>
  <c r="M249" i="105"/>
  <c r="L249" i="105"/>
  <c r="K249" i="105"/>
  <c r="J249" i="105"/>
  <c r="I249" i="105"/>
  <c r="H249" i="105"/>
  <c r="G249" i="105"/>
  <c r="F249" i="105"/>
  <c r="E249" i="105"/>
  <c r="D249" i="105"/>
  <c r="C249" i="105"/>
  <c r="W249" i="105" s="1"/>
  <c r="A249" i="105"/>
  <c r="U248" i="105"/>
  <c r="T248" i="105"/>
  <c r="S248" i="105"/>
  <c r="R248" i="105"/>
  <c r="Q248" i="105"/>
  <c r="P248" i="105"/>
  <c r="O248" i="105"/>
  <c r="N248" i="105"/>
  <c r="M248" i="105"/>
  <c r="L248" i="105"/>
  <c r="K248" i="105"/>
  <c r="J248" i="105"/>
  <c r="I248" i="105"/>
  <c r="H248" i="105"/>
  <c r="G248" i="105"/>
  <c r="F248" i="105"/>
  <c r="E248" i="105"/>
  <c r="D248" i="105"/>
  <c r="C248" i="105"/>
  <c r="W248" i="105" s="1"/>
  <c r="A248" i="105"/>
  <c r="U247" i="105"/>
  <c r="T247" i="105"/>
  <c r="S247" i="105"/>
  <c r="R247" i="105"/>
  <c r="Q247" i="105"/>
  <c r="P247" i="105"/>
  <c r="O247" i="105"/>
  <c r="N247" i="105"/>
  <c r="M247" i="105"/>
  <c r="L247" i="105"/>
  <c r="K247" i="105"/>
  <c r="J247" i="105"/>
  <c r="I247" i="105"/>
  <c r="H247" i="105"/>
  <c r="G247" i="105"/>
  <c r="F247" i="105"/>
  <c r="E247" i="105"/>
  <c r="D247" i="105"/>
  <c r="C247" i="105"/>
  <c r="W247" i="105" s="1"/>
  <c r="A247" i="105"/>
  <c r="U246" i="105"/>
  <c r="T246" i="105"/>
  <c r="S246" i="105"/>
  <c r="R246" i="105"/>
  <c r="Q246" i="105"/>
  <c r="P246" i="105"/>
  <c r="O246" i="105"/>
  <c r="N246" i="105"/>
  <c r="M246" i="105"/>
  <c r="L246" i="105"/>
  <c r="K246" i="105"/>
  <c r="J246" i="105"/>
  <c r="I246" i="105"/>
  <c r="H246" i="105"/>
  <c r="G246" i="105"/>
  <c r="F246" i="105"/>
  <c r="E246" i="105"/>
  <c r="D246" i="105"/>
  <c r="C246" i="105"/>
  <c r="W246" i="105" s="1"/>
  <c r="A246" i="105"/>
  <c r="U245" i="105"/>
  <c r="T245" i="105"/>
  <c r="S245" i="105"/>
  <c r="R245" i="105"/>
  <c r="Q245" i="105"/>
  <c r="P245" i="105"/>
  <c r="O245" i="105"/>
  <c r="N245" i="105"/>
  <c r="M245" i="105"/>
  <c r="L245" i="105"/>
  <c r="K245" i="105"/>
  <c r="J245" i="105"/>
  <c r="I245" i="105"/>
  <c r="H245" i="105"/>
  <c r="G245" i="105"/>
  <c r="F245" i="105"/>
  <c r="E245" i="105"/>
  <c r="D245" i="105"/>
  <c r="C245" i="105"/>
  <c r="W245" i="105" s="1"/>
  <c r="A245" i="105"/>
  <c r="U244" i="105"/>
  <c r="T244" i="105"/>
  <c r="S244" i="105"/>
  <c r="R244" i="105"/>
  <c r="Q244" i="105"/>
  <c r="P244" i="105"/>
  <c r="O244" i="105"/>
  <c r="N244" i="105"/>
  <c r="M244" i="105"/>
  <c r="L244" i="105"/>
  <c r="K244" i="105"/>
  <c r="J244" i="105"/>
  <c r="I244" i="105"/>
  <c r="H244" i="105"/>
  <c r="G244" i="105"/>
  <c r="F244" i="105"/>
  <c r="E244" i="105"/>
  <c r="D244" i="105"/>
  <c r="C244" i="105"/>
  <c r="W244" i="105" s="1"/>
  <c r="A244" i="105"/>
  <c r="U243" i="105"/>
  <c r="T243" i="105"/>
  <c r="S243" i="105"/>
  <c r="R243" i="105"/>
  <c r="Q243" i="105"/>
  <c r="P243" i="105"/>
  <c r="O243" i="105"/>
  <c r="N243" i="105"/>
  <c r="M243" i="105"/>
  <c r="L243" i="105"/>
  <c r="K243" i="105"/>
  <c r="J243" i="105"/>
  <c r="I243" i="105"/>
  <c r="H243" i="105"/>
  <c r="G243" i="105"/>
  <c r="F243" i="105"/>
  <c r="E243" i="105"/>
  <c r="D243" i="105"/>
  <c r="C243" i="105"/>
  <c r="W243" i="105" s="1"/>
  <c r="A243" i="105"/>
  <c r="U242" i="105"/>
  <c r="T242" i="105"/>
  <c r="S242" i="105"/>
  <c r="R242" i="105"/>
  <c r="Q242" i="105"/>
  <c r="P242" i="105"/>
  <c r="O242" i="105"/>
  <c r="N242" i="105"/>
  <c r="M242" i="105"/>
  <c r="L242" i="105"/>
  <c r="K242" i="105"/>
  <c r="J242" i="105"/>
  <c r="I242" i="105"/>
  <c r="H242" i="105"/>
  <c r="G242" i="105"/>
  <c r="F242" i="105"/>
  <c r="E242" i="105"/>
  <c r="D242" i="105"/>
  <c r="C242" i="105"/>
  <c r="W242" i="105" s="1"/>
  <c r="A242" i="105"/>
  <c r="U241" i="105"/>
  <c r="T241" i="105"/>
  <c r="S241" i="105"/>
  <c r="R241" i="105"/>
  <c r="Q241" i="105"/>
  <c r="P241" i="105"/>
  <c r="O241" i="105"/>
  <c r="N241" i="105"/>
  <c r="M241" i="105"/>
  <c r="L241" i="105"/>
  <c r="K241" i="105"/>
  <c r="J241" i="105"/>
  <c r="I241" i="105"/>
  <c r="H241" i="105"/>
  <c r="G241" i="105"/>
  <c r="F241" i="105"/>
  <c r="E241" i="105"/>
  <c r="D241" i="105"/>
  <c r="C241" i="105"/>
  <c r="W241" i="105" s="1"/>
  <c r="A241" i="105"/>
  <c r="U240" i="105"/>
  <c r="T240" i="105"/>
  <c r="S240" i="105"/>
  <c r="R240" i="105"/>
  <c r="Q240" i="105"/>
  <c r="P240" i="105"/>
  <c r="O240" i="105"/>
  <c r="N240" i="105"/>
  <c r="M240" i="105"/>
  <c r="L240" i="105"/>
  <c r="K240" i="105"/>
  <c r="J240" i="105"/>
  <c r="I240" i="105"/>
  <c r="H240" i="105"/>
  <c r="G240" i="105"/>
  <c r="F240" i="105"/>
  <c r="E240" i="105"/>
  <c r="D240" i="105"/>
  <c r="C240" i="105"/>
  <c r="W240" i="105" s="1"/>
  <c r="A240" i="105"/>
  <c r="U239" i="105"/>
  <c r="T239" i="105"/>
  <c r="S239" i="105"/>
  <c r="R239" i="105"/>
  <c r="Q239" i="105"/>
  <c r="P239" i="105"/>
  <c r="O239" i="105"/>
  <c r="N239" i="105"/>
  <c r="M239" i="105"/>
  <c r="L239" i="105"/>
  <c r="K239" i="105"/>
  <c r="J239" i="105"/>
  <c r="I239" i="105"/>
  <c r="H239" i="105"/>
  <c r="G239" i="105"/>
  <c r="F239" i="105"/>
  <c r="E239" i="105"/>
  <c r="D239" i="105"/>
  <c r="C239" i="105"/>
  <c r="W239" i="105" s="1"/>
  <c r="A239" i="105"/>
  <c r="U238" i="105"/>
  <c r="T238" i="105"/>
  <c r="S238" i="105"/>
  <c r="R238" i="105"/>
  <c r="Q238" i="105"/>
  <c r="P238" i="105"/>
  <c r="O238" i="105"/>
  <c r="N238" i="105"/>
  <c r="M238" i="105"/>
  <c r="L238" i="105"/>
  <c r="K238" i="105"/>
  <c r="J238" i="105"/>
  <c r="I238" i="105"/>
  <c r="H238" i="105"/>
  <c r="G238" i="105"/>
  <c r="F238" i="105"/>
  <c r="E238" i="105"/>
  <c r="D238" i="105"/>
  <c r="C238" i="105"/>
  <c r="W238" i="105" s="1"/>
  <c r="A238" i="105"/>
  <c r="U237" i="105"/>
  <c r="T237" i="105"/>
  <c r="S237" i="105"/>
  <c r="R237" i="105"/>
  <c r="Q237" i="105"/>
  <c r="P237" i="105"/>
  <c r="O237" i="105"/>
  <c r="N237" i="105"/>
  <c r="M237" i="105"/>
  <c r="L237" i="105"/>
  <c r="K237" i="105"/>
  <c r="J237" i="105"/>
  <c r="I237" i="105"/>
  <c r="H237" i="105"/>
  <c r="G237" i="105"/>
  <c r="F237" i="105"/>
  <c r="E237" i="105"/>
  <c r="D237" i="105"/>
  <c r="C237" i="105"/>
  <c r="W237" i="105" s="1"/>
  <c r="A237" i="105"/>
  <c r="U236" i="105"/>
  <c r="T236" i="105"/>
  <c r="S236" i="105"/>
  <c r="R236" i="105"/>
  <c r="Q236" i="105"/>
  <c r="P236" i="105"/>
  <c r="O236" i="105"/>
  <c r="N236" i="105"/>
  <c r="M236" i="105"/>
  <c r="L236" i="105"/>
  <c r="K236" i="105"/>
  <c r="J236" i="105"/>
  <c r="I236" i="105"/>
  <c r="H236" i="105"/>
  <c r="G236" i="105"/>
  <c r="F236" i="105"/>
  <c r="E236" i="105"/>
  <c r="D236" i="105"/>
  <c r="C236" i="105"/>
  <c r="W236" i="105" s="1"/>
  <c r="A236" i="105"/>
  <c r="U235" i="105"/>
  <c r="T235" i="105"/>
  <c r="S235" i="105"/>
  <c r="R235" i="105"/>
  <c r="Q235" i="105"/>
  <c r="P235" i="105"/>
  <c r="O235" i="105"/>
  <c r="N235" i="105"/>
  <c r="M235" i="105"/>
  <c r="L235" i="105"/>
  <c r="K235" i="105"/>
  <c r="J235" i="105"/>
  <c r="I235" i="105"/>
  <c r="H235" i="105"/>
  <c r="G235" i="105"/>
  <c r="F235" i="105"/>
  <c r="E235" i="105"/>
  <c r="D235" i="105"/>
  <c r="C235" i="105"/>
  <c r="W235" i="105" s="1"/>
  <c r="A235" i="105"/>
  <c r="U234" i="105"/>
  <c r="T234" i="105"/>
  <c r="S234" i="105"/>
  <c r="R234" i="105"/>
  <c r="Q234" i="105"/>
  <c r="P234" i="105"/>
  <c r="O234" i="105"/>
  <c r="N234" i="105"/>
  <c r="M234" i="105"/>
  <c r="L234" i="105"/>
  <c r="K234" i="105"/>
  <c r="J234" i="105"/>
  <c r="I234" i="105"/>
  <c r="H234" i="105"/>
  <c r="G234" i="105"/>
  <c r="F234" i="105"/>
  <c r="E234" i="105"/>
  <c r="D234" i="105"/>
  <c r="C234" i="105"/>
  <c r="W234" i="105" s="1"/>
  <c r="A234" i="105"/>
  <c r="U233" i="105"/>
  <c r="T233" i="105"/>
  <c r="S233" i="105"/>
  <c r="R233" i="105"/>
  <c r="Q233" i="105"/>
  <c r="P233" i="105"/>
  <c r="O233" i="105"/>
  <c r="N233" i="105"/>
  <c r="M233" i="105"/>
  <c r="L233" i="105"/>
  <c r="K233" i="105"/>
  <c r="J233" i="105"/>
  <c r="I233" i="105"/>
  <c r="H233" i="105"/>
  <c r="G233" i="105"/>
  <c r="F233" i="105"/>
  <c r="E233" i="105"/>
  <c r="D233" i="105"/>
  <c r="C233" i="105"/>
  <c r="W233" i="105" s="1"/>
  <c r="A233" i="105"/>
  <c r="U232" i="105"/>
  <c r="T232" i="105"/>
  <c r="S232" i="105"/>
  <c r="R232" i="105"/>
  <c r="Q232" i="105"/>
  <c r="P232" i="105"/>
  <c r="O232" i="105"/>
  <c r="N232" i="105"/>
  <c r="M232" i="105"/>
  <c r="L232" i="105"/>
  <c r="K232" i="105"/>
  <c r="J232" i="105"/>
  <c r="I232" i="105"/>
  <c r="H232" i="105"/>
  <c r="G232" i="105"/>
  <c r="F232" i="105"/>
  <c r="E232" i="105"/>
  <c r="D232" i="105"/>
  <c r="C232" i="105"/>
  <c r="W232" i="105" s="1"/>
  <c r="A232" i="105"/>
  <c r="D231" i="105"/>
  <c r="C231" i="105"/>
  <c r="W231" i="105" s="1"/>
  <c r="A231" i="105"/>
  <c r="D230" i="105"/>
  <c r="C230" i="105"/>
  <c r="W230" i="105" s="1"/>
  <c r="A230" i="105"/>
  <c r="D229" i="105"/>
  <c r="C229" i="105"/>
  <c r="W229" i="105" s="1"/>
  <c r="A229" i="105"/>
  <c r="D228" i="105"/>
  <c r="C228" i="105"/>
  <c r="W228" i="105" s="1"/>
  <c r="A228" i="105"/>
  <c r="D227" i="105"/>
  <c r="C227" i="105"/>
  <c r="W227" i="105" s="1"/>
  <c r="A227" i="105"/>
  <c r="D226" i="105"/>
  <c r="C226" i="105"/>
  <c r="W226" i="105" s="1"/>
  <c r="A226" i="105"/>
  <c r="D225" i="105"/>
  <c r="C225" i="105"/>
  <c r="W225" i="105" s="1"/>
  <c r="A225" i="105"/>
  <c r="D224" i="105"/>
  <c r="C224" i="105"/>
  <c r="W224" i="105" s="1"/>
  <c r="A224" i="105"/>
  <c r="D223" i="105"/>
  <c r="C223" i="105"/>
  <c r="W223" i="105" s="1"/>
  <c r="A223" i="105"/>
  <c r="V222" i="105"/>
  <c r="D222" i="105"/>
  <c r="C222" i="105"/>
  <c r="W222" i="105" s="1"/>
  <c r="A222" i="105"/>
  <c r="D221" i="105"/>
  <c r="C221" i="105"/>
  <c r="W221" i="105" s="1"/>
  <c r="A221" i="105"/>
  <c r="D220" i="105"/>
  <c r="C220" i="105"/>
  <c r="W220" i="105" s="1"/>
  <c r="A220" i="105"/>
  <c r="D219" i="105"/>
  <c r="C219" i="105"/>
  <c r="W219" i="105" s="1"/>
  <c r="A219" i="105"/>
  <c r="D218" i="105"/>
  <c r="C218" i="105"/>
  <c r="W218" i="105" s="1"/>
  <c r="A218" i="105"/>
  <c r="D217" i="105"/>
  <c r="C217" i="105"/>
  <c r="W217" i="105" s="1"/>
  <c r="A217" i="105"/>
  <c r="D216" i="105"/>
  <c r="C216" i="105"/>
  <c r="W216" i="105" s="1"/>
  <c r="A216" i="105"/>
  <c r="D215" i="105"/>
  <c r="C215" i="105"/>
  <c r="W215" i="105" s="1"/>
  <c r="A215" i="105"/>
  <c r="D214" i="105"/>
  <c r="C214" i="105"/>
  <c r="W214" i="105" s="1"/>
  <c r="A214" i="105"/>
  <c r="D213" i="105"/>
  <c r="C213" i="105"/>
  <c r="W213" i="105" s="1"/>
  <c r="A213" i="105"/>
  <c r="D212" i="105"/>
  <c r="C212" i="105"/>
  <c r="W212" i="105" s="1"/>
  <c r="A212" i="105"/>
  <c r="D211" i="105"/>
  <c r="C211" i="105"/>
  <c r="W211" i="105" s="1"/>
  <c r="A211" i="105"/>
  <c r="D210" i="105"/>
  <c r="C210" i="105"/>
  <c r="W210" i="105" s="1"/>
  <c r="A210" i="105"/>
  <c r="D209" i="105"/>
  <c r="C209" i="105"/>
  <c r="W209" i="105" s="1"/>
  <c r="A209" i="105"/>
  <c r="D208" i="105"/>
  <c r="C208" i="105"/>
  <c r="W208" i="105" s="1"/>
  <c r="A208" i="105"/>
  <c r="D207" i="105"/>
  <c r="C207" i="105"/>
  <c r="W207" i="105" s="1"/>
  <c r="A207" i="105"/>
  <c r="D206" i="105"/>
  <c r="C206" i="105"/>
  <c r="W206" i="105" s="1"/>
  <c r="A206" i="105"/>
  <c r="D205" i="105"/>
  <c r="C205" i="105"/>
  <c r="W205" i="105" s="1"/>
  <c r="A205" i="105"/>
  <c r="D204" i="105"/>
  <c r="C204" i="105"/>
  <c r="W204" i="105" s="1"/>
  <c r="A204" i="105"/>
  <c r="D203" i="105"/>
  <c r="C203" i="105"/>
  <c r="W203" i="105" s="1"/>
  <c r="A203" i="105"/>
  <c r="V202" i="105"/>
  <c r="D202" i="105"/>
  <c r="C202" i="105"/>
  <c r="W202" i="105" s="1"/>
  <c r="A202" i="105"/>
  <c r="D201" i="105"/>
  <c r="C201" i="105"/>
  <c r="W201" i="105" s="1"/>
  <c r="A201" i="105"/>
  <c r="D200" i="105"/>
  <c r="C200" i="105"/>
  <c r="W200" i="105" s="1"/>
  <c r="A200" i="105"/>
  <c r="D199" i="105"/>
  <c r="C199" i="105"/>
  <c r="W199" i="105" s="1"/>
  <c r="A199" i="105"/>
  <c r="D198" i="105"/>
  <c r="C198" i="105"/>
  <c r="W198" i="105" s="1"/>
  <c r="A198" i="105"/>
  <c r="D197" i="105"/>
  <c r="C197" i="105"/>
  <c r="W197" i="105" s="1"/>
  <c r="A197" i="105"/>
  <c r="D196" i="105"/>
  <c r="C196" i="105"/>
  <c r="W196" i="105" s="1"/>
  <c r="A196" i="105"/>
  <c r="D195" i="105"/>
  <c r="C195" i="105"/>
  <c r="W195" i="105" s="1"/>
  <c r="A195" i="105"/>
  <c r="D194" i="105"/>
  <c r="C194" i="105"/>
  <c r="W194" i="105" s="1"/>
  <c r="A194" i="105"/>
  <c r="D193" i="105"/>
  <c r="C193" i="105"/>
  <c r="W193" i="105" s="1"/>
  <c r="A193" i="105"/>
  <c r="D192" i="105"/>
  <c r="C192" i="105"/>
  <c r="W192" i="105" s="1"/>
  <c r="A192" i="105"/>
  <c r="D191" i="105"/>
  <c r="C191" i="105"/>
  <c r="W191" i="105" s="1"/>
  <c r="A191" i="105"/>
  <c r="D190" i="105"/>
  <c r="C190" i="105"/>
  <c r="W190" i="105" s="1"/>
  <c r="A190" i="105"/>
  <c r="D189" i="105"/>
  <c r="C189" i="105"/>
  <c r="W189" i="105" s="1"/>
  <c r="A189" i="105"/>
  <c r="D188" i="105"/>
  <c r="C188" i="105"/>
  <c r="W188" i="105" s="1"/>
  <c r="A188" i="105"/>
  <c r="D187" i="105"/>
  <c r="C187" i="105"/>
  <c r="W187" i="105" s="1"/>
  <c r="A187" i="105"/>
  <c r="D186" i="105"/>
  <c r="C186" i="105"/>
  <c r="W186" i="105" s="1"/>
  <c r="A186" i="105"/>
  <c r="D185" i="105"/>
  <c r="C185" i="105"/>
  <c r="W185" i="105" s="1"/>
  <c r="A185" i="105"/>
  <c r="D184" i="105"/>
  <c r="C184" i="105"/>
  <c r="W184" i="105" s="1"/>
  <c r="A184" i="105"/>
  <c r="D183" i="105"/>
  <c r="C183" i="105"/>
  <c r="W183" i="105" s="1"/>
  <c r="A183" i="105"/>
  <c r="D182" i="105"/>
  <c r="C182" i="105"/>
  <c r="W182" i="105" s="1"/>
  <c r="A182" i="105"/>
  <c r="D181" i="105"/>
  <c r="C181" i="105"/>
  <c r="W181" i="105" s="1"/>
  <c r="A181" i="105"/>
  <c r="D180" i="105"/>
  <c r="C180" i="105"/>
  <c r="W180" i="105" s="1"/>
  <c r="A180" i="105"/>
  <c r="D179" i="105"/>
  <c r="C179" i="105"/>
  <c r="W179" i="105" s="1"/>
  <c r="A179" i="105"/>
  <c r="D178" i="105"/>
  <c r="C178" i="105"/>
  <c r="W178" i="105" s="1"/>
  <c r="A178" i="105"/>
  <c r="D177" i="105"/>
  <c r="C177" i="105"/>
  <c r="W177" i="105" s="1"/>
  <c r="A177" i="105"/>
  <c r="D176" i="105"/>
  <c r="C176" i="105"/>
  <c r="W176" i="105" s="1"/>
  <c r="A176" i="105"/>
  <c r="D175" i="105"/>
  <c r="C175" i="105"/>
  <c r="W175" i="105" s="1"/>
  <c r="A175" i="105"/>
  <c r="D174" i="105"/>
  <c r="C174" i="105"/>
  <c r="W174" i="105" s="1"/>
  <c r="A174" i="105"/>
  <c r="D173" i="105"/>
  <c r="C173" i="105"/>
  <c r="W173" i="105" s="1"/>
  <c r="A173" i="105"/>
  <c r="D172" i="105"/>
  <c r="C172" i="105"/>
  <c r="W172" i="105" s="1"/>
  <c r="A172" i="105"/>
  <c r="D171" i="105"/>
  <c r="C171" i="105"/>
  <c r="W171" i="105" s="1"/>
  <c r="A171" i="105"/>
  <c r="D170" i="105"/>
  <c r="C170" i="105"/>
  <c r="W170" i="105" s="1"/>
  <c r="A170" i="105"/>
  <c r="D169" i="105"/>
  <c r="C169" i="105"/>
  <c r="W169" i="105" s="1"/>
  <c r="A169" i="105"/>
  <c r="D168" i="105"/>
  <c r="C168" i="105"/>
  <c r="W168" i="105" s="1"/>
  <c r="A168" i="105"/>
  <c r="D167" i="105"/>
  <c r="C167" i="105"/>
  <c r="W167" i="105" s="1"/>
  <c r="A167" i="105"/>
  <c r="D166" i="105"/>
  <c r="C166" i="105"/>
  <c r="W166" i="105" s="1"/>
  <c r="A166" i="105"/>
  <c r="D165" i="105"/>
  <c r="C165" i="105"/>
  <c r="W165" i="105" s="1"/>
  <c r="A165" i="105"/>
  <c r="D164" i="105"/>
  <c r="C164" i="105"/>
  <c r="W164" i="105" s="1"/>
  <c r="A164" i="105"/>
  <c r="D163" i="105"/>
  <c r="C163" i="105"/>
  <c r="W163" i="105" s="1"/>
  <c r="A163" i="105"/>
  <c r="D162" i="105"/>
  <c r="C162" i="105"/>
  <c r="W162" i="105" s="1"/>
  <c r="A162" i="105"/>
  <c r="D161" i="105"/>
  <c r="C161" i="105"/>
  <c r="W161" i="105" s="1"/>
  <c r="A161" i="105"/>
  <c r="D160" i="105"/>
  <c r="C160" i="105"/>
  <c r="W160" i="105" s="1"/>
  <c r="A160" i="105"/>
  <c r="D159" i="105"/>
  <c r="C159" i="105"/>
  <c r="W159" i="105" s="1"/>
  <c r="A159" i="105"/>
  <c r="D158" i="105"/>
  <c r="C158" i="105"/>
  <c r="W158" i="105" s="1"/>
  <c r="A158" i="105"/>
  <c r="D157" i="105"/>
  <c r="C157" i="105"/>
  <c r="W157" i="105" s="1"/>
  <c r="A157" i="105"/>
  <c r="D156" i="105"/>
  <c r="C156" i="105"/>
  <c r="W156" i="105" s="1"/>
  <c r="A156" i="105"/>
  <c r="D155" i="105"/>
  <c r="C155" i="105"/>
  <c r="W155" i="105" s="1"/>
  <c r="A155" i="105"/>
  <c r="D154" i="105"/>
  <c r="C154" i="105"/>
  <c r="W154" i="105" s="1"/>
  <c r="A154" i="105"/>
  <c r="D153" i="105"/>
  <c r="C153" i="105"/>
  <c r="W153" i="105" s="1"/>
  <c r="A153" i="105"/>
  <c r="D152" i="105"/>
  <c r="C152" i="105"/>
  <c r="W152" i="105" s="1"/>
  <c r="A152" i="105"/>
  <c r="D151" i="105"/>
  <c r="C151" i="105"/>
  <c r="W151" i="105" s="1"/>
  <c r="A151" i="105"/>
  <c r="D150" i="105"/>
  <c r="C150" i="105"/>
  <c r="W150" i="105" s="1"/>
  <c r="A150" i="105"/>
  <c r="D149" i="105"/>
  <c r="C149" i="105"/>
  <c r="W149" i="105" s="1"/>
  <c r="A149" i="105"/>
  <c r="D148" i="105"/>
  <c r="C148" i="105"/>
  <c r="W148" i="105" s="1"/>
  <c r="A148" i="105"/>
  <c r="D147" i="105"/>
  <c r="C147" i="105"/>
  <c r="W147" i="105" s="1"/>
  <c r="A147" i="105"/>
  <c r="D146" i="105"/>
  <c r="C146" i="105"/>
  <c r="W146" i="105" s="1"/>
  <c r="A146" i="105"/>
  <c r="D145" i="105"/>
  <c r="C145" i="105"/>
  <c r="W145" i="105" s="1"/>
  <c r="A145" i="105"/>
  <c r="D144" i="105"/>
  <c r="C144" i="105"/>
  <c r="W144" i="105" s="1"/>
  <c r="A144" i="105"/>
  <c r="D143" i="105"/>
  <c r="C143" i="105"/>
  <c r="W143" i="105" s="1"/>
  <c r="A143" i="105"/>
  <c r="D142" i="105"/>
  <c r="C142" i="105"/>
  <c r="W142" i="105" s="1"/>
  <c r="A142" i="105"/>
  <c r="AO141" i="105"/>
  <c r="AO142" i="105" s="1"/>
  <c r="AO143" i="105" s="1"/>
  <c r="AO144" i="105" s="1"/>
  <c r="AO145" i="105" s="1"/>
  <c r="AO146" i="105" s="1"/>
  <c r="AO147" i="105" s="1"/>
  <c r="AO148" i="105" s="1"/>
  <c r="AO149" i="105" s="1"/>
  <c r="AN141" i="105"/>
  <c r="AN142" i="105" s="1"/>
  <c r="AN143" i="105" s="1"/>
  <c r="AN144" i="105" s="1"/>
  <c r="AN145" i="105" s="1"/>
  <c r="AN146" i="105" s="1"/>
  <c r="AN147" i="105" s="1"/>
  <c r="AN148" i="105" s="1"/>
  <c r="AN149" i="105" s="1"/>
  <c r="AM141" i="105"/>
  <c r="AM142" i="105" s="1"/>
  <c r="AM143" i="105" s="1"/>
  <c r="AM144" i="105" s="1"/>
  <c r="AM145" i="105" s="1"/>
  <c r="AM146" i="105" s="1"/>
  <c r="AM147" i="105" s="1"/>
  <c r="AM148" i="105" s="1"/>
  <c r="AM149" i="105" s="1"/>
  <c r="AL141" i="105"/>
  <c r="AL142" i="105" s="1"/>
  <c r="AL143" i="105" s="1"/>
  <c r="AL144" i="105" s="1"/>
  <c r="AL145" i="105" s="1"/>
  <c r="AL146" i="105" s="1"/>
  <c r="AL147" i="105" s="1"/>
  <c r="AL148" i="105" s="1"/>
  <c r="AL149" i="105" s="1"/>
  <c r="AK141" i="105"/>
  <c r="AK142" i="105" s="1"/>
  <c r="AK143" i="105" s="1"/>
  <c r="AK144" i="105" s="1"/>
  <c r="AK145" i="105" s="1"/>
  <c r="AK146" i="105" s="1"/>
  <c r="AK147" i="105" s="1"/>
  <c r="AK148" i="105" s="1"/>
  <c r="AK149" i="105" s="1"/>
  <c r="AJ141" i="105"/>
  <c r="AJ142" i="105" s="1"/>
  <c r="AJ143" i="105" s="1"/>
  <c r="AJ144" i="105" s="1"/>
  <c r="AJ145" i="105" s="1"/>
  <c r="AJ146" i="105" s="1"/>
  <c r="AJ147" i="105" s="1"/>
  <c r="AJ148" i="105" s="1"/>
  <c r="AJ149" i="105" s="1"/>
  <c r="AI141" i="105"/>
  <c r="AI142" i="105" s="1"/>
  <c r="AI143" i="105" s="1"/>
  <c r="AI144" i="105" s="1"/>
  <c r="AI145" i="105" s="1"/>
  <c r="AI146" i="105" s="1"/>
  <c r="AI147" i="105" s="1"/>
  <c r="AI148" i="105" s="1"/>
  <c r="AI149" i="105" s="1"/>
  <c r="AH141" i="105"/>
  <c r="AH142" i="105" s="1"/>
  <c r="AH143" i="105" s="1"/>
  <c r="AH144" i="105" s="1"/>
  <c r="AH145" i="105" s="1"/>
  <c r="AH146" i="105" s="1"/>
  <c r="AH147" i="105" s="1"/>
  <c r="AH148" i="105" s="1"/>
  <c r="AH149" i="105" s="1"/>
  <c r="AG141" i="105"/>
  <c r="AG142" i="105" s="1"/>
  <c r="AG143" i="105" s="1"/>
  <c r="AG144" i="105" s="1"/>
  <c r="AG145" i="105" s="1"/>
  <c r="AG146" i="105" s="1"/>
  <c r="AG147" i="105" s="1"/>
  <c r="AG148" i="105" s="1"/>
  <c r="AG149" i="105" s="1"/>
  <c r="AF141" i="105"/>
  <c r="AF142" i="105" s="1"/>
  <c r="AF143" i="105" s="1"/>
  <c r="AF144" i="105" s="1"/>
  <c r="AF145" i="105" s="1"/>
  <c r="AF146" i="105" s="1"/>
  <c r="AF147" i="105" s="1"/>
  <c r="AF148" i="105" s="1"/>
  <c r="AF149" i="105" s="1"/>
  <c r="AE141" i="105"/>
  <c r="AE142" i="105" s="1"/>
  <c r="AE143" i="105" s="1"/>
  <c r="AE144" i="105" s="1"/>
  <c r="AE145" i="105" s="1"/>
  <c r="AE146" i="105" s="1"/>
  <c r="AE147" i="105" s="1"/>
  <c r="AE148" i="105" s="1"/>
  <c r="AE149" i="105" s="1"/>
  <c r="AD141" i="105"/>
  <c r="AD142" i="105" s="1"/>
  <c r="AD143" i="105" s="1"/>
  <c r="AD144" i="105" s="1"/>
  <c r="AD145" i="105" s="1"/>
  <c r="AD146" i="105" s="1"/>
  <c r="AD147" i="105" s="1"/>
  <c r="AD148" i="105" s="1"/>
  <c r="AD149" i="105" s="1"/>
  <c r="AC141" i="105"/>
  <c r="AC142" i="105" s="1"/>
  <c r="AC143" i="105" s="1"/>
  <c r="AC144" i="105" s="1"/>
  <c r="AC145" i="105" s="1"/>
  <c r="AC146" i="105" s="1"/>
  <c r="AC147" i="105" s="1"/>
  <c r="AC148" i="105" s="1"/>
  <c r="AC149" i="105" s="1"/>
  <c r="AB141" i="105"/>
  <c r="AB142" i="105" s="1"/>
  <c r="AB143" i="105" s="1"/>
  <c r="AB144" i="105" s="1"/>
  <c r="AB145" i="105" s="1"/>
  <c r="AB146" i="105" s="1"/>
  <c r="AB147" i="105" s="1"/>
  <c r="AB148" i="105" s="1"/>
  <c r="AB149" i="105" s="1"/>
  <c r="AA141" i="105"/>
  <c r="AA142" i="105" s="1"/>
  <c r="AA143" i="105" s="1"/>
  <c r="AA144" i="105" s="1"/>
  <c r="AA145" i="105" s="1"/>
  <c r="AA146" i="105" s="1"/>
  <c r="AA147" i="105" s="1"/>
  <c r="AA148" i="105" s="1"/>
  <c r="AA149" i="105" s="1"/>
  <c r="Z141" i="105"/>
  <c r="Z142" i="105" s="1"/>
  <c r="Z143" i="105" s="1"/>
  <c r="Z144" i="105" s="1"/>
  <c r="Z145" i="105" s="1"/>
  <c r="Z146" i="105" s="1"/>
  <c r="Z147" i="105" s="1"/>
  <c r="Z148" i="105" s="1"/>
  <c r="Z149" i="105" s="1"/>
  <c r="D141" i="105"/>
  <c r="C141" i="105"/>
  <c r="W141" i="105" s="1"/>
  <c r="A141" i="105"/>
  <c r="AP140" i="105"/>
  <c r="AP141" i="105" s="1"/>
  <c r="AP142" i="105" s="1"/>
  <c r="AP143" i="105" s="1"/>
  <c r="AP144" i="105" s="1"/>
  <c r="AP145" i="105" s="1"/>
  <c r="AP146" i="105" s="1"/>
  <c r="AP147" i="105" s="1"/>
  <c r="AP148" i="105" s="1"/>
  <c r="AP149" i="105" s="1"/>
  <c r="D140" i="105"/>
  <c r="C140" i="105"/>
  <c r="W140" i="105" s="1"/>
  <c r="A140" i="105"/>
  <c r="D139" i="105"/>
  <c r="C139" i="105"/>
  <c r="W139" i="105" s="1"/>
  <c r="A139" i="105"/>
  <c r="D138" i="105"/>
  <c r="C138" i="105"/>
  <c r="W138" i="105" s="1"/>
  <c r="A138" i="105"/>
  <c r="D137" i="105"/>
  <c r="C137" i="105"/>
  <c r="W137" i="105" s="1"/>
  <c r="A137" i="105"/>
  <c r="D136" i="105"/>
  <c r="C136" i="105"/>
  <c r="W136" i="105" s="1"/>
  <c r="A136" i="105"/>
  <c r="D135" i="105"/>
  <c r="C135" i="105"/>
  <c r="W135" i="105" s="1"/>
  <c r="A135" i="105"/>
  <c r="D134" i="105"/>
  <c r="C134" i="105"/>
  <c r="W134" i="105" s="1"/>
  <c r="A134" i="105"/>
  <c r="D133" i="105"/>
  <c r="C133" i="105"/>
  <c r="W133" i="105" s="1"/>
  <c r="A133" i="105"/>
  <c r="D132" i="105"/>
  <c r="C132" i="105"/>
  <c r="W132" i="105" s="1"/>
  <c r="A132" i="105"/>
  <c r="D131" i="105"/>
  <c r="C131" i="105"/>
  <c r="W131" i="105" s="1"/>
  <c r="A131" i="105"/>
  <c r="D130" i="105"/>
  <c r="C130" i="105"/>
  <c r="W130" i="105" s="1"/>
  <c r="A130" i="105"/>
  <c r="D129" i="105"/>
  <c r="C129" i="105"/>
  <c r="W129" i="105" s="1"/>
  <c r="A129" i="105"/>
  <c r="D128" i="105"/>
  <c r="C128" i="105"/>
  <c r="W128" i="105" s="1"/>
  <c r="A128" i="105"/>
  <c r="D127" i="105"/>
  <c r="C127" i="105"/>
  <c r="W127" i="105" s="1"/>
  <c r="A127" i="105"/>
  <c r="D126" i="105"/>
  <c r="C126" i="105"/>
  <c r="W126" i="105" s="1"/>
  <c r="A126" i="105"/>
  <c r="D125" i="105"/>
  <c r="C125" i="105"/>
  <c r="W125" i="105" s="1"/>
  <c r="A125" i="105"/>
  <c r="D124" i="105"/>
  <c r="C124" i="105"/>
  <c r="W124" i="105" s="1"/>
  <c r="A124" i="105"/>
  <c r="D123" i="105"/>
  <c r="C123" i="105"/>
  <c r="W123" i="105" s="1"/>
  <c r="A123" i="105"/>
  <c r="D122" i="105"/>
  <c r="C122" i="105"/>
  <c r="W122" i="105" s="1"/>
  <c r="A122" i="105"/>
  <c r="D121" i="105"/>
  <c r="C121" i="105"/>
  <c r="W121" i="105" s="1"/>
  <c r="A121" i="105"/>
  <c r="D120" i="105"/>
  <c r="C120" i="105"/>
  <c r="W120" i="105" s="1"/>
  <c r="A120" i="105"/>
  <c r="D119" i="105"/>
  <c r="C119" i="105"/>
  <c r="W119" i="105" s="1"/>
  <c r="A119" i="105"/>
  <c r="D118" i="105"/>
  <c r="C118" i="105"/>
  <c r="W118" i="105" s="1"/>
  <c r="A118" i="105"/>
  <c r="D117" i="105"/>
  <c r="C117" i="105"/>
  <c r="W117" i="105" s="1"/>
  <c r="A117" i="105"/>
  <c r="D116" i="105"/>
  <c r="C116" i="105"/>
  <c r="W116" i="105" s="1"/>
  <c r="A116" i="105"/>
  <c r="D115" i="105"/>
  <c r="C115" i="105"/>
  <c r="W115" i="105" s="1"/>
  <c r="A115" i="105"/>
  <c r="D114" i="105"/>
  <c r="C114" i="105"/>
  <c r="W114" i="105" s="1"/>
  <c r="A114" i="105"/>
  <c r="D113" i="105"/>
  <c r="C113" i="105"/>
  <c r="W113" i="105" s="1"/>
  <c r="A113" i="105"/>
  <c r="D112" i="105"/>
  <c r="C112" i="105"/>
  <c r="W112" i="105" s="1"/>
  <c r="A112" i="105"/>
  <c r="D111" i="105"/>
  <c r="C111" i="105"/>
  <c r="W111" i="105" s="1"/>
  <c r="A111" i="105"/>
  <c r="D110" i="105"/>
  <c r="C110" i="105"/>
  <c r="W110" i="105" s="1"/>
  <c r="A110" i="105"/>
  <c r="D109" i="105"/>
  <c r="C109" i="105"/>
  <c r="W109" i="105" s="1"/>
  <c r="A109" i="105"/>
  <c r="D108" i="105"/>
  <c r="C108" i="105"/>
  <c r="W108" i="105" s="1"/>
  <c r="A108" i="105"/>
  <c r="D107" i="105"/>
  <c r="C107" i="105"/>
  <c r="W107" i="105" s="1"/>
  <c r="A107" i="105"/>
  <c r="D106" i="105"/>
  <c r="C106" i="105"/>
  <c r="W106" i="105" s="1"/>
  <c r="A106" i="105"/>
  <c r="D105" i="105"/>
  <c r="C105" i="105"/>
  <c r="W105" i="105" s="1"/>
  <c r="A105" i="105"/>
  <c r="D104" i="105"/>
  <c r="C104" i="105"/>
  <c r="W104" i="105" s="1"/>
  <c r="A104" i="105"/>
  <c r="D103" i="105"/>
  <c r="C103" i="105"/>
  <c r="W103" i="105" s="1"/>
  <c r="A103" i="105"/>
  <c r="D102" i="105"/>
  <c r="C102" i="105"/>
  <c r="W102" i="105" s="1"/>
  <c r="A102" i="105"/>
  <c r="D101" i="105"/>
  <c r="C101" i="105"/>
  <c r="W101" i="105" s="1"/>
  <c r="A101" i="105"/>
  <c r="U100" i="105"/>
  <c r="U101" i="105" s="1"/>
  <c r="U102" i="105" s="1"/>
  <c r="U103" i="105" s="1"/>
  <c r="U104" i="105" s="1"/>
  <c r="U105" i="105" s="1"/>
  <c r="U106" i="105" s="1"/>
  <c r="U107" i="105" s="1"/>
  <c r="U108" i="105" s="1"/>
  <c r="U109" i="105" s="1"/>
  <c r="T100" i="105"/>
  <c r="T101" i="105" s="1"/>
  <c r="T102" i="105" s="1"/>
  <c r="T103" i="105" s="1"/>
  <c r="T104" i="105" s="1"/>
  <c r="T105" i="105" s="1"/>
  <c r="T106" i="105" s="1"/>
  <c r="T107" i="105" s="1"/>
  <c r="T108" i="105" s="1"/>
  <c r="T109" i="105" s="1"/>
  <c r="S100" i="105"/>
  <c r="S101" i="105" s="1"/>
  <c r="S102" i="105" s="1"/>
  <c r="S103" i="105" s="1"/>
  <c r="S104" i="105" s="1"/>
  <c r="S105" i="105" s="1"/>
  <c r="S106" i="105" s="1"/>
  <c r="S107" i="105" s="1"/>
  <c r="S108" i="105" s="1"/>
  <c r="S109" i="105" s="1"/>
  <c r="R100" i="105"/>
  <c r="R101" i="105" s="1"/>
  <c r="R102" i="105" s="1"/>
  <c r="R103" i="105" s="1"/>
  <c r="R104" i="105" s="1"/>
  <c r="R105" i="105" s="1"/>
  <c r="R106" i="105" s="1"/>
  <c r="R107" i="105" s="1"/>
  <c r="R108" i="105" s="1"/>
  <c r="R109" i="105" s="1"/>
  <c r="Q100" i="105"/>
  <c r="Q101" i="105" s="1"/>
  <c r="Q102" i="105" s="1"/>
  <c r="Q103" i="105" s="1"/>
  <c r="Q104" i="105" s="1"/>
  <c r="Q105" i="105" s="1"/>
  <c r="Q106" i="105" s="1"/>
  <c r="Q107" i="105" s="1"/>
  <c r="Q108" i="105" s="1"/>
  <c r="Q109" i="105" s="1"/>
  <c r="P100" i="105"/>
  <c r="P101" i="105" s="1"/>
  <c r="P102" i="105" s="1"/>
  <c r="P103" i="105" s="1"/>
  <c r="P104" i="105" s="1"/>
  <c r="P105" i="105" s="1"/>
  <c r="P106" i="105" s="1"/>
  <c r="P107" i="105" s="1"/>
  <c r="P108" i="105" s="1"/>
  <c r="P109" i="105" s="1"/>
  <c r="O100" i="105"/>
  <c r="O101" i="105" s="1"/>
  <c r="O102" i="105" s="1"/>
  <c r="O103" i="105" s="1"/>
  <c r="O104" i="105" s="1"/>
  <c r="O105" i="105" s="1"/>
  <c r="O106" i="105" s="1"/>
  <c r="O107" i="105" s="1"/>
  <c r="O108" i="105" s="1"/>
  <c r="O109" i="105" s="1"/>
  <c r="N100" i="105"/>
  <c r="N101" i="105" s="1"/>
  <c r="N102" i="105" s="1"/>
  <c r="N103" i="105" s="1"/>
  <c r="N104" i="105" s="1"/>
  <c r="N105" i="105" s="1"/>
  <c r="N106" i="105" s="1"/>
  <c r="N107" i="105" s="1"/>
  <c r="N108" i="105" s="1"/>
  <c r="N109" i="105" s="1"/>
  <c r="M100" i="105"/>
  <c r="M101" i="105" s="1"/>
  <c r="M102" i="105" s="1"/>
  <c r="M103" i="105" s="1"/>
  <c r="M104" i="105" s="1"/>
  <c r="M105" i="105" s="1"/>
  <c r="M106" i="105" s="1"/>
  <c r="M107" i="105" s="1"/>
  <c r="M108" i="105" s="1"/>
  <c r="M109" i="105" s="1"/>
  <c r="L100" i="105"/>
  <c r="L101" i="105" s="1"/>
  <c r="L102" i="105" s="1"/>
  <c r="L103" i="105" s="1"/>
  <c r="L104" i="105" s="1"/>
  <c r="L105" i="105" s="1"/>
  <c r="L106" i="105" s="1"/>
  <c r="L107" i="105" s="1"/>
  <c r="L108" i="105" s="1"/>
  <c r="L109" i="105" s="1"/>
  <c r="K100" i="105"/>
  <c r="K101" i="105" s="1"/>
  <c r="K102" i="105" s="1"/>
  <c r="K103" i="105" s="1"/>
  <c r="K104" i="105" s="1"/>
  <c r="K105" i="105" s="1"/>
  <c r="K106" i="105" s="1"/>
  <c r="K107" i="105" s="1"/>
  <c r="K108" i="105" s="1"/>
  <c r="K109" i="105" s="1"/>
  <c r="J100" i="105"/>
  <c r="J101" i="105" s="1"/>
  <c r="J102" i="105" s="1"/>
  <c r="J103" i="105" s="1"/>
  <c r="J104" i="105" s="1"/>
  <c r="J105" i="105" s="1"/>
  <c r="J106" i="105" s="1"/>
  <c r="J107" i="105" s="1"/>
  <c r="J108" i="105" s="1"/>
  <c r="J109" i="105" s="1"/>
  <c r="I100" i="105"/>
  <c r="I101" i="105" s="1"/>
  <c r="I102" i="105" s="1"/>
  <c r="I103" i="105" s="1"/>
  <c r="I104" i="105" s="1"/>
  <c r="I105" i="105" s="1"/>
  <c r="I106" i="105" s="1"/>
  <c r="I107" i="105" s="1"/>
  <c r="I108" i="105" s="1"/>
  <c r="I109" i="105" s="1"/>
  <c r="H100" i="105"/>
  <c r="H101" i="105" s="1"/>
  <c r="H102" i="105" s="1"/>
  <c r="H103" i="105" s="1"/>
  <c r="H104" i="105" s="1"/>
  <c r="H105" i="105" s="1"/>
  <c r="H106" i="105" s="1"/>
  <c r="H107" i="105" s="1"/>
  <c r="H108" i="105" s="1"/>
  <c r="H109" i="105" s="1"/>
  <c r="G100" i="105"/>
  <c r="G101" i="105" s="1"/>
  <c r="G102" i="105" s="1"/>
  <c r="G103" i="105" s="1"/>
  <c r="G104" i="105" s="1"/>
  <c r="G105" i="105" s="1"/>
  <c r="G106" i="105" s="1"/>
  <c r="G107" i="105" s="1"/>
  <c r="G108" i="105" s="1"/>
  <c r="G109" i="105" s="1"/>
  <c r="F100" i="105"/>
  <c r="F101" i="105" s="1"/>
  <c r="F102" i="105" s="1"/>
  <c r="F103" i="105" s="1"/>
  <c r="F104" i="105" s="1"/>
  <c r="F105" i="105" s="1"/>
  <c r="F106" i="105" s="1"/>
  <c r="F107" i="105" s="1"/>
  <c r="F108" i="105" s="1"/>
  <c r="F109" i="105" s="1"/>
  <c r="E100" i="105"/>
  <c r="E101" i="105" s="1"/>
  <c r="E102" i="105" s="1"/>
  <c r="E103" i="105" s="1"/>
  <c r="E104" i="105" s="1"/>
  <c r="E105" i="105" s="1"/>
  <c r="E106" i="105" s="1"/>
  <c r="E107" i="105" s="1"/>
  <c r="E108" i="105" s="1"/>
  <c r="E109" i="105" s="1"/>
  <c r="D100" i="105"/>
  <c r="C100" i="105"/>
  <c r="W100" i="105" s="1"/>
  <c r="A100" i="105"/>
  <c r="D99" i="105"/>
  <c r="C99" i="105"/>
  <c r="W99" i="105" s="1"/>
  <c r="A99" i="105"/>
  <c r="D98" i="105"/>
  <c r="C98" i="105"/>
  <c r="W98" i="105" s="1"/>
  <c r="A98" i="105"/>
  <c r="D97" i="105"/>
  <c r="C97" i="105"/>
  <c r="W97" i="105" s="1"/>
  <c r="A97" i="105"/>
  <c r="D96" i="105"/>
  <c r="C96" i="105"/>
  <c r="W96" i="105" s="1"/>
  <c r="A96" i="105"/>
  <c r="D95" i="105"/>
  <c r="C95" i="105"/>
  <c r="W95" i="105" s="1"/>
  <c r="A95" i="105"/>
  <c r="D94" i="105"/>
  <c r="C94" i="105"/>
  <c r="W94" i="105" s="1"/>
  <c r="A94" i="105"/>
  <c r="D93" i="105"/>
  <c r="C93" i="105"/>
  <c r="W93" i="105" s="1"/>
  <c r="A93" i="105"/>
  <c r="D92" i="105"/>
  <c r="C92" i="105"/>
  <c r="W92" i="105" s="1"/>
  <c r="A92" i="105"/>
  <c r="D91" i="105"/>
  <c r="C91" i="105"/>
  <c r="W91" i="105" s="1"/>
  <c r="A91" i="105"/>
  <c r="D90" i="105"/>
  <c r="C90" i="105"/>
  <c r="W90" i="105" s="1"/>
  <c r="A90" i="105"/>
  <c r="D89" i="105"/>
  <c r="C89" i="105"/>
  <c r="W89" i="105" s="1"/>
  <c r="A89" i="105"/>
  <c r="D88" i="105"/>
  <c r="C88" i="105"/>
  <c r="W88" i="105" s="1"/>
  <c r="A88" i="105"/>
  <c r="D87" i="105"/>
  <c r="C87" i="105"/>
  <c r="W87" i="105" s="1"/>
  <c r="A87" i="105"/>
  <c r="D86" i="105"/>
  <c r="C86" i="105"/>
  <c r="W86" i="105" s="1"/>
  <c r="A86" i="105"/>
  <c r="D85" i="105"/>
  <c r="C85" i="105"/>
  <c r="W85" i="105" s="1"/>
  <c r="A85" i="105"/>
  <c r="D84" i="105"/>
  <c r="C84" i="105"/>
  <c r="W84" i="105" s="1"/>
  <c r="A84" i="105"/>
  <c r="D83" i="105"/>
  <c r="C83" i="105"/>
  <c r="W83" i="105" s="1"/>
  <c r="A83" i="105"/>
  <c r="D82" i="105"/>
  <c r="C82" i="105"/>
  <c r="W82" i="105" s="1"/>
  <c r="A82" i="105"/>
  <c r="D81" i="105"/>
  <c r="C81" i="105"/>
  <c r="W81" i="105" s="1"/>
  <c r="A81" i="105"/>
  <c r="U80" i="105"/>
  <c r="U81" i="105" s="1"/>
  <c r="U82" i="105" s="1"/>
  <c r="U83" i="105" s="1"/>
  <c r="U84" i="105" s="1"/>
  <c r="U85" i="105" s="1"/>
  <c r="U86" i="105" s="1"/>
  <c r="U87" i="105" s="1"/>
  <c r="U88" i="105" s="1"/>
  <c r="U89" i="105" s="1"/>
  <c r="T80" i="105"/>
  <c r="T81" i="105" s="1"/>
  <c r="T82" i="105" s="1"/>
  <c r="T83" i="105" s="1"/>
  <c r="T84" i="105" s="1"/>
  <c r="T85" i="105" s="1"/>
  <c r="T86" i="105" s="1"/>
  <c r="T87" i="105" s="1"/>
  <c r="T88" i="105" s="1"/>
  <c r="T89" i="105" s="1"/>
  <c r="S80" i="105"/>
  <c r="S81" i="105" s="1"/>
  <c r="S82" i="105" s="1"/>
  <c r="S83" i="105" s="1"/>
  <c r="S84" i="105" s="1"/>
  <c r="S85" i="105" s="1"/>
  <c r="S86" i="105" s="1"/>
  <c r="S87" i="105" s="1"/>
  <c r="S88" i="105" s="1"/>
  <c r="S89" i="105" s="1"/>
  <c r="R80" i="105"/>
  <c r="R81" i="105" s="1"/>
  <c r="R82" i="105" s="1"/>
  <c r="R83" i="105" s="1"/>
  <c r="R84" i="105" s="1"/>
  <c r="R85" i="105" s="1"/>
  <c r="R86" i="105" s="1"/>
  <c r="R87" i="105" s="1"/>
  <c r="R88" i="105" s="1"/>
  <c r="R89" i="105" s="1"/>
  <c r="Q80" i="105"/>
  <c r="Q81" i="105" s="1"/>
  <c r="Q82" i="105" s="1"/>
  <c r="Q83" i="105" s="1"/>
  <c r="Q84" i="105" s="1"/>
  <c r="Q85" i="105" s="1"/>
  <c r="Q86" i="105" s="1"/>
  <c r="Q87" i="105" s="1"/>
  <c r="Q88" i="105" s="1"/>
  <c r="Q89" i="105" s="1"/>
  <c r="P80" i="105"/>
  <c r="P81" i="105" s="1"/>
  <c r="P82" i="105" s="1"/>
  <c r="P83" i="105" s="1"/>
  <c r="P84" i="105" s="1"/>
  <c r="P85" i="105" s="1"/>
  <c r="P86" i="105" s="1"/>
  <c r="P87" i="105" s="1"/>
  <c r="P88" i="105" s="1"/>
  <c r="P89" i="105" s="1"/>
  <c r="O80" i="105"/>
  <c r="O81" i="105" s="1"/>
  <c r="O82" i="105" s="1"/>
  <c r="O83" i="105" s="1"/>
  <c r="O84" i="105" s="1"/>
  <c r="O85" i="105" s="1"/>
  <c r="O86" i="105" s="1"/>
  <c r="O87" i="105" s="1"/>
  <c r="O88" i="105" s="1"/>
  <c r="O89" i="105" s="1"/>
  <c r="N80" i="105"/>
  <c r="N81" i="105" s="1"/>
  <c r="N82" i="105" s="1"/>
  <c r="N83" i="105" s="1"/>
  <c r="N84" i="105" s="1"/>
  <c r="N85" i="105" s="1"/>
  <c r="N86" i="105" s="1"/>
  <c r="N87" i="105" s="1"/>
  <c r="N88" i="105" s="1"/>
  <c r="N89" i="105" s="1"/>
  <c r="M80" i="105"/>
  <c r="M81" i="105" s="1"/>
  <c r="M82" i="105" s="1"/>
  <c r="M83" i="105" s="1"/>
  <c r="M84" i="105" s="1"/>
  <c r="M85" i="105" s="1"/>
  <c r="M86" i="105" s="1"/>
  <c r="M87" i="105" s="1"/>
  <c r="M88" i="105" s="1"/>
  <c r="M89" i="105" s="1"/>
  <c r="L80" i="105"/>
  <c r="L81" i="105" s="1"/>
  <c r="L82" i="105" s="1"/>
  <c r="L83" i="105" s="1"/>
  <c r="L84" i="105" s="1"/>
  <c r="L85" i="105" s="1"/>
  <c r="L86" i="105" s="1"/>
  <c r="L87" i="105" s="1"/>
  <c r="L88" i="105" s="1"/>
  <c r="L89" i="105" s="1"/>
  <c r="K80" i="105"/>
  <c r="K81" i="105" s="1"/>
  <c r="K82" i="105" s="1"/>
  <c r="K83" i="105" s="1"/>
  <c r="K84" i="105" s="1"/>
  <c r="K85" i="105" s="1"/>
  <c r="K86" i="105" s="1"/>
  <c r="K87" i="105" s="1"/>
  <c r="K88" i="105" s="1"/>
  <c r="K89" i="105" s="1"/>
  <c r="J80" i="105"/>
  <c r="J81" i="105" s="1"/>
  <c r="J82" i="105" s="1"/>
  <c r="J83" i="105" s="1"/>
  <c r="J84" i="105" s="1"/>
  <c r="J85" i="105" s="1"/>
  <c r="J86" i="105" s="1"/>
  <c r="J87" i="105" s="1"/>
  <c r="J88" i="105" s="1"/>
  <c r="J89" i="105" s="1"/>
  <c r="I80" i="105"/>
  <c r="I81" i="105" s="1"/>
  <c r="I82" i="105" s="1"/>
  <c r="I83" i="105" s="1"/>
  <c r="I84" i="105" s="1"/>
  <c r="I85" i="105" s="1"/>
  <c r="I86" i="105" s="1"/>
  <c r="I87" i="105" s="1"/>
  <c r="I88" i="105" s="1"/>
  <c r="I89" i="105" s="1"/>
  <c r="H80" i="105"/>
  <c r="H81" i="105" s="1"/>
  <c r="H82" i="105" s="1"/>
  <c r="H83" i="105" s="1"/>
  <c r="H84" i="105" s="1"/>
  <c r="H85" i="105" s="1"/>
  <c r="H86" i="105" s="1"/>
  <c r="H87" i="105" s="1"/>
  <c r="H88" i="105" s="1"/>
  <c r="H89" i="105" s="1"/>
  <c r="G80" i="105"/>
  <c r="G81" i="105" s="1"/>
  <c r="G82" i="105" s="1"/>
  <c r="G83" i="105" s="1"/>
  <c r="G84" i="105" s="1"/>
  <c r="G85" i="105" s="1"/>
  <c r="G86" i="105" s="1"/>
  <c r="G87" i="105" s="1"/>
  <c r="G88" i="105" s="1"/>
  <c r="G89" i="105" s="1"/>
  <c r="F80" i="105"/>
  <c r="F81" i="105" s="1"/>
  <c r="F82" i="105" s="1"/>
  <c r="F83" i="105" s="1"/>
  <c r="F84" i="105" s="1"/>
  <c r="F85" i="105" s="1"/>
  <c r="F86" i="105" s="1"/>
  <c r="F87" i="105" s="1"/>
  <c r="F88" i="105" s="1"/>
  <c r="F89" i="105" s="1"/>
  <c r="E80" i="105"/>
  <c r="E81" i="105" s="1"/>
  <c r="E82" i="105" s="1"/>
  <c r="E83" i="105" s="1"/>
  <c r="E84" i="105" s="1"/>
  <c r="E85" i="105" s="1"/>
  <c r="E86" i="105" s="1"/>
  <c r="E87" i="105" s="1"/>
  <c r="E88" i="105" s="1"/>
  <c r="E89" i="105" s="1"/>
  <c r="D80" i="105"/>
  <c r="C80" i="105"/>
  <c r="W80" i="105" s="1"/>
  <c r="A80" i="105"/>
  <c r="D79" i="105"/>
  <c r="C79" i="105"/>
  <c r="W79" i="105" s="1"/>
  <c r="A79" i="105"/>
  <c r="D78" i="105"/>
  <c r="C78" i="105"/>
  <c r="W78" i="105" s="1"/>
  <c r="A78" i="105"/>
  <c r="D77" i="105"/>
  <c r="C77" i="105"/>
  <c r="W77" i="105" s="1"/>
  <c r="A77" i="105"/>
  <c r="D76" i="105"/>
  <c r="C76" i="105"/>
  <c r="W76" i="105" s="1"/>
  <c r="A76" i="105"/>
  <c r="D75" i="105"/>
  <c r="C75" i="105"/>
  <c r="W75" i="105" s="1"/>
  <c r="A75" i="105"/>
  <c r="D74" i="105"/>
  <c r="C74" i="105"/>
  <c r="W74" i="105" s="1"/>
  <c r="A74" i="105"/>
  <c r="D73" i="105"/>
  <c r="C73" i="105"/>
  <c r="W73" i="105" s="1"/>
  <c r="A73" i="105"/>
  <c r="D72" i="105"/>
  <c r="C72" i="105"/>
  <c r="W72" i="105" s="1"/>
  <c r="A72" i="105"/>
  <c r="D71" i="105"/>
  <c r="C71" i="105"/>
  <c r="W71" i="105" s="1"/>
  <c r="A71" i="105"/>
  <c r="D70" i="105"/>
  <c r="C70" i="105"/>
  <c r="W70" i="105" s="1"/>
  <c r="A70" i="105"/>
  <c r="D69" i="105"/>
  <c r="C69" i="105"/>
  <c r="W69" i="105" s="1"/>
  <c r="A69" i="105"/>
  <c r="D68" i="105"/>
  <c r="C68" i="105"/>
  <c r="W68" i="105" s="1"/>
  <c r="A68" i="105"/>
  <c r="D67" i="105"/>
  <c r="C67" i="105"/>
  <c r="W67" i="105" s="1"/>
  <c r="A67" i="105"/>
  <c r="D66" i="105"/>
  <c r="C66" i="105"/>
  <c r="W66" i="105" s="1"/>
  <c r="A66" i="105"/>
  <c r="D65" i="105"/>
  <c r="C65" i="105"/>
  <c r="W65" i="105" s="1"/>
  <c r="A65" i="105"/>
  <c r="D64" i="105"/>
  <c r="C64" i="105"/>
  <c r="W64" i="105" s="1"/>
  <c r="A64" i="105"/>
  <c r="D63" i="105"/>
  <c r="C63" i="105"/>
  <c r="W63" i="105" s="1"/>
  <c r="A63" i="105"/>
  <c r="D62" i="105"/>
  <c r="C62" i="105"/>
  <c r="W62" i="105" s="1"/>
  <c r="A62" i="105"/>
  <c r="D61" i="105"/>
  <c r="C61" i="105"/>
  <c r="W61" i="105" s="1"/>
  <c r="A61" i="105"/>
  <c r="U60" i="105"/>
  <c r="U61" i="105" s="1"/>
  <c r="U62" i="105" s="1"/>
  <c r="U63" i="105" s="1"/>
  <c r="U64" i="105" s="1"/>
  <c r="U65" i="105" s="1"/>
  <c r="U66" i="105" s="1"/>
  <c r="U67" i="105" s="1"/>
  <c r="U68" i="105" s="1"/>
  <c r="U69" i="105" s="1"/>
  <c r="T60" i="105"/>
  <c r="T61" i="105" s="1"/>
  <c r="T62" i="105" s="1"/>
  <c r="T63" i="105" s="1"/>
  <c r="T64" i="105" s="1"/>
  <c r="T65" i="105" s="1"/>
  <c r="T66" i="105" s="1"/>
  <c r="T67" i="105" s="1"/>
  <c r="T68" i="105" s="1"/>
  <c r="T69" i="105" s="1"/>
  <c r="S60" i="105"/>
  <c r="S61" i="105" s="1"/>
  <c r="S62" i="105" s="1"/>
  <c r="S63" i="105" s="1"/>
  <c r="S64" i="105" s="1"/>
  <c r="S65" i="105" s="1"/>
  <c r="S66" i="105" s="1"/>
  <c r="S67" i="105" s="1"/>
  <c r="S68" i="105" s="1"/>
  <c r="S69" i="105" s="1"/>
  <c r="R60" i="105"/>
  <c r="R61" i="105" s="1"/>
  <c r="R62" i="105" s="1"/>
  <c r="R63" i="105" s="1"/>
  <c r="R64" i="105" s="1"/>
  <c r="R65" i="105" s="1"/>
  <c r="R66" i="105" s="1"/>
  <c r="R67" i="105" s="1"/>
  <c r="R68" i="105" s="1"/>
  <c r="R69" i="105" s="1"/>
  <c r="Q60" i="105"/>
  <c r="Q61" i="105" s="1"/>
  <c r="Q62" i="105" s="1"/>
  <c r="Q63" i="105" s="1"/>
  <c r="Q64" i="105" s="1"/>
  <c r="Q65" i="105" s="1"/>
  <c r="Q66" i="105" s="1"/>
  <c r="Q67" i="105" s="1"/>
  <c r="Q68" i="105" s="1"/>
  <c r="Q69" i="105" s="1"/>
  <c r="P60" i="105"/>
  <c r="P61" i="105" s="1"/>
  <c r="P62" i="105" s="1"/>
  <c r="P63" i="105" s="1"/>
  <c r="P64" i="105" s="1"/>
  <c r="P65" i="105" s="1"/>
  <c r="P66" i="105" s="1"/>
  <c r="P67" i="105" s="1"/>
  <c r="P68" i="105" s="1"/>
  <c r="P69" i="105" s="1"/>
  <c r="O60" i="105"/>
  <c r="O61" i="105" s="1"/>
  <c r="O62" i="105" s="1"/>
  <c r="O63" i="105" s="1"/>
  <c r="O64" i="105" s="1"/>
  <c r="O65" i="105" s="1"/>
  <c r="O66" i="105" s="1"/>
  <c r="O67" i="105" s="1"/>
  <c r="O68" i="105" s="1"/>
  <c r="O69" i="105" s="1"/>
  <c r="N60" i="105"/>
  <c r="N61" i="105" s="1"/>
  <c r="N62" i="105" s="1"/>
  <c r="N63" i="105" s="1"/>
  <c r="N64" i="105" s="1"/>
  <c r="N65" i="105" s="1"/>
  <c r="N66" i="105" s="1"/>
  <c r="N67" i="105" s="1"/>
  <c r="N68" i="105" s="1"/>
  <c r="N69" i="105" s="1"/>
  <c r="M60" i="105"/>
  <c r="M61" i="105" s="1"/>
  <c r="M62" i="105" s="1"/>
  <c r="M63" i="105" s="1"/>
  <c r="M64" i="105" s="1"/>
  <c r="M65" i="105" s="1"/>
  <c r="M66" i="105" s="1"/>
  <c r="M67" i="105" s="1"/>
  <c r="M68" i="105" s="1"/>
  <c r="M69" i="105" s="1"/>
  <c r="L60" i="105"/>
  <c r="L61" i="105" s="1"/>
  <c r="L62" i="105" s="1"/>
  <c r="L63" i="105" s="1"/>
  <c r="L64" i="105" s="1"/>
  <c r="L65" i="105" s="1"/>
  <c r="L66" i="105" s="1"/>
  <c r="L67" i="105" s="1"/>
  <c r="L68" i="105" s="1"/>
  <c r="L69" i="105" s="1"/>
  <c r="K60" i="105"/>
  <c r="K61" i="105" s="1"/>
  <c r="K62" i="105" s="1"/>
  <c r="K63" i="105" s="1"/>
  <c r="K64" i="105" s="1"/>
  <c r="K65" i="105" s="1"/>
  <c r="K66" i="105" s="1"/>
  <c r="K67" i="105" s="1"/>
  <c r="K68" i="105" s="1"/>
  <c r="K69" i="105" s="1"/>
  <c r="J60" i="105"/>
  <c r="J61" i="105" s="1"/>
  <c r="J62" i="105" s="1"/>
  <c r="J63" i="105" s="1"/>
  <c r="J64" i="105" s="1"/>
  <c r="J65" i="105" s="1"/>
  <c r="J66" i="105" s="1"/>
  <c r="J67" i="105" s="1"/>
  <c r="J68" i="105" s="1"/>
  <c r="J69" i="105" s="1"/>
  <c r="I60" i="105"/>
  <c r="I61" i="105" s="1"/>
  <c r="I62" i="105" s="1"/>
  <c r="I63" i="105" s="1"/>
  <c r="I64" i="105" s="1"/>
  <c r="I65" i="105" s="1"/>
  <c r="I66" i="105" s="1"/>
  <c r="I67" i="105" s="1"/>
  <c r="I68" i="105" s="1"/>
  <c r="I69" i="105" s="1"/>
  <c r="H60" i="105"/>
  <c r="H61" i="105" s="1"/>
  <c r="H62" i="105" s="1"/>
  <c r="H63" i="105" s="1"/>
  <c r="H64" i="105" s="1"/>
  <c r="H65" i="105" s="1"/>
  <c r="H66" i="105" s="1"/>
  <c r="H67" i="105" s="1"/>
  <c r="H68" i="105" s="1"/>
  <c r="H69" i="105" s="1"/>
  <c r="G60" i="105"/>
  <c r="G61" i="105" s="1"/>
  <c r="G62" i="105" s="1"/>
  <c r="G63" i="105" s="1"/>
  <c r="G64" i="105" s="1"/>
  <c r="G65" i="105" s="1"/>
  <c r="G66" i="105" s="1"/>
  <c r="G67" i="105" s="1"/>
  <c r="G68" i="105" s="1"/>
  <c r="G69" i="105" s="1"/>
  <c r="F60" i="105"/>
  <c r="F61" i="105" s="1"/>
  <c r="F62" i="105" s="1"/>
  <c r="F63" i="105" s="1"/>
  <c r="F64" i="105" s="1"/>
  <c r="F65" i="105" s="1"/>
  <c r="F66" i="105" s="1"/>
  <c r="F67" i="105" s="1"/>
  <c r="F68" i="105" s="1"/>
  <c r="F69" i="105" s="1"/>
  <c r="E60" i="105"/>
  <c r="E61" i="105" s="1"/>
  <c r="E62" i="105" s="1"/>
  <c r="E63" i="105" s="1"/>
  <c r="E64" i="105" s="1"/>
  <c r="E65" i="105" s="1"/>
  <c r="E66" i="105" s="1"/>
  <c r="E67" i="105" s="1"/>
  <c r="E68" i="105" s="1"/>
  <c r="E69" i="105" s="1"/>
  <c r="D60" i="105"/>
  <c r="C60" i="105"/>
  <c r="W60" i="105" s="1"/>
  <c r="A60" i="105"/>
  <c r="D59" i="105"/>
  <c r="C59" i="105"/>
  <c r="W59" i="105" s="1"/>
  <c r="A59" i="105"/>
  <c r="D58" i="105"/>
  <c r="C58" i="105"/>
  <c r="W58" i="105" s="1"/>
  <c r="A58" i="105"/>
  <c r="D57" i="105"/>
  <c r="C57" i="105"/>
  <c r="W57" i="105" s="1"/>
  <c r="A57" i="105"/>
  <c r="D56" i="105"/>
  <c r="C56" i="105"/>
  <c r="W56" i="105" s="1"/>
  <c r="A56" i="105"/>
  <c r="D55" i="105"/>
  <c r="C55" i="105"/>
  <c r="W55" i="105" s="1"/>
  <c r="A55" i="105"/>
  <c r="D54" i="105"/>
  <c r="C54" i="105"/>
  <c r="W54" i="105" s="1"/>
  <c r="A54" i="105"/>
  <c r="D53" i="105"/>
  <c r="C53" i="105"/>
  <c r="W53" i="105" s="1"/>
  <c r="A53" i="105"/>
  <c r="D52" i="105"/>
  <c r="C52" i="105"/>
  <c r="W52" i="105" s="1"/>
  <c r="A52" i="105"/>
  <c r="D51" i="105"/>
  <c r="C51" i="105"/>
  <c r="W51" i="105" s="1"/>
  <c r="A51" i="105"/>
  <c r="D50" i="105"/>
  <c r="C50" i="105"/>
  <c r="W50" i="105" s="1"/>
  <c r="A50" i="105"/>
  <c r="D49" i="105"/>
  <c r="C49" i="105"/>
  <c r="W49" i="105" s="1"/>
  <c r="A49" i="105"/>
  <c r="D48" i="105"/>
  <c r="C48" i="105"/>
  <c r="W48" i="105" s="1"/>
  <c r="A48" i="105"/>
  <c r="D47" i="105"/>
  <c r="C47" i="105"/>
  <c r="W47" i="105" s="1"/>
  <c r="A47" i="105"/>
  <c r="D46" i="105"/>
  <c r="C46" i="105"/>
  <c r="W46" i="105" s="1"/>
  <c r="A46" i="105"/>
  <c r="D45" i="105"/>
  <c r="C45" i="105"/>
  <c r="W45" i="105" s="1"/>
  <c r="A45" i="105"/>
  <c r="D44" i="105"/>
  <c r="C44" i="105"/>
  <c r="W44" i="105" s="1"/>
  <c r="A44" i="105"/>
  <c r="D43" i="105"/>
  <c r="C43" i="105"/>
  <c r="W43" i="105" s="1"/>
  <c r="A43" i="105"/>
  <c r="D42" i="105"/>
  <c r="C42" i="105"/>
  <c r="W42" i="105" s="1"/>
  <c r="A42" i="105"/>
  <c r="D41" i="105"/>
  <c r="C41" i="105"/>
  <c r="W41" i="105" s="1"/>
  <c r="A41" i="105"/>
  <c r="D40" i="105"/>
  <c r="C40" i="105"/>
  <c r="W40" i="105" s="1"/>
  <c r="A40" i="105"/>
  <c r="D39" i="105"/>
  <c r="C39" i="105"/>
  <c r="W39" i="105" s="1"/>
  <c r="A39" i="105"/>
  <c r="D38" i="105"/>
  <c r="C38" i="105"/>
  <c r="W38" i="105" s="1"/>
  <c r="A38" i="105"/>
  <c r="D37" i="105"/>
  <c r="C37" i="105"/>
  <c r="W37" i="105" s="1"/>
  <c r="A37" i="105"/>
  <c r="D36" i="105"/>
  <c r="C36" i="105"/>
  <c r="W36" i="105" s="1"/>
  <c r="A36" i="105"/>
  <c r="D35" i="105"/>
  <c r="C35" i="105"/>
  <c r="W35" i="105" s="1"/>
  <c r="A35" i="105"/>
  <c r="D34" i="105"/>
  <c r="C34" i="105"/>
  <c r="W34" i="105" s="1"/>
  <c r="A34" i="105"/>
  <c r="D33" i="105"/>
  <c r="C33" i="105"/>
  <c r="W33" i="105" s="1"/>
  <c r="A33" i="105"/>
  <c r="D32" i="105"/>
  <c r="C32" i="105"/>
  <c r="W32" i="105" s="1"/>
  <c r="A32" i="105"/>
  <c r="D31" i="105"/>
  <c r="C31" i="105"/>
  <c r="W31" i="105" s="1"/>
  <c r="A31" i="105"/>
  <c r="D30" i="105"/>
  <c r="C30" i="105"/>
  <c r="W30" i="105" s="1"/>
  <c r="A30" i="105"/>
  <c r="D29" i="105"/>
  <c r="C29" i="105"/>
  <c r="W29" i="105" s="1"/>
  <c r="A29" i="105"/>
  <c r="D28" i="105"/>
  <c r="C28" i="105"/>
  <c r="W28" i="105" s="1"/>
  <c r="A28" i="105"/>
  <c r="D27" i="105"/>
  <c r="C27" i="105"/>
  <c r="W27" i="105" s="1"/>
  <c r="A27" i="105"/>
  <c r="D26" i="105"/>
  <c r="C26" i="105"/>
  <c r="W26" i="105" s="1"/>
  <c r="A26" i="105"/>
  <c r="D25" i="105"/>
  <c r="C25" i="105"/>
  <c r="W25" i="105" s="1"/>
  <c r="A25" i="105"/>
  <c r="D24" i="105"/>
  <c r="C24" i="105"/>
  <c r="W24" i="105" s="1"/>
  <c r="A24" i="105"/>
  <c r="D23" i="105"/>
  <c r="C23" i="105"/>
  <c r="W23" i="105" s="1"/>
  <c r="A23" i="105"/>
  <c r="D22" i="105"/>
  <c r="C22" i="105"/>
  <c r="W22" i="105" s="1"/>
  <c r="A22" i="105"/>
  <c r="U21" i="105"/>
  <c r="T21" i="105"/>
  <c r="S21" i="105"/>
  <c r="R21" i="105"/>
  <c r="Q21" i="105"/>
  <c r="P21" i="105"/>
  <c r="O21" i="105"/>
  <c r="N21" i="105"/>
  <c r="M21" i="105"/>
  <c r="L21" i="105"/>
  <c r="K21" i="105"/>
  <c r="J21" i="105"/>
  <c r="I21" i="105"/>
  <c r="H21" i="105"/>
  <c r="G21" i="105"/>
  <c r="F21" i="105"/>
  <c r="E21" i="105"/>
  <c r="D21" i="105"/>
  <c r="C21" i="105"/>
  <c r="W21" i="105" s="1"/>
  <c r="A21" i="105"/>
  <c r="U20" i="105"/>
  <c r="T20" i="105"/>
  <c r="S20" i="105"/>
  <c r="R20" i="105"/>
  <c r="Q20" i="105"/>
  <c r="P20" i="105"/>
  <c r="O20" i="105"/>
  <c r="N20" i="105"/>
  <c r="M20" i="105"/>
  <c r="L20" i="105"/>
  <c r="K20" i="105"/>
  <c r="J20" i="105"/>
  <c r="I20" i="105"/>
  <c r="H20" i="105"/>
  <c r="G20" i="105"/>
  <c r="F20" i="105"/>
  <c r="E20" i="105"/>
  <c r="D20" i="105"/>
  <c r="C20" i="105"/>
  <c r="W20" i="105" s="1"/>
  <c r="A20" i="105"/>
  <c r="U19" i="105"/>
  <c r="T19" i="105"/>
  <c r="S19" i="105"/>
  <c r="R19" i="105"/>
  <c r="Q19" i="105"/>
  <c r="P19" i="105"/>
  <c r="O19" i="105"/>
  <c r="N19" i="105"/>
  <c r="M19" i="105"/>
  <c r="L19" i="105"/>
  <c r="K19" i="105"/>
  <c r="J19" i="105"/>
  <c r="I19" i="105"/>
  <c r="H19" i="105"/>
  <c r="G19" i="105"/>
  <c r="F19" i="105"/>
  <c r="E19" i="105"/>
  <c r="D19" i="105"/>
  <c r="C19" i="105"/>
  <c r="W19" i="105" s="1"/>
  <c r="A19" i="105"/>
  <c r="U18" i="105"/>
  <c r="T18" i="105"/>
  <c r="S18" i="105"/>
  <c r="R18" i="105"/>
  <c r="Q18" i="105"/>
  <c r="P18" i="105"/>
  <c r="O18" i="105"/>
  <c r="N18" i="105"/>
  <c r="M18" i="105"/>
  <c r="L18" i="105"/>
  <c r="K18" i="105"/>
  <c r="J18" i="105"/>
  <c r="I18" i="105"/>
  <c r="H18" i="105"/>
  <c r="G18" i="105"/>
  <c r="F18" i="105"/>
  <c r="E18" i="105"/>
  <c r="D18" i="105"/>
  <c r="C18" i="105"/>
  <c r="W18" i="105" s="1"/>
  <c r="A18" i="105"/>
  <c r="U17" i="105"/>
  <c r="T17" i="105"/>
  <c r="S17" i="105"/>
  <c r="R17" i="105"/>
  <c r="Q17" i="105"/>
  <c r="P17" i="105"/>
  <c r="O17" i="105"/>
  <c r="N17" i="105"/>
  <c r="M17" i="105"/>
  <c r="L17" i="105"/>
  <c r="K17" i="105"/>
  <c r="J17" i="105"/>
  <c r="I17" i="105"/>
  <c r="H17" i="105"/>
  <c r="G17" i="105"/>
  <c r="F17" i="105"/>
  <c r="E17" i="105"/>
  <c r="D17" i="105"/>
  <c r="C17" i="105"/>
  <c r="W17" i="105" s="1"/>
  <c r="A17" i="105"/>
  <c r="U16" i="105"/>
  <c r="T16" i="105"/>
  <c r="S16" i="105"/>
  <c r="R16" i="105"/>
  <c r="Q16" i="105"/>
  <c r="P16" i="105"/>
  <c r="O16" i="105"/>
  <c r="N16" i="105"/>
  <c r="M16" i="105"/>
  <c r="L16" i="105"/>
  <c r="K16" i="105"/>
  <c r="J16" i="105"/>
  <c r="I16" i="105"/>
  <c r="H16" i="105"/>
  <c r="G16" i="105"/>
  <c r="F16" i="105"/>
  <c r="E16" i="105"/>
  <c r="D16" i="105"/>
  <c r="C16" i="105"/>
  <c r="W16" i="105" s="1"/>
  <c r="A16" i="105"/>
  <c r="U15" i="105"/>
  <c r="T15" i="105"/>
  <c r="S15" i="105"/>
  <c r="R15" i="105"/>
  <c r="Q15" i="105"/>
  <c r="P15" i="105"/>
  <c r="O15" i="105"/>
  <c r="N15" i="105"/>
  <c r="M15" i="105"/>
  <c r="L15" i="105"/>
  <c r="K15" i="105"/>
  <c r="J15" i="105"/>
  <c r="I15" i="105"/>
  <c r="H15" i="105"/>
  <c r="G15" i="105"/>
  <c r="F15" i="105"/>
  <c r="E15" i="105"/>
  <c r="D15" i="105"/>
  <c r="C15" i="105"/>
  <c r="W15" i="105" s="1"/>
  <c r="A15" i="105"/>
  <c r="U14" i="105"/>
  <c r="T14" i="105"/>
  <c r="S14" i="105"/>
  <c r="R14" i="105"/>
  <c r="Q14" i="105"/>
  <c r="P14" i="105"/>
  <c r="O14" i="105"/>
  <c r="N14" i="105"/>
  <c r="M14" i="105"/>
  <c r="L14" i="105"/>
  <c r="K14" i="105"/>
  <c r="J14" i="105"/>
  <c r="I14" i="105"/>
  <c r="H14" i="105"/>
  <c r="G14" i="105"/>
  <c r="F14" i="105"/>
  <c r="E14" i="105"/>
  <c r="D14" i="105"/>
  <c r="C14" i="105"/>
  <c r="W14" i="105" s="1"/>
  <c r="A14" i="105"/>
  <c r="U13" i="105"/>
  <c r="T13" i="105"/>
  <c r="S13" i="105"/>
  <c r="R13" i="105"/>
  <c r="Q13" i="105"/>
  <c r="P13" i="105"/>
  <c r="O13" i="105"/>
  <c r="N13" i="105"/>
  <c r="M13" i="105"/>
  <c r="L13" i="105"/>
  <c r="K13" i="105"/>
  <c r="J13" i="105"/>
  <c r="I13" i="105"/>
  <c r="H13" i="105"/>
  <c r="G13" i="105"/>
  <c r="F13" i="105"/>
  <c r="E13" i="105"/>
  <c r="D13" i="105"/>
  <c r="C13" i="105"/>
  <c r="W13" i="105" s="1"/>
  <c r="A13" i="105"/>
  <c r="U12" i="105"/>
  <c r="T12" i="105"/>
  <c r="S12" i="105"/>
  <c r="R12" i="105"/>
  <c r="Q12" i="105"/>
  <c r="P12" i="105"/>
  <c r="O12" i="105"/>
  <c r="N12" i="105"/>
  <c r="M12" i="105"/>
  <c r="L12" i="105"/>
  <c r="K12" i="105"/>
  <c r="J12" i="105"/>
  <c r="I12" i="105"/>
  <c r="H12" i="105"/>
  <c r="G12" i="105"/>
  <c r="F12" i="105"/>
  <c r="E12" i="105"/>
  <c r="D12" i="105"/>
  <c r="C12" i="105"/>
  <c r="W12" i="105" s="1"/>
  <c r="A12" i="105"/>
  <c r="D11" i="105"/>
  <c r="C11" i="105"/>
  <c r="W11" i="105" s="1"/>
  <c r="A11" i="105"/>
  <c r="D10" i="105"/>
  <c r="C10" i="105"/>
  <c r="W10" i="105" s="1"/>
  <c r="A10" i="105"/>
  <c r="D9" i="105"/>
  <c r="C9" i="105"/>
  <c r="W9" i="105" s="1"/>
  <c r="A9" i="105"/>
  <c r="D8" i="105"/>
  <c r="C8" i="105"/>
  <c r="W8" i="105" s="1"/>
  <c r="A8" i="105"/>
  <c r="D7" i="105"/>
  <c r="C7" i="105"/>
  <c r="W7" i="105" s="1"/>
  <c r="A7" i="105"/>
  <c r="D6" i="105"/>
  <c r="C6" i="105"/>
  <c r="W6" i="105" s="1"/>
  <c r="A6" i="105"/>
  <c r="U5" i="105"/>
  <c r="T5" i="105"/>
  <c r="S5" i="105"/>
  <c r="R5" i="105"/>
  <c r="Q5" i="105"/>
  <c r="P5" i="105"/>
  <c r="O5" i="105"/>
  <c r="N5" i="105"/>
  <c r="M5" i="105"/>
  <c r="L5" i="105"/>
  <c r="K5" i="105"/>
  <c r="J5" i="105"/>
  <c r="I5" i="105"/>
  <c r="H5" i="105"/>
  <c r="G5" i="105"/>
  <c r="F5" i="105"/>
  <c r="E5" i="105"/>
  <c r="D5" i="105"/>
  <c r="C5" i="105"/>
  <c r="W5" i="105" s="1"/>
  <c r="A5" i="105"/>
  <c r="U4" i="105"/>
  <c r="T4" i="105"/>
  <c r="S4" i="105"/>
  <c r="R4" i="105"/>
  <c r="Q4" i="105"/>
  <c r="P4" i="105"/>
  <c r="O4" i="105"/>
  <c r="N4" i="105"/>
  <c r="M4" i="105"/>
  <c r="L4" i="105"/>
  <c r="K4" i="105"/>
  <c r="J4" i="105"/>
  <c r="I4" i="105"/>
  <c r="H4" i="105"/>
  <c r="G4" i="105"/>
  <c r="F4" i="105"/>
  <c r="E4" i="105"/>
  <c r="D4" i="105"/>
  <c r="C4" i="105"/>
  <c r="W4" i="105" s="1"/>
  <c r="A4" i="105"/>
  <c r="G254" i="113"/>
  <c r="E254" i="113"/>
  <c r="F254" i="113" s="1"/>
  <c r="G253" i="113"/>
  <c r="E253" i="113"/>
  <c r="F253" i="113" s="1"/>
  <c r="G252" i="113"/>
  <c r="E252" i="113"/>
  <c r="F252" i="113" s="1"/>
  <c r="G251" i="113"/>
  <c r="E251" i="113"/>
  <c r="F251" i="113" s="1"/>
  <c r="G250" i="113"/>
  <c r="E250" i="113"/>
  <c r="F250" i="113" s="1"/>
  <c r="G249" i="113"/>
  <c r="E249" i="113"/>
  <c r="F249" i="113" s="1"/>
  <c r="G248" i="113"/>
  <c r="E248" i="113"/>
  <c r="F248" i="113" s="1"/>
  <c r="G247" i="113"/>
  <c r="E247" i="113"/>
  <c r="F247" i="113" s="1"/>
  <c r="G246" i="113"/>
  <c r="E246" i="113"/>
  <c r="F246" i="113" s="1"/>
  <c r="G245" i="113"/>
  <c r="E245" i="113"/>
  <c r="F245" i="113" s="1"/>
  <c r="G244" i="113"/>
  <c r="E244" i="113"/>
  <c r="F244" i="113" s="1"/>
  <c r="G243" i="113"/>
  <c r="E243" i="113"/>
  <c r="F243" i="113" s="1"/>
  <c r="G242" i="113"/>
  <c r="E242" i="113"/>
  <c r="F242" i="113" s="1"/>
  <c r="G241" i="113"/>
  <c r="E241" i="113"/>
  <c r="F241" i="113" s="1"/>
  <c r="G240" i="113"/>
  <c r="E240" i="113"/>
  <c r="F240" i="113" s="1"/>
  <c r="G239" i="113"/>
  <c r="E239" i="113"/>
  <c r="F239" i="113" s="1"/>
  <c r="G238" i="113"/>
  <c r="E238" i="113"/>
  <c r="F238" i="113" s="1"/>
  <c r="G237" i="113"/>
  <c r="E237" i="113"/>
  <c r="F237" i="113" s="1"/>
  <c r="G236" i="113"/>
  <c r="E236" i="113"/>
  <c r="F236" i="113" s="1"/>
  <c r="G235" i="113"/>
  <c r="E235" i="113"/>
  <c r="F235" i="113" s="1"/>
  <c r="G234" i="113"/>
  <c r="E234" i="113"/>
  <c r="F234" i="113" s="1"/>
  <c r="G233" i="113"/>
  <c r="E233" i="113"/>
  <c r="F233" i="113" s="1"/>
  <c r="G232" i="113"/>
  <c r="E232" i="113"/>
  <c r="F232" i="113" s="1"/>
  <c r="G231" i="113"/>
  <c r="E231" i="113"/>
  <c r="F231" i="113" s="1"/>
  <c r="G230" i="113"/>
  <c r="E230" i="113"/>
  <c r="F230" i="113" s="1"/>
  <c r="G229" i="113"/>
  <c r="E229" i="113"/>
  <c r="F229" i="113" s="1"/>
  <c r="G228" i="113"/>
  <c r="E228" i="113"/>
  <c r="F228" i="113" s="1"/>
  <c r="G227" i="113"/>
  <c r="E227" i="113"/>
  <c r="F227" i="113" s="1"/>
  <c r="G226" i="113"/>
  <c r="E226" i="113"/>
  <c r="F226" i="113" s="1"/>
  <c r="G225" i="113"/>
  <c r="E225" i="113"/>
  <c r="F225" i="113" s="1"/>
  <c r="G224" i="113"/>
  <c r="E224" i="113"/>
  <c r="F224" i="113" s="1"/>
  <c r="G223" i="113"/>
  <c r="E223" i="113"/>
  <c r="F223" i="113" s="1"/>
  <c r="G222" i="113"/>
  <c r="E222" i="113"/>
  <c r="F222" i="113" s="1"/>
  <c r="G221" i="113"/>
  <c r="E221" i="113"/>
  <c r="F221" i="113" s="1"/>
  <c r="G220" i="113"/>
  <c r="E220" i="113"/>
  <c r="F220" i="113" s="1"/>
  <c r="G219" i="113"/>
  <c r="E219" i="113"/>
  <c r="F219" i="113" s="1"/>
  <c r="G218" i="113"/>
  <c r="E218" i="113"/>
  <c r="F218" i="113" s="1"/>
  <c r="G217" i="113"/>
  <c r="E217" i="113"/>
  <c r="F217" i="113" s="1"/>
  <c r="G216" i="113"/>
  <c r="E216" i="113"/>
  <c r="F216" i="113" s="1"/>
  <c r="G215" i="113"/>
  <c r="E215" i="113"/>
  <c r="F215" i="113" s="1"/>
  <c r="G214" i="113"/>
  <c r="E214" i="113"/>
  <c r="F214" i="113" s="1"/>
  <c r="G213" i="113"/>
  <c r="E213" i="113"/>
  <c r="F213" i="113" s="1"/>
  <c r="G212" i="113"/>
  <c r="E212" i="113"/>
  <c r="F212" i="113" s="1"/>
  <c r="G211" i="113"/>
  <c r="E211" i="113"/>
  <c r="F211" i="113" s="1"/>
  <c r="G210" i="113"/>
  <c r="E210" i="113"/>
  <c r="F210" i="113" s="1"/>
  <c r="G209" i="113"/>
  <c r="E209" i="113"/>
  <c r="F209" i="113" s="1"/>
  <c r="G208" i="113"/>
  <c r="E208" i="113"/>
  <c r="F208" i="113" s="1"/>
  <c r="G207" i="113"/>
  <c r="E207" i="113"/>
  <c r="F207" i="113" s="1"/>
  <c r="G206" i="113"/>
  <c r="E206" i="113"/>
  <c r="F206" i="113" s="1"/>
  <c r="G205" i="113"/>
  <c r="E205" i="113"/>
  <c r="F205" i="113" s="1"/>
  <c r="G204" i="113"/>
  <c r="E204" i="113"/>
  <c r="F204" i="113" s="1"/>
  <c r="G203" i="113"/>
  <c r="E203" i="113"/>
  <c r="F203" i="113" s="1"/>
  <c r="G202" i="113"/>
  <c r="E202" i="113"/>
  <c r="F202" i="113" s="1"/>
  <c r="G201" i="113"/>
  <c r="E201" i="113"/>
  <c r="F201" i="113" s="1"/>
  <c r="G200" i="113"/>
  <c r="E200" i="113"/>
  <c r="F200" i="113" s="1"/>
  <c r="G199" i="113"/>
  <c r="E199" i="113"/>
  <c r="F199" i="113" s="1"/>
  <c r="G198" i="113"/>
  <c r="E198" i="113"/>
  <c r="F198" i="113" s="1"/>
  <c r="G197" i="113"/>
  <c r="E197" i="113"/>
  <c r="F197" i="113" s="1"/>
  <c r="G196" i="113"/>
  <c r="E196" i="113"/>
  <c r="F196" i="113" s="1"/>
  <c r="G195" i="113"/>
  <c r="E195" i="113"/>
  <c r="F195" i="113" s="1"/>
  <c r="G194" i="113"/>
  <c r="E194" i="113"/>
  <c r="F194" i="113" s="1"/>
  <c r="G193" i="113"/>
  <c r="E193" i="113"/>
  <c r="F193" i="113" s="1"/>
  <c r="F4" i="113"/>
  <c r="E4" i="113"/>
  <c r="D93" i="11"/>
  <c r="D89" i="11"/>
  <c r="D86" i="11"/>
  <c r="D84" i="11"/>
  <c r="D22" i="11"/>
  <c r="D21" i="11"/>
  <c r="D20" i="11"/>
  <c r="D19" i="11"/>
  <c r="D18" i="11"/>
  <c r="D11" i="11"/>
  <c r="D97" i="11" s="1"/>
  <c r="D10" i="11"/>
  <c r="D96" i="11" s="1"/>
  <c r="D9" i="11"/>
  <c r="D91" i="11" s="1"/>
  <c r="D8" i="11"/>
  <c r="D92" i="11" s="1"/>
  <c r="D7" i="11"/>
  <c r="D87" i="11" s="1"/>
  <c r="D4" i="11"/>
  <c r="D12" i="11" s="1"/>
  <c r="D29" i="9"/>
  <c r="D15" i="9"/>
  <c r="D14" i="9"/>
  <c r="D13" i="9"/>
  <c r="D12" i="9"/>
  <c r="D11" i="9"/>
  <c r="D10" i="9"/>
  <c r="E156" i="109"/>
  <c r="F156" i="109" s="1"/>
  <c r="D156" i="109"/>
  <c r="E155" i="109"/>
  <c r="F155" i="109" s="1"/>
  <c r="D155" i="109"/>
  <c r="E154" i="109"/>
  <c r="F154" i="109" s="1"/>
  <c r="D154" i="109"/>
  <c r="E153" i="109"/>
  <c r="F153" i="109" s="1"/>
  <c r="D153" i="109"/>
  <c r="E152" i="109"/>
  <c r="F152" i="109" s="1"/>
  <c r="D152" i="109"/>
  <c r="E151" i="109"/>
  <c r="F151" i="109" s="1"/>
  <c r="D151" i="109"/>
  <c r="E150" i="109"/>
  <c r="F150" i="109" s="1"/>
  <c r="D150" i="109"/>
  <c r="E149" i="109"/>
  <c r="F149" i="109" s="1"/>
  <c r="D149" i="109"/>
  <c r="E148" i="109"/>
  <c r="F148" i="109" s="1"/>
  <c r="D148" i="109"/>
  <c r="E147" i="109"/>
  <c r="F147" i="109" s="1"/>
  <c r="D147" i="109"/>
  <c r="E146" i="109"/>
  <c r="F146" i="109" s="1"/>
  <c r="D146" i="109"/>
  <c r="E145" i="109"/>
  <c r="F145" i="109" s="1"/>
  <c r="D145" i="109"/>
  <c r="E144" i="109"/>
  <c r="F144" i="109" s="1"/>
  <c r="D144" i="109"/>
  <c r="E143" i="109"/>
  <c r="F143" i="109" s="1"/>
  <c r="D143" i="109"/>
  <c r="E142" i="109"/>
  <c r="F142" i="109" s="1"/>
  <c r="D142" i="109"/>
  <c r="E141" i="109"/>
  <c r="F141" i="109" s="1"/>
  <c r="D141" i="109"/>
  <c r="E140" i="109"/>
  <c r="F140" i="109" s="1"/>
  <c r="D140" i="109"/>
  <c r="E139" i="109"/>
  <c r="F139" i="109" s="1"/>
  <c r="D139" i="109"/>
  <c r="E138" i="109"/>
  <c r="F138" i="109" s="1"/>
  <c r="D138" i="109"/>
  <c r="E137" i="109"/>
  <c r="F137" i="109" s="1"/>
  <c r="D137" i="109"/>
  <c r="E136" i="109"/>
  <c r="F136" i="109" s="1"/>
  <c r="D136" i="109"/>
  <c r="D74" i="109"/>
  <c r="D73" i="109"/>
  <c r="D72" i="109"/>
  <c r="D71" i="109"/>
  <c r="D70" i="109"/>
  <c r="D69" i="109"/>
  <c r="D68" i="109"/>
  <c r="D67" i="109"/>
  <c r="D66" i="109"/>
  <c r="D65" i="109"/>
  <c r="D64" i="109"/>
  <c r="D63" i="109"/>
  <c r="D62" i="109"/>
  <c r="D61" i="109"/>
  <c r="D60" i="109"/>
  <c r="D59" i="109"/>
  <c r="D58" i="109"/>
  <c r="E57" i="109"/>
  <c r="F57" i="109" s="1"/>
  <c r="E56" i="109"/>
  <c r="F56" i="109" s="1"/>
  <c r="D55" i="109"/>
  <c r="D76" i="109" s="1"/>
  <c r="D54" i="109"/>
  <c r="D75" i="109" s="1"/>
  <c r="E53" i="109"/>
  <c r="F53" i="109" s="1"/>
  <c r="E52" i="109"/>
  <c r="E51" i="109"/>
  <c r="F51" i="109" s="1"/>
  <c r="E50" i="109"/>
  <c r="F50" i="109" s="1"/>
  <c r="E49" i="109"/>
  <c r="E48" i="109"/>
  <c r="F48" i="109" s="1"/>
  <c r="E47" i="109"/>
  <c r="E46" i="109"/>
  <c r="E45" i="109"/>
  <c r="F45" i="109" s="1"/>
  <c r="E44" i="109"/>
  <c r="E43" i="109"/>
  <c r="F43" i="109" s="1"/>
  <c r="E42" i="109"/>
  <c r="F42" i="109" s="1"/>
  <c r="E41" i="109"/>
  <c r="E40" i="109"/>
  <c r="E39" i="109"/>
  <c r="E38" i="109"/>
  <c r="E37" i="109"/>
  <c r="F37" i="109" s="1"/>
  <c r="E36" i="109"/>
  <c r="E35" i="109"/>
  <c r="F35" i="109" s="1"/>
  <c r="D23" i="109"/>
  <c r="D29" i="109" s="1"/>
  <c r="D22" i="109"/>
  <c r="D28" i="109" s="1"/>
  <c r="D21" i="109"/>
  <c r="D27" i="109" s="1"/>
  <c r="D20" i="109"/>
  <c r="D26" i="109" s="1"/>
  <c r="D19" i="109"/>
  <c r="D25" i="109" s="1"/>
  <c r="D18" i="109"/>
  <c r="D24" i="109" s="1"/>
  <c r="F3" i="109"/>
  <c r="E3" i="109"/>
  <c r="D70" i="108"/>
  <c r="D69" i="108"/>
  <c r="D68" i="108"/>
  <c r="D67" i="108"/>
  <c r="D66" i="108"/>
  <c r="D65" i="108"/>
  <c r="D64" i="108"/>
  <c r="D63" i="108"/>
  <c r="D62" i="108"/>
  <c r="D61" i="108"/>
  <c r="D60" i="108"/>
  <c r="D59" i="108"/>
  <c r="D58" i="108"/>
  <c r="D57" i="108"/>
  <c r="D56" i="108"/>
  <c r="D55" i="108"/>
  <c r="D54" i="108"/>
  <c r="D53" i="108"/>
  <c r="F23" i="108"/>
  <c r="F29" i="108" s="1"/>
  <c r="D23" i="108"/>
  <c r="D29" i="108" s="1"/>
  <c r="F28" i="108"/>
  <c r="D22" i="108"/>
  <c r="D28" i="108" s="1"/>
  <c r="F21" i="108"/>
  <c r="F27" i="108" s="1"/>
  <c r="D21" i="108"/>
  <c r="D27" i="108" s="1"/>
  <c r="F26" i="108"/>
  <c r="D20" i="108"/>
  <c r="D26" i="108" s="1"/>
  <c r="F19" i="108"/>
  <c r="F25" i="108" s="1"/>
  <c r="D19" i="108"/>
  <c r="D25" i="108" s="1"/>
  <c r="F24" i="108"/>
  <c r="D18" i="108"/>
  <c r="D24" i="108" s="1"/>
  <c r="E261" i="139"/>
  <c r="E73" i="8" s="1"/>
  <c r="F73" i="8" s="1"/>
  <c r="E260" i="139"/>
  <c r="E171" i="8" s="1"/>
  <c r="E259" i="139"/>
  <c r="E72" i="8" s="1"/>
  <c r="F72" i="8" s="1"/>
  <c r="E258" i="139"/>
  <c r="E71" i="8" s="1"/>
  <c r="F71" i="8" s="1"/>
  <c r="E257" i="139"/>
  <c r="E256" i="139"/>
  <c r="E69" i="8" s="1"/>
  <c r="F69" i="8" s="1"/>
  <c r="E255" i="139"/>
  <c r="E68" i="8" s="1"/>
  <c r="F68" i="8" s="1"/>
  <c r="E254" i="139"/>
  <c r="E67" i="8" s="1"/>
  <c r="F67" i="8" s="1"/>
  <c r="E253" i="139"/>
  <c r="E170" i="8" s="1"/>
  <c r="E252" i="139"/>
  <c r="E251" i="139"/>
  <c r="E65" i="8" s="1"/>
  <c r="F65" i="8" s="1"/>
  <c r="E250" i="139"/>
  <c r="E64" i="8" s="1"/>
  <c r="F64" i="8" s="1"/>
  <c r="E249" i="139"/>
  <c r="E248" i="139"/>
  <c r="E62" i="8" s="1"/>
  <c r="F62" i="8" s="1"/>
  <c r="E247" i="139"/>
  <c r="E61" i="8" s="1"/>
  <c r="F61" i="8" s="1"/>
  <c r="E246" i="139"/>
  <c r="E169" i="8" s="1"/>
  <c r="E245" i="139"/>
  <c r="E60" i="8" s="1"/>
  <c r="F60" i="8" s="1"/>
  <c r="E244" i="139"/>
  <c r="E59" i="8" s="1"/>
  <c r="F59" i="8" s="1"/>
  <c r="E243" i="139"/>
  <c r="E58" i="8" s="1"/>
  <c r="F58" i="8" s="1"/>
  <c r="E242" i="139"/>
  <c r="E57" i="8" s="1"/>
  <c r="F57" i="8" s="1"/>
  <c r="E241" i="139"/>
  <c r="C154" i="8"/>
  <c r="B154" i="8"/>
  <c r="C153" i="8"/>
  <c r="B153" i="8"/>
  <c r="C152" i="8"/>
  <c r="C151" i="8"/>
  <c r="B151" i="8"/>
  <c r="C150" i="8"/>
  <c r="B150" i="8"/>
  <c r="B149" i="8"/>
  <c r="E148" i="8"/>
  <c r="F148" i="8" s="1"/>
  <c r="B148" i="8"/>
  <c r="E147" i="8"/>
  <c r="F147" i="8" s="1"/>
  <c r="C147" i="8"/>
  <c r="B147" i="8"/>
  <c r="E146" i="8"/>
  <c r="F146" i="8" s="1"/>
  <c r="C146" i="8"/>
  <c r="B146" i="8"/>
  <c r="B145" i="8"/>
  <c r="C144" i="8"/>
  <c r="B144" i="8"/>
  <c r="C143" i="8"/>
  <c r="B143" i="8"/>
  <c r="C142" i="8"/>
  <c r="B142" i="8"/>
  <c r="B141" i="8"/>
  <c r="E140" i="8"/>
  <c r="F140" i="8" s="1"/>
  <c r="C140" i="8"/>
  <c r="B140" i="8"/>
  <c r="E139" i="8"/>
  <c r="F139" i="8" s="1"/>
  <c r="C139" i="8"/>
  <c r="B139" i="8"/>
  <c r="E138" i="8"/>
  <c r="F138" i="8" s="1"/>
  <c r="C138" i="8"/>
  <c r="B138" i="8"/>
  <c r="C137" i="8"/>
  <c r="B137" i="8"/>
  <c r="C136" i="8"/>
  <c r="B136" i="8"/>
  <c r="C135" i="8"/>
  <c r="C134" i="8"/>
  <c r="B134" i="8"/>
  <c r="C133" i="8"/>
  <c r="B133" i="8"/>
  <c r="E132" i="8"/>
  <c r="F132" i="8" s="1"/>
  <c r="C132" i="8"/>
  <c r="B132" i="8"/>
  <c r="E131" i="8"/>
  <c r="F131" i="8" s="1"/>
  <c r="C131" i="8"/>
  <c r="B131" i="8"/>
  <c r="C130" i="8"/>
  <c r="B130" i="8"/>
  <c r="B129" i="8"/>
  <c r="C128" i="8"/>
  <c r="B128" i="8"/>
  <c r="C127" i="8"/>
  <c r="B127" i="8"/>
  <c r="C126" i="8"/>
  <c r="B126" i="8"/>
  <c r="B125" i="8"/>
  <c r="E124" i="8"/>
  <c r="F124" i="8" s="1"/>
  <c r="B124" i="8"/>
  <c r="C123" i="8"/>
  <c r="B123" i="8"/>
  <c r="E122" i="8"/>
  <c r="F122" i="8" s="1"/>
  <c r="B122" i="8"/>
  <c r="C121" i="8"/>
  <c r="C120" i="8"/>
  <c r="B120" i="8"/>
  <c r="C119" i="8"/>
  <c r="B119" i="8"/>
  <c r="B118" i="8"/>
  <c r="C117" i="8"/>
  <c r="E116" i="8"/>
  <c r="F116" i="8" s="1"/>
  <c r="C116" i="8"/>
  <c r="B116" i="8"/>
  <c r="E115" i="8"/>
  <c r="F115" i="8" s="1"/>
  <c r="B115" i="8"/>
  <c r="E114" i="8"/>
  <c r="F114" i="8" s="1"/>
  <c r="B114" i="8"/>
  <c r="C113" i="8"/>
  <c r="B113" i="8"/>
  <c r="E108" i="8"/>
  <c r="F108" i="8" s="1"/>
  <c r="E107" i="8"/>
  <c r="F107" i="8" s="1"/>
  <c r="E100" i="8"/>
  <c r="F100" i="8" s="1"/>
  <c r="E99" i="8"/>
  <c r="F99" i="8" s="1"/>
  <c r="E98" i="8"/>
  <c r="F98" i="8" s="1"/>
  <c r="E92" i="8"/>
  <c r="F92" i="8" s="1"/>
  <c r="E88" i="8"/>
  <c r="F88" i="8" s="1"/>
  <c r="E84" i="8"/>
  <c r="F84" i="8" s="1"/>
  <c r="E81" i="8"/>
  <c r="F81" i="8" s="1"/>
  <c r="E79" i="8"/>
  <c r="F79" i="8" s="1"/>
  <c r="E76" i="8"/>
  <c r="F76" i="8" s="1"/>
  <c r="E30" i="8"/>
  <c r="F30" i="8" s="1"/>
  <c r="E17" i="8"/>
  <c r="F17" i="8" s="1"/>
  <c r="E15" i="8"/>
  <c r="F15" i="8" s="1"/>
  <c r="E10" i="8"/>
  <c r="F10" i="8" s="1"/>
  <c r="E7" i="8"/>
  <c r="F7" i="8" s="1"/>
  <c r="F75" i="139"/>
  <c r="F67" i="139"/>
  <c r="F64" i="139"/>
  <c r="F62" i="139"/>
  <c r="K29" i="139"/>
  <c r="J29" i="139"/>
  <c r="H29" i="139"/>
  <c r="G29" i="139"/>
  <c r="E29" i="139"/>
  <c r="K28" i="139"/>
  <c r="J28" i="139"/>
  <c r="H28" i="139"/>
  <c r="G28" i="139"/>
  <c r="E28" i="139"/>
  <c r="K27" i="139"/>
  <c r="J27" i="139"/>
  <c r="H27" i="139"/>
  <c r="G27" i="139"/>
  <c r="F27" i="139"/>
  <c r="E27" i="139"/>
  <c r="K26" i="139"/>
  <c r="J26" i="139"/>
  <c r="H26" i="139"/>
  <c r="G26" i="139"/>
  <c r="F26" i="139"/>
  <c r="E26" i="139"/>
  <c r="K25" i="139"/>
  <c r="J25" i="139"/>
  <c r="H25" i="139"/>
  <c r="G25" i="139"/>
  <c r="F25" i="139"/>
  <c r="E25" i="139"/>
  <c r="K24" i="139"/>
  <c r="J24" i="139"/>
  <c r="H24" i="139"/>
  <c r="G24" i="139"/>
  <c r="F24" i="139"/>
  <c r="E24" i="139"/>
  <c r="K23" i="139"/>
  <c r="J23" i="139"/>
  <c r="H23" i="139"/>
  <c r="G23" i="139"/>
  <c r="E23" i="139"/>
  <c r="K22" i="139"/>
  <c r="J22" i="139"/>
  <c r="H22" i="139"/>
  <c r="G22" i="139"/>
  <c r="E22" i="139"/>
  <c r="K21" i="139"/>
  <c r="J21" i="139"/>
  <c r="H21" i="139"/>
  <c r="G21" i="139"/>
  <c r="E21" i="139"/>
  <c r="K20" i="139"/>
  <c r="J20" i="139"/>
  <c r="H20" i="139"/>
  <c r="G20" i="139"/>
  <c r="E20" i="139"/>
  <c r="K19" i="139"/>
  <c r="J19" i="139"/>
  <c r="H19" i="139"/>
  <c r="G19" i="139"/>
  <c r="F19" i="139"/>
  <c r="E19" i="139"/>
  <c r="K18" i="139"/>
  <c r="J18" i="139"/>
  <c r="H18" i="139"/>
  <c r="G18" i="139"/>
  <c r="E18" i="139"/>
  <c r="E154" i="8"/>
  <c r="F154" i="8" s="1"/>
  <c r="D154" i="8"/>
  <c r="E153" i="8"/>
  <c r="F153" i="8" s="1"/>
  <c r="D153" i="8"/>
  <c r="E152" i="8"/>
  <c r="F152" i="8" s="1"/>
  <c r="D152" i="8"/>
  <c r="B152" i="8"/>
  <c r="E151" i="8"/>
  <c r="F151" i="8" s="1"/>
  <c r="D151" i="8"/>
  <c r="E150" i="8"/>
  <c r="F150" i="8" s="1"/>
  <c r="D150" i="8"/>
  <c r="E149" i="8"/>
  <c r="F149" i="8" s="1"/>
  <c r="D149" i="8"/>
  <c r="C149" i="8"/>
  <c r="D148" i="8"/>
  <c r="C148" i="8"/>
  <c r="D147" i="8"/>
  <c r="D146" i="8"/>
  <c r="E145" i="8"/>
  <c r="F145" i="8" s="1"/>
  <c r="D145" i="8"/>
  <c r="C145" i="8"/>
  <c r="E144" i="8"/>
  <c r="F144" i="8" s="1"/>
  <c r="D144" i="8"/>
  <c r="E143" i="8"/>
  <c r="F143" i="8" s="1"/>
  <c r="D143" i="8"/>
  <c r="E142" i="8"/>
  <c r="F142" i="8" s="1"/>
  <c r="D142" i="8"/>
  <c r="E141" i="8"/>
  <c r="F141" i="8" s="1"/>
  <c r="D141" i="8"/>
  <c r="C141" i="8"/>
  <c r="D140" i="8"/>
  <c r="D139" i="8"/>
  <c r="D138" i="8"/>
  <c r="E137" i="8"/>
  <c r="F137" i="8" s="1"/>
  <c r="D137" i="8"/>
  <c r="E136" i="8"/>
  <c r="F136" i="8" s="1"/>
  <c r="D136" i="8"/>
  <c r="E135" i="8"/>
  <c r="F135" i="8" s="1"/>
  <c r="D135" i="8"/>
  <c r="B135" i="8"/>
  <c r="E134" i="8"/>
  <c r="F134" i="8" s="1"/>
  <c r="D134" i="8"/>
  <c r="E133" i="8"/>
  <c r="F133" i="8" s="1"/>
  <c r="D133" i="8"/>
  <c r="D132" i="8"/>
  <c r="D131" i="8"/>
  <c r="E130" i="8"/>
  <c r="F130" i="8" s="1"/>
  <c r="D130" i="8"/>
  <c r="E129" i="8"/>
  <c r="F129" i="8" s="1"/>
  <c r="D129" i="8"/>
  <c r="C129" i="8"/>
  <c r="E128" i="8"/>
  <c r="F128" i="8" s="1"/>
  <c r="D128" i="8"/>
  <c r="E127" i="8"/>
  <c r="F127" i="8" s="1"/>
  <c r="D127" i="8"/>
  <c r="E126" i="8"/>
  <c r="F126" i="8" s="1"/>
  <c r="D126" i="8"/>
  <c r="E125" i="8"/>
  <c r="F125" i="8" s="1"/>
  <c r="D125" i="8"/>
  <c r="C125" i="8"/>
  <c r="D124" i="8"/>
  <c r="C124" i="8"/>
  <c r="E123" i="8"/>
  <c r="F123" i="8" s="1"/>
  <c r="D123" i="8"/>
  <c r="D122" i="8"/>
  <c r="C122" i="8"/>
  <c r="E121" i="8"/>
  <c r="F121" i="8" s="1"/>
  <c r="D121" i="8"/>
  <c r="B121" i="8"/>
  <c r="E120" i="8"/>
  <c r="F120" i="8" s="1"/>
  <c r="D120" i="8"/>
  <c r="E119" i="8"/>
  <c r="F119" i="8" s="1"/>
  <c r="D119" i="8"/>
  <c r="E118" i="8"/>
  <c r="F118" i="8" s="1"/>
  <c r="D118" i="8"/>
  <c r="C118" i="8"/>
  <c r="E117" i="8"/>
  <c r="F117" i="8" s="1"/>
  <c r="D117" i="8"/>
  <c r="B117" i="8"/>
  <c r="D116" i="8"/>
  <c r="D115" i="8"/>
  <c r="C115" i="8"/>
  <c r="D114" i="8"/>
  <c r="C114" i="8"/>
  <c r="E113" i="8"/>
  <c r="F113" i="8" s="1"/>
  <c r="D113" i="8"/>
  <c r="E112" i="8"/>
  <c r="F112" i="8" s="1"/>
  <c r="E111" i="8"/>
  <c r="F111" i="8" s="1"/>
  <c r="E110" i="8"/>
  <c r="F110" i="8" s="1"/>
  <c r="E109" i="8"/>
  <c r="F109" i="8" s="1"/>
  <c r="E106" i="8"/>
  <c r="F106" i="8" s="1"/>
  <c r="E105" i="8"/>
  <c r="F105" i="8" s="1"/>
  <c r="E104" i="8"/>
  <c r="F104" i="8" s="1"/>
  <c r="E103" i="8"/>
  <c r="F103" i="8" s="1"/>
  <c r="E102" i="8"/>
  <c r="F102" i="8" s="1"/>
  <c r="E101" i="8"/>
  <c r="F101" i="8" s="1"/>
  <c r="E97" i="8"/>
  <c r="F97" i="8" s="1"/>
  <c r="E96" i="8"/>
  <c r="F96" i="8" s="1"/>
  <c r="E95" i="8"/>
  <c r="F95" i="8" s="1"/>
  <c r="E94" i="8"/>
  <c r="F94" i="8" s="1"/>
  <c r="E91" i="8"/>
  <c r="F91" i="8" s="1"/>
  <c r="E90" i="8"/>
  <c r="F90" i="8" s="1"/>
  <c r="E89" i="8"/>
  <c r="F89" i="8" s="1"/>
  <c r="E87" i="8"/>
  <c r="F87" i="8" s="1"/>
  <c r="E86" i="8"/>
  <c r="F86" i="8" s="1"/>
  <c r="E83" i="8"/>
  <c r="F83" i="8" s="1"/>
  <c r="E78" i="8"/>
  <c r="F78" i="8" s="1"/>
  <c r="E77" i="8"/>
  <c r="F77" i="8" s="1"/>
  <c r="E75" i="8"/>
  <c r="F75" i="8" s="1"/>
  <c r="E74" i="8"/>
  <c r="F74" i="8" s="1"/>
  <c r="D73" i="8"/>
  <c r="D72" i="8"/>
  <c r="D71" i="8"/>
  <c r="E70" i="8"/>
  <c r="F70" i="8" s="1"/>
  <c r="D70" i="8"/>
  <c r="D69" i="8"/>
  <c r="D68" i="8"/>
  <c r="D67" i="8"/>
  <c r="E66" i="8"/>
  <c r="F66" i="8" s="1"/>
  <c r="D66" i="8"/>
  <c r="D65" i="8"/>
  <c r="D64" i="8"/>
  <c r="E63" i="8"/>
  <c r="F63" i="8" s="1"/>
  <c r="D63" i="8"/>
  <c r="D62" i="8"/>
  <c r="D61" i="8"/>
  <c r="D60" i="8"/>
  <c r="D59" i="8"/>
  <c r="D58" i="8"/>
  <c r="D57" i="8"/>
  <c r="E56" i="8"/>
  <c r="F56" i="8" s="1"/>
  <c r="D56" i="8"/>
  <c r="E55" i="8"/>
  <c r="F55" i="8" s="1"/>
  <c r="E54" i="8"/>
  <c r="F54" i="8" s="1"/>
  <c r="E53" i="8"/>
  <c r="F53" i="8" s="1"/>
  <c r="E52" i="8"/>
  <c r="F52" i="8" s="1"/>
  <c r="E51" i="8"/>
  <c r="F51" i="8" s="1"/>
  <c r="E50" i="8"/>
  <c r="F50" i="8" s="1"/>
  <c r="E49" i="8"/>
  <c r="F49" i="8" s="1"/>
  <c r="E48" i="8"/>
  <c r="F48" i="8" s="1"/>
  <c r="E47" i="8"/>
  <c r="F47" i="8" s="1"/>
  <c r="E46" i="8"/>
  <c r="F46" i="8" s="1"/>
  <c r="E45" i="8"/>
  <c r="F45" i="8" s="1"/>
  <c r="E44" i="8"/>
  <c r="F44" i="8" s="1"/>
  <c r="E43" i="8"/>
  <c r="F43" i="8" s="1"/>
  <c r="E42" i="8"/>
  <c r="F42" i="8" s="1"/>
  <c r="E41" i="8"/>
  <c r="F41" i="8" s="1"/>
  <c r="E40" i="8"/>
  <c r="F40" i="8" s="1"/>
  <c r="E39" i="8"/>
  <c r="F39" i="8" s="1"/>
  <c r="E38" i="8"/>
  <c r="F38" i="8" s="1"/>
  <c r="E37" i="8"/>
  <c r="F37" i="8" s="1"/>
  <c r="E36" i="8"/>
  <c r="F36" i="8" s="1"/>
  <c r="E35" i="8"/>
  <c r="F35" i="8" s="1"/>
  <c r="E34" i="8"/>
  <c r="F34" i="8" s="1"/>
  <c r="E33" i="8"/>
  <c r="F33" i="8" s="1"/>
  <c r="E32" i="8"/>
  <c r="F32" i="8" s="1"/>
  <c r="E31" i="8"/>
  <c r="F31" i="8" s="1"/>
  <c r="D23" i="8"/>
  <c r="D29" i="8" s="1"/>
  <c r="D22" i="8"/>
  <c r="D28" i="8" s="1"/>
  <c r="D21" i="8"/>
  <c r="D27" i="8" s="1"/>
  <c r="D20" i="8"/>
  <c r="D26" i="8" s="1"/>
  <c r="D19" i="8"/>
  <c r="D25" i="8" s="1"/>
  <c r="D18" i="8"/>
  <c r="D24" i="8" s="1"/>
  <c r="E16" i="8"/>
  <c r="F16" i="8" s="1"/>
  <c r="E14" i="8"/>
  <c r="F14" i="8" s="1"/>
  <c r="E13" i="8"/>
  <c r="F13" i="8" s="1"/>
  <c r="E12" i="8"/>
  <c r="F12" i="8" s="1"/>
  <c r="E11" i="8"/>
  <c r="F11" i="8" s="1"/>
  <c r="E9" i="8"/>
  <c r="F9" i="8" s="1"/>
  <c r="E8" i="8"/>
  <c r="F8" i="8" s="1"/>
  <c r="E6" i="8"/>
  <c r="F6" i="8" s="1"/>
  <c r="E5" i="8"/>
  <c r="F5" i="8" s="1"/>
  <c r="E4" i="8"/>
  <c r="F4" i="8" s="1"/>
  <c r="F3" i="8"/>
  <c r="E3" i="8"/>
  <c r="C13" i="7"/>
  <c r="C12" i="7"/>
  <c r="C11" i="7"/>
  <c r="C7" i="7"/>
  <c r="C6" i="7"/>
  <c r="C5" i="7"/>
  <c r="C4" i="7"/>
  <c r="C15" i="7"/>
  <c r="C14" i="7"/>
  <c r="C10" i="7"/>
  <c r="C9" i="7"/>
  <c r="C8" i="7"/>
  <c r="G4" i="137"/>
  <c r="C15" i="5"/>
  <c r="C14" i="5"/>
  <c r="C13" i="5"/>
  <c r="C12" i="5"/>
  <c r="C11" i="5"/>
  <c r="C9" i="5"/>
  <c r="C8" i="5"/>
  <c r="C7" i="5"/>
  <c r="C6" i="5"/>
  <c r="C5" i="5"/>
  <c r="A11" i="13"/>
  <c r="A10" i="13"/>
  <c r="A9" i="13"/>
  <c r="A8" i="13"/>
  <c r="A7" i="13"/>
  <c r="A6" i="13"/>
  <c r="A5" i="13"/>
  <c r="B11" i="12"/>
  <c r="B10" i="12"/>
  <c r="B9" i="12"/>
  <c r="B8" i="12"/>
  <c r="B7" i="12"/>
  <c r="B6" i="12"/>
  <c r="B5" i="12"/>
  <c r="I21" i="101" l="1"/>
  <c r="I21" i="102" s="1"/>
  <c r="K25" i="101"/>
  <c r="K25" i="102" s="1"/>
  <c r="J22" i="101"/>
  <c r="J22" i="102" s="1"/>
  <c r="I7" i="101"/>
  <c r="I7" i="102" s="1"/>
  <c r="I11" i="101"/>
  <c r="I11" i="102" s="1"/>
  <c r="I19" i="101"/>
  <c r="I19" i="102" s="1"/>
  <c r="K23" i="101"/>
  <c r="K23" i="102" s="1"/>
  <c r="G15" i="101"/>
  <c r="G15" i="102" s="1"/>
  <c r="K4" i="101"/>
  <c r="K4" i="102" s="1"/>
  <c r="J20" i="101"/>
  <c r="J20" i="102" s="1"/>
  <c r="K24" i="101"/>
  <c r="K24" i="102" s="1"/>
  <c r="I9" i="101"/>
  <c r="I9" i="102" s="1"/>
  <c r="I13" i="101"/>
  <c r="I13" i="102" s="1"/>
  <c r="T54" i="42"/>
  <c r="E7" i="42"/>
  <c r="T55" i="42"/>
  <c r="T56" i="42"/>
  <c r="E57" i="42"/>
  <c r="E58" i="42" s="1"/>
  <c r="R41" i="145" a="1"/>
  <c r="R41" i="145" s="1"/>
  <c r="R33" i="145" a="1"/>
  <c r="R33" i="145" s="1"/>
  <c r="O25" i="145" a="1"/>
  <c r="O25" i="145" s="1"/>
  <c r="R35" i="145" a="1"/>
  <c r="R35" i="145" s="1"/>
  <c r="R39" i="145" a="1"/>
  <c r="R39" i="145" s="1"/>
  <c r="R32" i="145" a="1"/>
  <c r="R32" i="145" s="1"/>
  <c r="R42" i="145" a="1"/>
  <c r="R42" i="145" s="1"/>
  <c r="R40" i="145" a="1"/>
  <c r="R40" i="145" s="1"/>
  <c r="R36" i="145" a="1"/>
  <c r="R36" i="145" s="1"/>
  <c r="R45" i="147" a="1"/>
  <c r="R45" i="147" s="1"/>
  <c r="R38" i="147" a="1"/>
  <c r="R38" i="147" s="1"/>
  <c r="R30" i="147" a="1"/>
  <c r="R30" i="147" s="1"/>
  <c r="R44" i="147" a="1"/>
  <c r="R44" i="147" s="1"/>
  <c r="R37" i="147" a="1"/>
  <c r="R37" i="147" s="1"/>
  <c r="R29" i="147" a="1"/>
  <c r="R29" i="147" s="1"/>
  <c r="R43" i="147" a="1"/>
  <c r="R43" i="147" s="1"/>
  <c r="R36" i="147" a="1"/>
  <c r="R36" i="147" s="1"/>
  <c r="R28" i="147" a="1"/>
  <c r="R28" i="147" s="1"/>
  <c r="R42" i="147" a="1"/>
  <c r="R42" i="147" s="1"/>
  <c r="R35" i="147" a="1"/>
  <c r="R35" i="147" s="1"/>
  <c r="R27" i="147" a="1"/>
  <c r="R27" i="147" s="1"/>
  <c r="R49" i="147" a="1"/>
  <c r="R49" i="147" s="1"/>
  <c r="R41" i="147" a="1"/>
  <c r="R41" i="147" s="1"/>
  <c r="R34" i="147" a="1"/>
  <c r="R34" i="147" s="1"/>
  <c r="R25" i="147" a="1"/>
  <c r="R25" i="147" s="1"/>
  <c r="R48" i="147" a="1"/>
  <c r="R48" i="147" s="1"/>
  <c r="R40" i="147" a="1"/>
  <c r="R40" i="147" s="1"/>
  <c r="R33" i="147" a="1"/>
  <c r="R33" i="147" s="1"/>
  <c r="R24" i="147" a="1"/>
  <c r="R24" i="147" s="1"/>
  <c r="R47" i="147" a="1"/>
  <c r="R47" i="147" s="1"/>
  <c r="R32" i="147" a="1"/>
  <c r="R32" i="147" s="1"/>
  <c r="R26" i="147" a="1"/>
  <c r="R26" i="147" s="1"/>
  <c r="R46" i="147" a="1"/>
  <c r="R46" i="147" s="1"/>
  <c r="R39" i="147" a="1"/>
  <c r="R39" i="147" s="1"/>
  <c r="R31" i="147" a="1"/>
  <c r="R31" i="147" s="1"/>
  <c r="R26" i="145" a="1"/>
  <c r="R26" i="145" s="1"/>
  <c r="R27" i="145" a="1"/>
  <c r="R27" i="145" s="1"/>
  <c r="R44" i="145" a="1"/>
  <c r="R44" i="145" s="1"/>
  <c r="R28" i="145" a="1"/>
  <c r="R28" i="145" s="1"/>
  <c r="R45" i="145" a="1"/>
  <c r="R45" i="145" s="1"/>
  <c r="R31" i="145" a="1"/>
  <c r="R31" i="145" s="1"/>
  <c r="R46" i="145" a="1"/>
  <c r="R46" i="145" s="1"/>
  <c r="R24" i="145" a="1"/>
  <c r="R24" i="145" s="1"/>
  <c r="R47" i="145" a="1"/>
  <c r="R47" i="145" s="1"/>
  <c r="R30" i="145" a="1"/>
  <c r="R30" i="145" s="1"/>
  <c r="R48" i="145" a="1"/>
  <c r="R48" i="145" s="1"/>
  <c r="R49" i="145" a="1"/>
  <c r="R49" i="145" s="1"/>
  <c r="R25" i="145" a="1"/>
  <c r="R25" i="145" s="1"/>
  <c r="AI25" i="145" s="1"/>
  <c r="R29" i="145" a="1"/>
  <c r="R29" i="145" s="1"/>
  <c r="R34" i="145" a="1"/>
  <c r="R34" i="145" s="1"/>
  <c r="R38" i="145" a="1"/>
  <c r="R38" i="145" s="1"/>
  <c r="AG38" i="145" s="1"/>
  <c r="R37" i="145" a="1"/>
  <c r="R37" i="145" s="1"/>
  <c r="R43" i="145" a="1"/>
  <c r="R43" i="145" s="1"/>
  <c r="O24" i="145" a="1"/>
  <c r="O24" i="145" s="1"/>
  <c r="O43" i="145" a="1"/>
  <c r="O43" i="145" s="1"/>
  <c r="O49" i="145" a="1"/>
  <c r="O49" i="145" s="1"/>
  <c r="O38" i="145" a="1"/>
  <c r="O38" i="145" s="1"/>
  <c r="O36" i="145" a="1"/>
  <c r="O36" i="145" s="1"/>
  <c r="O41" i="145" a="1"/>
  <c r="O41" i="145" s="1"/>
  <c r="O46" i="145" a="1"/>
  <c r="O46" i="145" s="1"/>
  <c r="O31" i="145" a="1"/>
  <c r="O31" i="145" s="1"/>
  <c r="O29" i="145" a="1"/>
  <c r="O29" i="145" s="1"/>
  <c r="O34" i="145" a="1"/>
  <c r="O34" i="145" s="1"/>
  <c r="E22" i="40"/>
  <c r="O44" i="145" a="1"/>
  <c r="O44" i="145" s="1"/>
  <c r="O27" i="145" a="1"/>
  <c r="O27" i="145" s="1"/>
  <c r="O30" i="145" a="1"/>
  <c r="O30" i="145" s="1"/>
  <c r="O32" i="145" a="1"/>
  <c r="O32" i="145" s="1"/>
  <c r="E20" i="40"/>
  <c r="O39" i="145" a="1"/>
  <c r="O39" i="145" s="1"/>
  <c r="O48" i="145" a="1"/>
  <c r="O48" i="145" s="1"/>
  <c r="O45" i="145" a="1"/>
  <c r="O45" i="145" s="1"/>
  <c r="O33" i="145" a="1"/>
  <c r="O33" i="145" s="1"/>
  <c r="O37" i="145" a="1"/>
  <c r="O37" i="145" s="1"/>
  <c r="P32" i="145" a="1"/>
  <c r="P32" i="145" s="1"/>
  <c r="F18" i="40"/>
  <c r="O42" i="145" a="1"/>
  <c r="O42" i="145" s="1"/>
  <c r="P48" i="147" a="1"/>
  <c r="P48" i="147" s="1"/>
  <c r="O43" i="147" a="1"/>
  <c r="O43" i="147" s="1"/>
  <c r="P40" i="147" a="1"/>
  <c r="P40" i="147" s="1"/>
  <c r="O38" i="147" a="1"/>
  <c r="O38" i="147" s="1"/>
  <c r="P35" i="147" a="1"/>
  <c r="P35" i="147" s="1"/>
  <c r="P27" i="147" a="1"/>
  <c r="P27" i="147" s="1"/>
  <c r="O48" i="147" a="1"/>
  <c r="O48" i="147" s="1"/>
  <c r="P45" i="147" a="1"/>
  <c r="P45" i="147" s="1"/>
  <c r="P32" i="147" a="1"/>
  <c r="P32" i="147" s="1"/>
  <c r="P26" i="147" a="1"/>
  <c r="P26" i="147" s="1"/>
  <c r="O45" i="147" a="1"/>
  <c r="O45" i="147" s="1"/>
  <c r="P42" i="147" a="1"/>
  <c r="P42" i="147" s="1"/>
  <c r="P37" i="147" a="1"/>
  <c r="P37" i="147" s="1"/>
  <c r="O32" i="147" a="1"/>
  <c r="O32" i="147" s="1"/>
  <c r="P29" i="147" a="1"/>
  <c r="P29" i="147" s="1"/>
  <c r="O27" i="147" a="1"/>
  <c r="O27" i="147" s="1"/>
  <c r="O25" i="147" a="1"/>
  <c r="O25" i="147" s="1"/>
  <c r="P47" i="147" a="1"/>
  <c r="P47" i="147" s="1"/>
  <c r="O42" i="147" a="1"/>
  <c r="O42" i="147" s="1"/>
  <c r="O37" i="147" a="1"/>
  <c r="O37" i="147" s="1"/>
  <c r="P34" i="147" a="1"/>
  <c r="P34" i="147" s="1"/>
  <c r="O29" i="147" a="1"/>
  <c r="O29" i="147" s="1"/>
  <c r="P24" i="147" a="1"/>
  <c r="P24" i="147" s="1"/>
  <c r="O24" i="147" a="1"/>
  <c r="O24" i="147" s="1"/>
  <c r="P44" i="147" a="1"/>
  <c r="P44" i="147" s="1"/>
  <c r="P39" i="147" a="1"/>
  <c r="P39" i="147" s="1"/>
  <c r="O34" i="147" a="1"/>
  <c r="O34" i="147" s="1"/>
  <c r="P31" i="147" a="1"/>
  <c r="P31" i="147" s="1"/>
  <c r="O31" i="147" a="1"/>
  <c r="O31" i="147" s="1"/>
  <c r="P49" i="147" a="1"/>
  <c r="P49" i="147" s="1"/>
  <c r="O44" i="147" a="1"/>
  <c r="O44" i="147" s="1"/>
  <c r="P41" i="147" a="1"/>
  <c r="P41" i="147" s="1"/>
  <c r="O39" i="147" a="1"/>
  <c r="O39" i="147" s="1"/>
  <c r="P36" i="147" a="1"/>
  <c r="P36" i="147" s="1"/>
  <c r="P28" i="147" a="1"/>
  <c r="P28" i="147" s="1"/>
  <c r="O49" i="147" a="1"/>
  <c r="O49" i="147" s="1"/>
  <c r="P46" i="147" a="1"/>
  <c r="P46" i="147" s="1"/>
  <c r="O41" i="147" a="1"/>
  <c r="O41" i="147" s="1"/>
  <c r="O36" i="147" a="1"/>
  <c r="O36" i="147" s="1"/>
  <c r="P33" i="147" a="1"/>
  <c r="P33" i="147" s="1"/>
  <c r="O26" i="147" a="1"/>
  <c r="O26" i="147" s="1"/>
  <c r="O46" i="147" a="1"/>
  <c r="O46" i="147" s="1"/>
  <c r="P43" i="147" a="1"/>
  <c r="P43" i="147" s="1"/>
  <c r="P38" i="147" a="1"/>
  <c r="P38" i="147" s="1"/>
  <c r="O33" i="147" a="1"/>
  <c r="O33" i="147" s="1"/>
  <c r="P30" i="147" a="1"/>
  <c r="P30" i="147" s="1"/>
  <c r="O30" i="147" a="1"/>
  <c r="O30" i="147" s="1"/>
  <c r="P25" i="147" a="1"/>
  <c r="P25" i="147" s="1"/>
  <c r="P25" i="145" a="1"/>
  <c r="P25" i="145" s="1"/>
  <c r="P35" i="145" a="1"/>
  <c r="P35" i="145" s="1"/>
  <c r="P24" i="145" a="1"/>
  <c r="P24" i="145" s="1"/>
  <c r="AO24" i="145" s="1"/>
  <c r="P44" i="145" a="1"/>
  <c r="P44" i="145" s="1"/>
  <c r="AE44" i="145" s="1"/>
  <c r="P26" i="145" a="1"/>
  <c r="P26" i="145" s="1"/>
  <c r="AK26" i="145" s="1"/>
  <c r="P27" i="145" a="1"/>
  <c r="P27" i="145" s="1"/>
  <c r="AF27" i="145" s="1"/>
  <c r="P38" i="145" a="1"/>
  <c r="P38" i="145" s="1"/>
  <c r="AM38" i="145" s="1"/>
  <c r="P28" i="145" a="1"/>
  <c r="P28" i="145" s="1"/>
  <c r="P39" i="145" a="1"/>
  <c r="P39" i="145" s="1"/>
  <c r="AI39" i="145" s="1"/>
  <c r="P29" i="145" a="1"/>
  <c r="P29" i="145" s="1"/>
  <c r="P40" i="145" a="1"/>
  <c r="P40" i="145" s="1"/>
  <c r="P30" i="145" a="1"/>
  <c r="P30" i="145" s="1"/>
  <c r="P41" i="145" a="1"/>
  <c r="P41" i="145" s="1"/>
  <c r="AM41" i="145" s="1"/>
  <c r="P37" i="145" a="1"/>
  <c r="P37" i="145" s="1"/>
  <c r="P31" i="145" a="1"/>
  <c r="P31" i="145" s="1"/>
  <c r="P42" i="145" a="1"/>
  <c r="P42" i="145" s="1"/>
  <c r="AN42" i="145" s="1"/>
  <c r="P33" i="145" a="1"/>
  <c r="P33" i="145" s="1"/>
  <c r="AE33" i="145" s="1"/>
  <c r="P43" i="145" a="1"/>
  <c r="P43" i="145" s="1"/>
  <c r="O28" i="145" a="1"/>
  <c r="O28" i="145" s="1"/>
  <c r="AE28" i="145" s="1"/>
  <c r="O35" i="145" a="1"/>
  <c r="O35" i="145" s="1"/>
  <c r="O40" i="145" a="1"/>
  <c r="O40" i="145" s="1"/>
  <c r="O47" i="145" a="1"/>
  <c r="O47" i="145" s="1"/>
  <c r="E59" i="109"/>
  <c r="F59" i="109" s="1"/>
  <c r="F38" i="109"/>
  <c r="E67" i="109"/>
  <c r="F67" i="109" s="1"/>
  <c r="F46" i="109"/>
  <c r="E62" i="109"/>
  <c r="F62" i="109" s="1"/>
  <c r="F41" i="109"/>
  <c r="E70" i="109"/>
  <c r="F70" i="109" s="1"/>
  <c r="F49" i="109"/>
  <c r="E61" i="109"/>
  <c r="F61" i="109" s="1"/>
  <c r="F40" i="109"/>
  <c r="E69" i="109"/>
  <c r="F69" i="109" s="1"/>
  <c r="E55" i="109"/>
  <c r="F55" i="109" s="1"/>
  <c r="F36" i="109"/>
  <c r="E65" i="109"/>
  <c r="F65" i="109" s="1"/>
  <c r="F44" i="109"/>
  <c r="E73" i="109"/>
  <c r="F73" i="109" s="1"/>
  <c r="F52" i="109"/>
  <c r="E60" i="109"/>
  <c r="F60" i="109" s="1"/>
  <c r="F39" i="109"/>
  <c r="E68" i="109"/>
  <c r="F68" i="109" s="1"/>
  <c r="F47" i="109"/>
  <c r="R14" i="101"/>
  <c r="R14" i="102" s="1"/>
  <c r="C14" i="101"/>
  <c r="C14" i="102" s="1"/>
  <c r="G23" i="101"/>
  <c r="G23" i="102" s="1"/>
  <c r="F5" i="101"/>
  <c r="F5" i="102" s="1"/>
  <c r="Q5" i="101"/>
  <c r="Q5" i="102" s="1"/>
  <c r="E17" i="101"/>
  <c r="E17" i="102" s="1"/>
  <c r="N17" i="101"/>
  <c r="N17" i="102" s="1"/>
  <c r="N9" i="101"/>
  <c r="N9" i="102" s="1"/>
  <c r="O13" i="101"/>
  <c r="O13" i="102" s="1"/>
  <c r="M15" i="101"/>
  <c r="M15" i="102" s="1"/>
  <c r="M14" i="101"/>
  <c r="M14" i="102" s="1"/>
  <c r="S15" i="101"/>
  <c r="S15" i="102" s="1"/>
  <c r="I17" i="101"/>
  <c r="I17" i="102" s="1"/>
  <c r="F19" i="101"/>
  <c r="F19" i="102" s="1"/>
  <c r="C21" i="101"/>
  <c r="C21" i="102" s="1"/>
  <c r="K21" i="101"/>
  <c r="K21" i="102" s="1"/>
  <c r="C5" i="101"/>
  <c r="C5" i="102" s="1"/>
  <c r="E13" i="101"/>
  <c r="E13" i="102" s="1"/>
  <c r="O17" i="101"/>
  <c r="O17" i="102" s="1"/>
  <c r="O23" i="101"/>
  <c r="O23" i="102" s="1"/>
  <c r="C20" i="101"/>
  <c r="C20" i="102" s="1"/>
  <c r="G5" i="101"/>
  <c r="G5" i="102" s="1"/>
  <c r="F15" i="101"/>
  <c r="F15" i="102" s="1"/>
  <c r="G20" i="101"/>
  <c r="G20" i="102" s="1"/>
  <c r="C22" i="101"/>
  <c r="C22" i="102" s="1"/>
  <c r="N5" i="101"/>
  <c r="N5" i="102" s="1"/>
  <c r="L8" i="101"/>
  <c r="L8" i="102" s="1"/>
  <c r="C17" i="101"/>
  <c r="C17" i="102" s="1"/>
  <c r="O20" i="101"/>
  <c r="O20" i="102" s="1"/>
  <c r="I22" i="101"/>
  <c r="I22" i="102" s="1"/>
  <c r="Q22" i="101"/>
  <c r="Q22" i="102" s="1"/>
  <c r="L14" i="101"/>
  <c r="L14" i="102" s="1"/>
  <c r="P15" i="101"/>
  <c r="P15" i="102" s="1"/>
  <c r="G17" i="101"/>
  <c r="G17" i="102" s="1"/>
  <c r="E19" i="101"/>
  <c r="E19" i="102" s="1"/>
  <c r="C11" i="137"/>
  <c r="C4" i="5" s="1"/>
  <c r="C17" i="137"/>
  <c r="C10" i="5" s="1"/>
  <c r="D94" i="11"/>
  <c r="D95" i="11"/>
  <c r="D88" i="11"/>
  <c r="D90" i="11"/>
  <c r="S16" i="101"/>
  <c r="S16" i="102" s="1"/>
  <c r="M16" i="101"/>
  <c r="M16" i="102" s="1"/>
  <c r="J16" i="101"/>
  <c r="J16" i="102" s="1"/>
  <c r="G16" i="101"/>
  <c r="G16" i="102" s="1"/>
  <c r="D16" i="101"/>
  <c r="D16" i="102" s="1"/>
  <c r="C16" i="101"/>
  <c r="C16" i="102" s="1"/>
  <c r="R16" i="101"/>
  <c r="R16" i="102" s="1"/>
  <c r="O16" i="101"/>
  <c r="O16" i="102" s="1"/>
  <c r="M9" i="101"/>
  <c r="M9" i="102" s="1"/>
  <c r="I5" i="101"/>
  <c r="I5" i="102" s="1"/>
  <c r="C9" i="101"/>
  <c r="C9" i="102" s="1"/>
  <c r="O9" i="101"/>
  <c r="O9" i="102" s="1"/>
  <c r="C11" i="101"/>
  <c r="C11" i="102" s="1"/>
  <c r="Q14" i="101"/>
  <c r="Q14" i="102" s="1"/>
  <c r="H15" i="101"/>
  <c r="H15" i="102" s="1"/>
  <c r="H19" i="101"/>
  <c r="H19" i="102" s="1"/>
  <c r="I20" i="101"/>
  <c r="I20" i="102" s="1"/>
  <c r="F21" i="101"/>
  <c r="F21" i="102" s="1"/>
  <c r="M5" i="101"/>
  <c r="M5" i="102" s="1"/>
  <c r="E9" i="101"/>
  <c r="E9" i="102" s="1"/>
  <c r="P9" i="101"/>
  <c r="P9" i="102" s="1"/>
  <c r="N11" i="101"/>
  <c r="N11" i="102" s="1"/>
  <c r="S14" i="101"/>
  <c r="S14" i="102" s="1"/>
  <c r="I15" i="101"/>
  <c r="I15" i="102" s="1"/>
  <c r="Q17" i="101"/>
  <c r="Q17" i="102" s="1"/>
  <c r="O19" i="101"/>
  <c r="O19" i="102" s="1"/>
  <c r="K20" i="101"/>
  <c r="K20" i="102" s="1"/>
  <c r="G21" i="101"/>
  <c r="G21" i="102" s="1"/>
  <c r="K22" i="101"/>
  <c r="K22" i="102" s="1"/>
  <c r="F9" i="101"/>
  <c r="F9" i="102" s="1"/>
  <c r="Q9" i="101"/>
  <c r="Q9" i="102" s="1"/>
  <c r="P19" i="101"/>
  <c r="P19" i="102" s="1"/>
  <c r="P5" i="101"/>
  <c r="P5" i="102" s="1"/>
  <c r="J8" i="101"/>
  <c r="J8" i="102" s="1"/>
  <c r="G9" i="101"/>
  <c r="G9" i="102" s="1"/>
  <c r="S9" i="101"/>
  <c r="S9" i="102" s="1"/>
  <c r="E14" i="101"/>
  <c r="E14" i="102" s="1"/>
  <c r="N15" i="101"/>
  <c r="N15" i="102" s="1"/>
  <c r="S19" i="101"/>
  <c r="S19" i="102" s="1"/>
  <c r="Q20" i="101"/>
  <c r="Q20" i="102" s="1"/>
  <c r="O21" i="101"/>
  <c r="O21" i="102" s="1"/>
  <c r="H9" i="101"/>
  <c r="H9" i="102" s="1"/>
  <c r="I14" i="101"/>
  <c r="I14" i="102" s="1"/>
  <c r="S20" i="101"/>
  <c r="S20" i="102" s="1"/>
  <c r="S21" i="101"/>
  <c r="S21" i="102" s="1"/>
  <c r="E25" i="101"/>
  <c r="E25" i="102" s="1"/>
  <c r="J14" i="101"/>
  <c r="J14" i="102" s="1"/>
  <c r="C15" i="101"/>
  <c r="C15" i="102" s="1"/>
  <c r="C23" i="101"/>
  <c r="C23" i="102" s="1"/>
  <c r="P12" i="101"/>
  <c r="P12" i="102" s="1"/>
  <c r="H12" i="101"/>
  <c r="H12" i="102" s="1"/>
  <c r="N12" i="101"/>
  <c r="N12" i="102" s="1"/>
  <c r="F12" i="101"/>
  <c r="F12" i="102" s="1"/>
  <c r="S12" i="101"/>
  <c r="S12" i="102" s="1"/>
  <c r="I12" i="101"/>
  <c r="I12" i="102" s="1"/>
  <c r="R12" i="101"/>
  <c r="R12" i="102" s="1"/>
  <c r="G12" i="101"/>
  <c r="G12" i="102" s="1"/>
  <c r="Q12" i="101"/>
  <c r="Q12" i="102" s="1"/>
  <c r="E12" i="101"/>
  <c r="E12" i="102" s="1"/>
  <c r="O12" i="101"/>
  <c r="O12" i="102" s="1"/>
  <c r="D12" i="101"/>
  <c r="D12" i="102" s="1"/>
  <c r="M12" i="101"/>
  <c r="M12" i="102" s="1"/>
  <c r="C12" i="101"/>
  <c r="C12" i="102" s="1"/>
  <c r="L12" i="101"/>
  <c r="L12" i="102" s="1"/>
  <c r="K12" i="101"/>
  <c r="K12" i="102" s="1"/>
  <c r="J12" i="101"/>
  <c r="J12" i="102" s="1"/>
  <c r="P18" i="101"/>
  <c r="P18" i="102" s="1"/>
  <c r="H18" i="101"/>
  <c r="H18" i="102" s="1"/>
  <c r="N18" i="101"/>
  <c r="N18" i="102" s="1"/>
  <c r="F18" i="101"/>
  <c r="F18" i="102" s="1"/>
  <c r="L18" i="101"/>
  <c r="L18" i="102" s="1"/>
  <c r="K18" i="101"/>
  <c r="K18" i="102" s="1"/>
  <c r="J18" i="101"/>
  <c r="J18" i="102" s="1"/>
  <c r="I18" i="101"/>
  <c r="I18" i="102" s="1"/>
  <c r="R18" i="101"/>
  <c r="R18" i="102" s="1"/>
  <c r="G18" i="101"/>
  <c r="G18" i="102" s="1"/>
  <c r="Q18" i="101"/>
  <c r="Q18" i="102" s="1"/>
  <c r="E18" i="101"/>
  <c r="E18" i="102" s="1"/>
  <c r="O18" i="101"/>
  <c r="O18" i="102" s="1"/>
  <c r="D18" i="101"/>
  <c r="D18" i="102" s="1"/>
  <c r="M18" i="101"/>
  <c r="M18" i="102" s="1"/>
  <c r="C18" i="101"/>
  <c r="C18" i="102" s="1"/>
  <c r="P10" i="101"/>
  <c r="P10" i="102" s="1"/>
  <c r="H10" i="101"/>
  <c r="H10" i="102" s="1"/>
  <c r="N10" i="101"/>
  <c r="N10" i="102" s="1"/>
  <c r="F10" i="101"/>
  <c r="F10" i="102" s="1"/>
  <c r="R10" i="101"/>
  <c r="R10" i="102" s="1"/>
  <c r="G10" i="101"/>
  <c r="G10" i="102" s="1"/>
  <c r="Q10" i="101"/>
  <c r="Q10" i="102" s="1"/>
  <c r="E10" i="101"/>
  <c r="E10" i="102" s="1"/>
  <c r="O10" i="101"/>
  <c r="O10" i="102" s="1"/>
  <c r="D10" i="101"/>
  <c r="D10" i="102" s="1"/>
  <c r="M10" i="101"/>
  <c r="M10" i="102" s="1"/>
  <c r="C10" i="101"/>
  <c r="C10" i="102" s="1"/>
  <c r="L10" i="101"/>
  <c r="L10" i="102" s="1"/>
  <c r="K10" i="101"/>
  <c r="K10" i="102" s="1"/>
  <c r="J10" i="101"/>
  <c r="J10" i="102" s="1"/>
  <c r="S10" i="101"/>
  <c r="S10" i="102" s="1"/>
  <c r="I10" i="101"/>
  <c r="I10" i="102" s="1"/>
  <c r="S18" i="101"/>
  <c r="S18" i="102" s="1"/>
  <c r="P6" i="101"/>
  <c r="P6" i="102" s="1"/>
  <c r="H6" i="101"/>
  <c r="H6" i="102" s="1"/>
  <c r="N6" i="101"/>
  <c r="N6" i="102" s="1"/>
  <c r="F6" i="101"/>
  <c r="F6" i="102" s="1"/>
  <c r="O6" i="101"/>
  <c r="O6" i="102" s="1"/>
  <c r="D6" i="101"/>
  <c r="D6" i="102" s="1"/>
  <c r="M6" i="101"/>
  <c r="M6" i="102" s="1"/>
  <c r="C6" i="101"/>
  <c r="C6" i="102" s="1"/>
  <c r="K6" i="101"/>
  <c r="K6" i="102" s="1"/>
  <c r="L6" i="101"/>
  <c r="L6" i="102" s="1"/>
  <c r="J6" i="101"/>
  <c r="J6" i="102" s="1"/>
  <c r="S6" i="101"/>
  <c r="S6" i="102" s="1"/>
  <c r="I6" i="101"/>
  <c r="I6" i="102" s="1"/>
  <c r="R6" i="101"/>
  <c r="R6" i="102" s="1"/>
  <c r="G6" i="101"/>
  <c r="G6" i="102" s="1"/>
  <c r="Q6" i="101"/>
  <c r="Q6" i="102" s="1"/>
  <c r="E6" i="101"/>
  <c r="E6" i="102" s="1"/>
  <c r="D4" i="101"/>
  <c r="D4" i="102" s="1"/>
  <c r="O4" i="101"/>
  <c r="O4" i="102" s="1"/>
  <c r="E5" i="101"/>
  <c r="E5" i="102" s="1"/>
  <c r="O5" i="101"/>
  <c r="O5" i="102" s="1"/>
  <c r="F7" i="101"/>
  <c r="F7" i="102" s="1"/>
  <c r="P7" i="101"/>
  <c r="P7" i="102" s="1"/>
  <c r="G8" i="101"/>
  <c r="G8" i="102" s="1"/>
  <c r="R8" i="101"/>
  <c r="R8" i="102" s="1"/>
  <c r="H11" i="101"/>
  <c r="H11" i="102" s="1"/>
  <c r="S11" i="101"/>
  <c r="S11" i="102" s="1"/>
  <c r="K14" i="101"/>
  <c r="K14" i="102" s="1"/>
  <c r="L15" i="101"/>
  <c r="L15" i="102" s="1"/>
  <c r="D15" i="101"/>
  <c r="D15" i="102" s="1"/>
  <c r="R15" i="101"/>
  <c r="R15" i="102" s="1"/>
  <c r="J15" i="101"/>
  <c r="J15" i="102" s="1"/>
  <c r="K15" i="101"/>
  <c r="K15" i="102" s="1"/>
  <c r="L16" i="101"/>
  <c r="L16" i="102" s="1"/>
  <c r="M17" i="101"/>
  <c r="M17" i="102" s="1"/>
  <c r="C19" i="101"/>
  <c r="C19" i="102" s="1"/>
  <c r="N19" i="101"/>
  <c r="N19" i="102" s="1"/>
  <c r="E20" i="101"/>
  <c r="E20" i="102" s="1"/>
  <c r="R20" i="101"/>
  <c r="R20" i="102" s="1"/>
  <c r="O22" i="101"/>
  <c r="O22" i="102" s="1"/>
  <c r="F23" i="101"/>
  <c r="F23" i="102" s="1"/>
  <c r="S23" i="101"/>
  <c r="S23" i="102" s="1"/>
  <c r="C25" i="101"/>
  <c r="C25" i="102" s="1"/>
  <c r="E4" i="101"/>
  <c r="E4" i="102" s="1"/>
  <c r="Q4" i="101"/>
  <c r="Q4" i="102" s="1"/>
  <c r="G7" i="101"/>
  <c r="G7" i="102" s="1"/>
  <c r="Q7" i="101"/>
  <c r="Q7" i="102" s="1"/>
  <c r="I8" i="101"/>
  <c r="I8" i="102" s="1"/>
  <c r="L13" i="101"/>
  <c r="L13" i="102" s="1"/>
  <c r="D13" i="101"/>
  <c r="D13" i="102" s="1"/>
  <c r="R13" i="101"/>
  <c r="R13" i="102" s="1"/>
  <c r="J13" i="101"/>
  <c r="J13" i="102" s="1"/>
  <c r="K13" i="101"/>
  <c r="K13" i="102" s="1"/>
  <c r="P24" i="101"/>
  <c r="P24" i="102" s="1"/>
  <c r="H24" i="101"/>
  <c r="H24" i="102" s="1"/>
  <c r="N24" i="101"/>
  <c r="N24" i="102" s="1"/>
  <c r="F24" i="101"/>
  <c r="F24" i="102" s="1"/>
  <c r="L24" i="101"/>
  <c r="L24" i="102" s="1"/>
  <c r="D24" i="101"/>
  <c r="D24" i="102" s="1"/>
  <c r="M24" i="101"/>
  <c r="M24" i="102" s="1"/>
  <c r="G4" i="101"/>
  <c r="G4" i="102" s="1"/>
  <c r="R4" i="101"/>
  <c r="R4" i="102" s="1"/>
  <c r="H7" i="101"/>
  <c r="H7" i="102" s="1"/>
  <c r="S7" i="101"/>
  <c r="S7" i="102" s="1"/>
  <c r="P8" i="101"/>
  <c r="P8" i="102" s="1"/>
  <c r="H8" i="101"/>
  <c r="H8" i="102" s="1"/>
  <c r="N8" i="101"/>
  <c r="N8" i="102" s="1"/>
  <c r="F8" i="101"/>
  <c r="F8" i="102" s="1"/>
  <c r="L11" i="101"/>
  <c r="L11" i="102" s="1"/>
  <c r="D11" i="101"/>
  <c r="D11" i="102" s="1"/>
  <c r="R11" i="101"/>
  <c r="R11" i="102" s="1"/>
  <c r="J11" i="101"/>
  <c r="J11" i="102" s="1"/>
  <c r="K11" i="101"/>
  <c r="K11" i="102" s="1"/>
  <c r="M13" i="101"/>
  <c r="M13" i="102" s="1"/>
  <c r="L21" i="101"/>
  <c r="L21" i="102" s="1"/>
  <c r="D21" i="101"/>
  <c r="D21" i="102" s="1"/>
  <c r="R21" i="101"/>
  <c r="R21" i="102" s="1"/>
  <c r="J21" i="101"/>
  <c r="J21" i="102" s="1"/>
  <c r="P21" i="101"/>
  <c r="P21" i="102" s="1"/>
  <c r="H21" i="101"/>
  <c r="H21" i="102" s="1"/>
  <c r="M21" i="101"/>
  <c r="M21" i="102" s="1"/>
  <c r="E22" i="101"/>
  <c r="E22" i="102" s="1"/>
  <c r="R22" i="101"/>
  <c r="R22" i="102" s="1"/>
  <c r="I23" i="101"/>
  <c r="I23" i="102" s="1"/>
  <c r="O24" i="101"/>
  <c r="O24" i="102" s="1"/>
  <c r="F25" i="101"/>
  <c r="F25" i="102" s="1"/>
  <c r="I4" i="101"/>
  <c r="I4" i="102" s="1"/>
  <c r="S4" i="101"/>
  <c r="S4" i="102" s="1"/>
  <c r="H5" i="101"/>
  <c r="H5" i="102" s="1"/>
  <c r="K8" i="101"/>
  <c r="K8" i="102" s="1"/>
  <c r="L9" i="101"/>
  <c r="L9" i="102" s="1"/>
  <c r="D9" i="101"/>
  <c r="D9" i="102" s="1"/>
  <c r="R9" i="101"/>
  <c r="R9" i="102" s="1"/>
  <c r="J9" i="101"/>
  <c r="J9" i="102" s="1"/>
  <c r="K9" i="101"/>
  <c r="K9" i="102" s="1"/>
  <c r="M11" i="101"/>
  <c r="M11" i="102" s="1"/>
  <c r="C13" i="101"/>
  <c r="C13" i="102" s="1"/>
  <c r="N13" i="101"/>
  <c r="N13" i="102" s="1"/>
  <c r="D14" i="101"/>
  <c r="D14" i="102" s="1"/>
  <c r="O14" i="101"/>
  <c r="O14" i="102" s="1"/>
  <c r="E15" i="101"/>
  <c r="E15" i="102" s="1"/>
  <c r="O15" i="101"/>
  <c r="O15" i="102" s="1"/>
  <c r="E16" i="101"/>
  <c r="E16" i="102" s="1"/>
  <c r="Q16" i="101"/>
  <c r="Q16" i="102" s="1"/>
  <c r="F17" i="101"/>
  <c r="F17" i="102" s="1"/>
  <c r="P17" i="101"/>
  <c r="P17" i="102" s="1"/>
  <c r="G19" i="101"/>
  <c r="G19" i="102" s="1"/>
  <c r="Q19" i="101"/>
  <c r="Q19" i="102" s="1"/>
  <c r="N21" i="101"/>
  <c r="N21" i="102" s="1"/>
  <c r="G22" i="101"/>
  <c r="G22" i="102" s="1"/>
  <c r="S22" i="101"/>
  <c r="S22" i="102" s="1"/>
  <c r="C24" i="101"/>
  <c r="C24" i="102" s="1"/>
  <c r="Q24" i="101"/>
  <c r="Q24" i="102" s="1"/>
  <c r="G25" i="101"/>
  <c r="G25" i="102" s="1"/>
  <c r="L23" i="101"/>
  <c r="L23" i="102" s="1"/>
  <c r="D23" i="101"/>
  <c r="D23" i="102" s="1"/>
  <c r="R23" i="101"/>
  <c r="R23" i="102" s="1"/>
  <c r="J23" i="101"/>
  <c r="J23" i="102" s="1"/>
  <c r="P23" i="101"/>
  <c r="P23" i="102" s="1"/>
  <c r="H23" i="101"/>
  <c r="H23" i="102" s="1"/>
  <c r="M23" i="101"/>
  <c r="M23" i="102" s="1"/>
  <c r="E24" i="101"/>
  <c r="E24" i="102" s="1"/>
  <c r="R24" i="101"/>
  <c r="R24" i="102" s="1"/>
  <c r="I25" i="101"/>
  <c r="I25" i="102" s="1"/>
  <c r="J4" i="101"/>
  <c r="J4" i="102" s="1"/>
  <c r="L7" i="101"/>
  <c r="L7" i="102" s="1"/>
  <c r="D7" i="101"/>
  <c r="D7" i="102" s="1"/>
  <c r="R7" i="101"/>
  <c r="R7" i="102" s="1"/>
  <c r="J7" i="101"/>
  <c r="J7" i="102" s="1"/>
  <c r="K7" i="101"/>
  <c r="K7" i="102" s="1"/>
  <c r="L5" i="101"/>
  <c r="L5" i="102" s="1"/>
  <c r="D5" i="101"/>
  <c r="D5" i="102" s="1"/>
  <c r="R5" i="101"/>
  <c r="R5" i="102" s="1"/>
  <c r="J5" i="101"/>
  <c r="J5" i="102" s="1"/>
  <c r="K5" i="101"/>
  <c r="K5" i="102" s="1"/>
  <c r="M7" i="101"/>
  <c r="M7" i="102" s="1"/>
  <c r="C8" i="101"/>
  <c r="C8" i="102" s="1"/>
  <c r="M8" i="101"/>
  <c r="M8" i="102" s="1"/>
  <c r="E11" i="101"/>
  <c r="E11" i="102" s="1"/>
  <c r="O11" i="101"/>
  <c r="O11" i="102" s="1"/>
  <c r="F13" i="101"/>
  <c r="F13" i="102" s="1"/>
  <c r="P13" i="101"/>
  <c r="P13" i="102" s="1"/>
  <c r="G14" i="101"/>
  <c r="G14" i="102" s="1"/>
  <c r="I16" i="101"/>
  <c r="I16" i="102" s="1"/>
  <c r="H17" i="101"/>
  <c r="H17" i="102" s="1"/>
  <c r="P20" i="101"/>
  <c r="P20" i="102" s="1"/>
  <c r="H20" i="101"/>
  <c r="H20" i="102" s="1"/>
  <c r="N20" i="101"/>
  <c r="N20" i="102" s="1"/>
  <c r="F20" i="101"/>
  <c r="F20" i="102" s="1"/>
  <c r="L20" i="101"/>
  <c r="L20" i="102" s="1"/>
  <c r="D20" i="101"/>
  <c r="D20" i="102" s="1"/>
  <c r="M20" i="101"/>
  <c r="M20" i="102" s="1"/>
  <c r="E21" i="101"/>
  <c r="E21" i="102" s="1"/>
  <c r="Q21" i="101"/>
  <c r="Q21" i="102" s="1"/>
  <c r="N23" i="101"/>
  <c r="N23" i="102" s="1"/>
  <c r="G24" i="101"/>
  <c r="G24" i="102" s="1"/>
  <c r="S24" i="101"/>
  <c r="S24" i="102" s="1"/>
  <c r="P4" i="101"/>
  <c r="P4" i="102" s="1"/>
  <c r="H4" i="101"/>
  <c r="H4" i="102" s="1"/>
  <c r="N4" i="101"/>
  <c r="N4" i="102" s="1"/>
  <c r="F4" i="101"/>
  <c r="F4" i="102" s="1"/>
  <c r="L4" i="101"/>
  <c r="L4" i="102" s="1"/>
  <c r="C7" i="101"/>
  <c r="C7" i="102" s="1"/>
  <c r="N7" i="101"/>
  <c r="N7" i="102" s="1"/>
  <c r="D8" i="101"/>
  <c r="D8" i="102" s="1"/>
  <c r="O8" i="101"/>
  <c r="O8" i="102" s="1"/>
  <c r="F11" i="101"/>
  <c r="F11" i="102" s="1"/>
  <c r="P11" i="101"/>
  <c r="P11" i="102" s="1"/>
  <c r="G13" i="101"/>
  <c r="G13" i="102" s="1"/>
  <c r="Q13" i="101"/>
  <c r="Q13" i="102" s="1"/>
  <c r="P16" i="101"/>
  <c r="P16" i="102" s="1"/>
  <c r="H16" i="101"/>
  <c r="H16" i="102" s="1"/>
  <c r="N16" i="101"/>
  <c r="N16" i="102" s="1"/>
  <c r="F16" i="101"/>
  <c r="F16" i="102" s="1"/>
  <c r="L19" i="101"/>
  <c r="L19" i="102" s="1"/>
  <c r="D19" i="101"/>
  <c r="D19" i="102" s="1"/>
  <c r="R19" i="101"/>
  <c r="R19" i="102" s="1"/>
  <c r="J19" i="101"/>
  <c r="J19" i="102" s="1"/>
  <c r="K19" i="101"/>
  <c r="K19" i="102" s="1"/>
  <c r="I24" i="101"/>
  <c r="I24" i="102" s="1"/>
  <c r="M25" i="101"/>
  <c r="M25" i="102" s="1"/>
  <c r="L25" i="101"/>
  <c r="L25" i="102" s="1"/>
  <c r="D25" i="101"/>
  <c r="D25" i="102" s="1"/>
  <c r="S25" i="101"/>
  <c r="S25" i="102" s="1"/>
  <c r="R25" i="101"/>
  <c r="R25" i="102" s="1"/>
  <c r="J25" i="101"/>
  <c r="J25" i="102" s="1"/>
  <c r="Q25" i="101"/>
  <c r="Q25" i="102" s="1"/>
  <c r="P25" i="101"/>
  <c r="P25" i="102" s="1"/>
  <c r="H25" i="101"/>
  <c r="H25" i="102" s="1"/>
  <c r="N25" i="101"/>
  <c r="N25" i="102" s="1"/>
  <c r="O25" i="101"/>
  <c r="O25" i="102" s="1"/>
  <c r="C4" i="101"/>
  <c r="C4" i="102" s="1"/>
  <c r="M4" i="101"/>
  <c r="M4" i="102" s="1"/>
  <c r="E7" i="101"/>
  <c r="E7" i="102" s="1"/>
  <c r="O7" i="101"/>
  <c r="O7" i="102" s="1"/>
  <c r="E8" i="101"/>
  <c r="E8" i="102" s="1"/>
  <c r="Q8" i="101"/>
  <c r="Q8" i="102" s="1"/>
  <c r="G11" i="101"/>
  <c r="G11" i="102" s="1"/>
  <c r="Q11" i="101"/>
  <c r="Q11" i="102" s="1"/>
  <c r="H13" i="101"/>
  <c r="H13" i="102" s="1"/>
  <c r="S13" i="101"/>
  <c r="S13" i="102" s="1"/>
  <c r="P14" i="101"/>
  <c r="P14" i="102" s="1"/>
  <c r="H14" i="101"/>
  <c r="H14" i="102" s="1"/>
  <c r="N14" i="101"/>
  <c r="N14" i="102" s="1"/>
  <c r="F14" i="101"/>
  <c r="F14" i="102" s="1"/>
  <c r="K16" i="101"/>
  <c r="K16" i="102" s="1"/>
  <c r="L17" i="101"/>
  <c r="L17" i="102" s="1"/>
  <c r="D17" i="101"/>
  <c r="D17" i="102" s="1"/>
  <c r="R17" i="101"/>
  <c r="R17" i="102" s="1"/>
  <c r="J17" i="101"/>
  <c r="J17" i="102" s="1"/>
  <c r="K17" i="101"/>
  <c r="K17" i="102" s="1"/>
  <c r="M19" i="101"/>
  <c r="M19" i="102" s="1"/>
  <c r="P22" i="101"/>
  <c r="P22" i="102" s="1"/>
  <c r="H22" i="101"/>
  <c r="H22" i="102" s="1"/>
  <c r="N22" i="101"/>
  <c r="N22" i="102" s="1"/>
  <c r="F22" i="101"/>
  <c r="F22" i="102" s="1"/>
  <c r="L22" i="101"/>
  <c r="L22" i="102" s="1"/>
  <c r="D22" i="101"/>
  <c r="D22" i="102" s="1"/>
  <c r="M22" i="101"/>
  <c r="M22" i="102" s="1"/>
  <c r="E23" i="101"/>
  <c r="E23" i="102" s="1"/>
  <c r="Q23" i="101"/>
  <c r="Q23" i="102" s="1"/>
  <c r="J24" i="101"/>
  <c r="J24" i="102" s="1"/>
  <c r="E239" i="139"/>
  <c r="E58" i="109"/>
  <c r="F58" i="109" s="1"/>
  <c r="E64" i="109"/>
  <c r="F64" i="109" s="1"/>
  <c r="E66" i="109"/>
  <c r="F66" i="109" s="1"/>
  <c r="E72" i="109"/>
  <c r="F72" i="109" s="1"/>
  <c r="E74" i="109"/>
  <c r="F74" i="109" s="1"/>
  <c r="E54" i="109"/>
  <c r="F54" i="109" s="1"/>
  <c r="E63" i="109"/>
  <c r="F63" i="109" s="1"/>
  <c r="E71" i="109"/>
  <c r="F71" i="109" s="1"/>
  <c r="X185" i="105"/>
  <c r="Y185" i="105" s="1"/>
  <c r="E237" i="139"/>
  <c r="E76" i="109"/>
  <c r="F76" i="109" s="1"/>
  <c r="AM27" i="145"/>
  <c r="AO27" i="145"/>
  <c r="AE27" i="145"/>
  <c r="AG27" i="145"/>
  <c r="AK27" i="145"/>
  <c r="AH32" i="145"/>
  <c r="AI32" i="145"/>
  <c r="AJ32" i="145"/>
  <c r="AK32" i="145"/>
  <c r="AL32" i="145"/>
  <c r="AE32" i="145"/>
  <c r="AM32" i="145"/>
  <c r="AF32" i="145"/>
  <c r="AN32" i="145"/>
  <c r="AG32" i="145"/>
  <c r="AO32" i="145"/>
  <c r="AE42" i="145"/>
  <c r="AL44" i="145"/>
  <c r="AF44" i="145"/>
  <c r="AN44" i="145"/>
  <c r="AG44" i="145"/>
  <c r="AH44" i="145"/>
  <c r="AI44" i="145"/>
  <c r="AO26" i="145"/>
  <c r="AF26" i="145"/>
  <c r="AG26" i="145"/>
  <c r="AH26" i="145"/>
  <c r="AL26" i="145"/>
  <c r="AI26" i="145"/>
  <c r="AM26" i="145"/>
  <c r="AJ26" i="145"/>
  <c r="AF41" i="145"/>
  <c r="AL41" i="145"/>
  <c r="AE41" i="145"/>
  <c r="AK24" i="145"/>
  <c r="AJ24" i="145"/>
  <c r="AG24" i="145"/>
  <c r="AE24" i="145"/>
  <c r="AH24" i="145"/>
  <c r="AM24" i="145"/>
  <c r="AO38" i="145"/>
  <c r="AN38" i="145"/>
  <c r="AF38" i="145"/>
  <c r="P45" i="145" a="1"/>
  <c r="P45" i="145" s="1"/>
  <c r="P46" i="145" a="1"/>
  <c r="P46" i="145" s="1"/>
  <c r="P47" i="145" a="1"/>
  <c r="P47" i="145" s="1"/>
  <c r="P48" i="145" a="1"/>
  <c r="P48" i="145" s="1"/>
  <c r="P49" i="145" a="1"/>
  <c r="P49" i="145" s="1"/>
  <c r="X306" i="105"/>
  <c r="Y306" i="105" s="1"/>
  <c r="X240" i="105"/>
  <c r="Y240" i="105" s="1"/>
  <c r="X26" i="105"/>
  <c r="Y26" i="105" s="1"/>
  <c r="X315" i="105"/>
  <c r="Y315" i="105" s="1"/>
  <c r="X24" i="105"/>
  <c r="Y24" i="105" s="1"/>
  <c r="X231" i="105"/>
  <c r="X301" i="105"/>
  <c r="Y301" i="105" s="1"/>
  <c r="X91" i="105"/>
  <c r="X265" i="105"/>
  <c r="Y265" i="105" s="1"/>
  <c r="X54" i="105"/>
  <c r="G54" i="105" s="1"/>
  <c r="X180" i="105"/>
  <c r="Y180" i="105" s="1"/>
  <c r="X314" i="105"/>
  <c r="Y314" i="105" s="1"/>
  <c r="X178" i="105"/>
  <c r="Y178" i="105" s="1"/>
  <c r="X259" i="105"/>
  <c r="Y259" i="105" s="1"/>
  <c r="X37" i="105"/>
  <c r="Y37" i="105" s="1"/>
  <c r="X22" i="105"/>
  <c r="Y22" i="105" s="1"/>
  <c r="X27" i="105"/>
  <c r="Y27" i="105" s="1"/>
  <c r="X115" i="105"/>
  <c r="Y115" i="105" s="1"/>
  <c r="X187" i="105"/>
  <c r="Y187" i="105" s="1"/>
  <c r="X215" i="105"/>
  <c r="Y215" i="105" s="1"/>
  <c r="X195" i="105"/>
  <c r="Y195" i="105" s="1"/>
  <c r="X319" i="105"/>
  <c r="Y319" i="105" s="1"/>
  <c r="X6" i="105"/>
  <c r="Y6" i="105" s="1"/>
  <c r="X8" i="105"/>
  <c r="G8" i="105" s="1"/>
  <c r="X40" i="105"/>
  <c r="Y40" i="105" s="1"/>
  <c r="X181" i="105"/>
  <c r="Y181" i="105" s="1"/>
  <c r="X133" i="105"/>
  <c r="Y133" i="105" s="1"/>
  <c r="X161" i="105"/>
  <c r="X293" i="105"/>
  <c r="Y293" i="105" s="1"/>
  <c r="X298" i="105"/>
  <c r="Y298" i="105" s="1"/>
  <c r="X316" i="105"/>
  <c r="Y316" i="105" s="1"/>
  <c r="X18" i="105"/>
  <c r="Y18" i="105" s="1"/>
  <c r="X44" i="105"/>
  <c r="Y44" i="105" s="1"/>
  <c r="X57" i="105"/>
  <c r="X72" i="105"/>
  <c r="Y72" i="105" s="1"/>
  <c r="X85" i="105"/>
  <c r="Y85" i="105" s="1"/>
  <c r="X101" i="105"/>
  <c r="Y101" i="105" s="1"/>
  <c r="X124" i="105"/>
  <c r="Y124" i="105" s="1"/>
  <c r="X170" i="105"/>
  <c r="Y170" i="105" s="1"/>
  <c r="X175" i="105"/>
  <c r="Y175" i="105" s="1"/>
  <c r="X248" i="105"/>
  <c r="Y248" i="105" s="1"/>
  <c r="X30" i="105"/>
  <c r="Y30" i="105" s="1"/>
  <c r="X33" i="105"/>
  <c r="Y33" i="105" s="1"/>
  <c r="X77" i="105"/>
  <c r="I77" i="105" s="1"/>
  <c r="X269" i="105"/>
  <c r="H269" i="105" s="1"/>
  <c r="H291" i="105" s="1"/>
  <c r="X286" i="105"/>
  <c r="Y286" i="105" s="1"/>
  <c r="X289" i="105"/>
  <c r="Y289" i="105" s="1"/>
  <c r="X292" i="105"/>
  <c r="Y292" i="105" s="1"/>
  <c r="X86" i="105"/>
  <c r="Y86" i="105" s="1"/>
  <c r="X136" i="105"/>
  <c r="Y136" i="105" s="1"/>
  <c r="X287" i="105"/>
  <c r="Y287" i="105" s="1"/>
  <c r="X204" i="105"/>
  <c r="I204" i="105" s="1"/>
  <c r="X46" i="105"/>
  <c r="Y46" i="105" s="1"/>
  <c r="X62" i="105"/>
  <c r="Y62" i="105" s="1"/>
  <c r="X104" i="105"/>
  <c r="Y104" i="105" s="1"/>
  <c r="X149" i="105"/>
  <c r="X154" i="105"/>
  <c r="Y154" i="105" s="1"/>
  <c r="X285" i="105"/>
  <c r="Y285" i="105" s="1"/>
  <c r="X323" i="105"/>
  <c r="Y323" i="105" s="1"/>
  <c r="X9" i="105"/>
  <c r="Y9" i="105" s="1"/>
  <c r="X14" i="105"/>
  <c r="Y14" i="105" s="1"/>
  <c r="X21" i="105"/>
  <c r="Y21" i="105" s="1"/>
  <c r="X94" i="105"/>
  <c r="G94" i="105" s="1"/>
  <c r="X130" i="105"/>
  <c r="Y130" i="105" s="1"/>
  <c r="X135" i="105"/>
  <c r="Y135" i="105" s="1"/>
  <c r="X167" i="105"/>
  <c r="Y167" i="105" s="1"/>
  <c r="X198" i="105"/>
  <c r="Y198" i="105" s="1"/>
  <c r="X201" i="105"/>
  <c r="Y201" i="105" s="1"/>
  <c r="X224" i="105"/>
  <c r="X294" i="105"/>
  <c r="Y294" i="105" s="1"/>
  <c r="X311" i="105"/>
  <c r="Y311" i="105" s="1"/>
  <c r="X55" i="105"/>
  <c r="X31" i="105"/>
  <c r="Y31" i="105" s="1"/>
  <c r="X97" i="105"/>
  <c r="H97" i="105" s="1"/>
  <c r="X112" i="105"/>
  <c r="Y112" i="105" s="1"/>
  <c r="X165" i="105"/>
  <c r="Y165" i="105" s="1"/>
  <c r="X177" i="105"/>
  <c r="Y177" i="105" s="1"/>
  <c r="X182" i="105"/>
  <c r="Y182" i="105" s="1"/>
  <c r="X230" i="105"/>
  <c r="X234" i="105"/>
  <c r="Y234" i="105" s="1"/>
  <c r="X236" i="105"/>
  <c r="Y236" i="105" s="1"/>
  <c r="X309" i="105"/>
  <c r="Y309" i="105" s="1"/>
  <c r="X324" i="105"/>
  <c r="Y324" i="105" s="1"/>
  <c r="X36" i="105"/>
  <c r="X48" i="105"/>
  <c r="Y48" i="105" s="1"/>
  <c r="X69" i="105"/>
  <c r="Y69" i="105" s="1"/>
  <c r="X79" i="105"/>
  <c r="X92" i="105"/>
  <c r="X105" i="105"/>
  <c r="Y105" i="105" s="1"/>
  <c r="X128" i="105"/>
  <c r="Y128" i="105" s="1"/>
  <c r="X139" i="105"/>
  <c r="Y139" i="105" s="1"/>
  <c r="X141" i="105"/>
  <c r="X143" i="105"/>
  <c r="X145" i="105"/>
  <c r="Y145" i="105" s="1"/>
  <c r="X166" i="105"/>
  <c r="X173" i="105"/>
  <c r="Y173" i="105" s="1"/>
  <c r="X209" i="105"/>
  <c r="X225" i="105"/>
  <c r="Y225" i="105" s="1"/>
  <c r="X228" i="105"/>
  <c r="X242" i="105"/>
  <c r="Y242" i="105" s="1"/>
  <c r="X244" i="105"/>
  <c r="Y244" i="105" s="1"/>
  <c r="X282" i="105"/>
  <c r="Y282" i="105" s="1"/>
  <c r="X64" i="105"/>
  <c r="Y64" i="105" s="1"/>
  <c r="X98" i="105"/>
  <c r="X194" i="105"/>
  <c r="Y194" i="105" s="1"/>
  <c r="X299" i="105"/>
  <c r="Y299" i="105" s="1"/>
  <c r="X13" i="105"/>
  <c r="Y13" i="105" s="1"/>
  <c r="X53" i="105"/>
  <c r="H53" i="105" s="1"/>
  <c r="X81" i="105"/>
  <c r="Y81" i="105" s="1"/>
  <c r="X102" i="105"/>
  <c r="Y102" i="105" s="1"/>
  <c r="X109" i="105"/>
  <c r="Y109" i="105" s="1"/>
  <c r="X116" i="105"/>
  <c r="Y116" i="105" s="1"/>
  <c r="X134" i="105"/>
  <c r="Y134" i="105" s="1"/>
  <c r="X226" i="105"/>
  <c r="X250" i="105"/>
  <c r="Y250" i="105" s="1"/>
  <c r="X275" i="105"/>
  <c r="G275" i="105" s="1"/>
  <c r="G297" i="105" s="1"/>
  <c r="X310" i="105"/>
  <c r="Y310" i="105" s="1"/>
  <c r="X313" i="105"/>
  <c r="Y313" i="105" s="1"/>
  <c r="X320" i="105"/>
  <c r="Y320" i="105" s="1"/>
  <c r="X148" i="105"/>
  <c r="I148" i="105" s="1"/>
  <c r="X174" i="105"/>
  <c r="Y174" i="105" s="1"/>
  <c r="X303" i="105"/>
  <c r="Y303" i="105" s="1"/>
  <c r="X80" i="105"/>
  <c r="Y80" i="105" s="1"/>
  <c r="X96" i="105"/>
  <c r="G96" i="105" s="1"/>
  <c r="X132" i="105"/>
  <c r="Y132" i="105" s="1"/>
  <c r="X140" i="105"/>
  <c r="G140" i="105" s="1"/>
  <c r="X142" i="105"/>
  <c r="I142" i="105" s="1"/>
  <c r="X188" i="105"/>
  <c r="Y188" i="105" s="1"/>
  <c r="X193" i="105"/>
  <c r="Y193" i="105" s="1"/>
  <c r="X214" i="105"/>
  <c r="Y214" i="105" s="1"/>
  <c r="X254" i="105"/>
  <c r="Y254" i="105" s="1"/>
  <c r="X256" i="105"/>
  <c r="Y256" i="105" s="1"/>
  <c r="X278" i="105"/>
  <c r="Y278" i="105" s="1"/>
  <c r="X158" i="105"/>
  <c r="Y158" i="105" s="1"/>
  <c r="X249" i="105"/>
  <c r="Y249" i="105" s="1"/>
  <c r="X279" i="105"/>
  <c r="Y279" i="105" s="1"/>
  <c r="X307" i="105"/>
  <c r="Y307" i="105" s="1"/>
  <c r="X200" i="105"/>
  <c r="Y200" i="105" s="1"/>
  <c r="X233" i="105"/>
  <c r="Y233" i="105" s="1"/>
  <c r="X283" i="105"/>
  <c r="Y283" i="105" s="1"/>
  <c r="X281" i="105"/>
  <c r="Y281" i="105" s="1"/>
  <c r="X245" i="105"/>
  <c r="Y245" i="105" s="1"/>
  <c r="X257" i="105"/>
  <c r="Y257" i="105" s="1"/>
  <c r="X264" i="105"/>
  <c r="Y264" i="105" s="1"/>
  <c r="X23" i="105"/>
  <c r="Y23" i="105" s="1"/>
  <c r="X93" i="105"/>
  <c r="Y93" i="105" s="1"/>
  <c r="X100" i="105"/>
  <c r="Y100" i="105" s="1"/>
  <c r="X160" i="105"/>
  <c r="X176" i="105"/>
  <c r="Y176" i="105" s="1"/>
  <c r="X184" i="105"/>
  <c r="Y184" i="105" s="1"/>
  <c r="X190" i="105"/>
  <c r="Y190" i="105" s="1"/>
  <c r="X202" i="105"/>
  <c r="H202" i="105" s="1"/>
  <c r="X206" i="105"/>
  <c r="Y206" i="105" s="1"/>
  <c r="X243" i="105"/>
  <c r="Y243" i="105" s="1"/>
  <c r="X297" i="105"/>
  <c r="Y297" i="105" s="1"/>
  <c r="X49" i="105"/>
  <c r="Y49" i="105" s="1"/>
  <c r="X4" i="105"/>
  <c r="Y4" i="105" s="1"/>
  <c r="X12" i="105"/>
  <c r="Y12" i="105" s="1"/>
  <c r="X15" i="105"/>
  <c r="Y15" i="105" s="1"/>
  <c r="X20" i="105"/>
  <c r="Y20" i="105" s="1"/>
  <c r="X28" i="105"/>
  <c r="Y28" i="105" s="1"/>
  <c r="X45" i="105"/>
  <c r="Y45" i="105" s="1"/>
  <c r="X52" i="105"/>
  <c r="H52" i="105" s="1"/>
  <c r="X68" i="105"/>
  <c r="Y68" i="105" s="1"/>
  <c r="X76" i="105"/>
  <c r="G76" i="105" s="1"/>
  <c r="X84" i="105"/>
  <c r="Y84" i="105" s="1"/>
  <c r="X89" i="105"/>
  <c r="Y89" i="105" s="1"/>
  <c r="X117" i="105"/>
  <c r="Y117" i="105" s="1"/>
  <c r="X119" i="105"/>
  <c r="Y119" i="105" s="1"/>
  <c r="X126" i="105"/>
  <c r="Y126" i="105" s="1"/>
  <c r="X150" i="105"/>
  <c r="Y150" i="105" s="1"/>
  <c r="X155" i="105"/>
  <c r="Y155" i="105" s="1"/>
  <c r="X186" i="105"/>
  <c r="Y186" i="105" s="1"/>
  <c r="X196" i="105"/>
  <c r="Y196" i="105" s="1"/>
  <c r="X222" i="105"/>
  <c r="Y222" i="105" s="1"/>
  <c r="X227" i="105"/>
  <c r="X261" i="105"/>
  <c r="Y261" i="105" s="1"/>
  <c r="X273" i="105"/>
  <c r="I273" i="105" s="1"/>
  <c r="X291" i="105"/>
  <c r="Y291" i="105" s="1"/>
  <c r="X295" i="105"/>
  <c r="Y295" i="105" s="1"/>
  <c r="X302" i="105"/>
  <c r="Y302" i="105" s="1"/>
  <c r="X318" i="105"/>
  <c r="Y318" i="105" s="1"/>
  <c r="X147" i="105"/>
  <c r="I147" i="105" s="1"/>
  <c r="X153" i="105"/>
  <c r="Y153" i="105" s="1"/>
  <c r="X157" i="105"/>
  <c r="Y157" i="105" s="1"/>
  <c r="X207" i="105"/>
  <c r="G207" i="105" s="1"/>
  <c r="X266" i="105"/>
  <c r="I266" i="105" s="1"/>
  <c r="X277" i="105"/>
  <c r="Y277" i="105" s="1"/>
  <c r="X63" i="105"/>
  <c r="Y63" i="105" s="1"/>
  <c r="X56" i="105"/>
  <c r="I56" i="105" s="1"/>
  <c r="X88" i="105"/>
  <c r="Y88" i="105" s="1"/>
  <c r="X34" i="105"/>
  <c r="H34" i="105" s="1"/>
  <c r="X41" i="105"/>
  <c r="Y41" i="105" s="1"/>
  <c r="X61" i="105"/>
  <c r="Y61" i="105" s="1"/>
  <c r="X10" i="105"/>
  <c r="Y10" i="105" s="1"/>
  <c r="X17" i="105"/>
  <c r="Y17" i="105" s="1"/>
  <c r="X19" i="105"/>
  <c r="Y19" i="105" s="1"/>
  <c r="X29" i="105"/>
  <c r="Y29" i="105" s="1"/>
  <c r="X65" i="105"/>
  <c r="Y65" i="105" s="1"/>
  <c r="X67" i="105"/>
  <c r="Y67" i="105" s="1"/>
  <c r="X70" i="105"/>
  <c r="H70" i="105" s="1"/>
  <c r="X83" i="105"/>
  <c r="Y83" i="105" s="1"/>
  <c r="X111" i="105"/>
  <c r="Y111" i="105" s="1"/>
  <c r="X113" i="105"/>
  <c r="Y113" i="105" s="1"/>
  <c r="X120" i="105"/>
  <c r="Y120" i="105" s="1"/>
  <c r="X137" i="105"/>
  <c r="Y137" i="105" s="1"/>
  <c r="X163" i="105"/>
  <c r="X168" i="105"/>
  <c r="X179" i="105"/>
  <c r="Y179" i="105" s="1"/>
  <c r="X212" i="105"/>
  <c r="Y212" i="105" s="1"/>
  <c r="X216" i="105"/>
  <c r="Y216" i="105" s="1"/>
  <c r="X218" i="105"/>
  <c r="Y218" i="105" s="1"/>
  <c r="X221" i="105"/>
  <c r="Y221" i="105" s="1"/>
  <c r="X232" i="105"/>
  <c r="Y232" i="105" s="1"/>
  <c r="X268" i="105"/>
  <c r="G268" i="105" s="1"/>
  <c r="G290" i="105" s="1"/>
  <c r="X270" i="105"/>
  <c r="I270" i="105" s="1"/>
  <c r="I292" i="105" s="1"/>
  <c r="X272" i="105"/>
  <c r="Y272" i="105" s="1"/>
  <c r="X305" i="105"/>
  <c r="Y305" i="105" s="1"/>
  <c r="X25" i="105"/>
  <c r="Y25" i="105" s="1"/>
  <c r="X51" i="105"/>
  <c r="Y51" i="105" s="1"/>
  <c r="X75" i="105"/>
  <c r="H75" i="105" s="1"/>
  <c r="H94" i="105"/>
  <c r="X106" i="105"/>
  <c r="Y106" i="105" s="1"/>
  <c r="X205" i="105"/>
  <c r="H205" i="105" s="1"/>
  <c r="X208" i="105"/>
  <c r="Y208" i="105" s="1"/>
  <c r="X239" i="105"/>
  <c r="Y239" i="105" s="1"/>
  <c r="X251" i="105"/>
  <c r="Y251" i="105" s="1"/>
  <c r="X260" i="105"/>
  <c r="Y260" i="105" s="1"/>
  <c r="X274" i="105"/>
  <c r="H274" i="105" s="1"/>
  <c r="H296" i="105" s="1"/>
  <c r="X317" i="105"/>
  <c r="Y317" i="105" s="1"/>
  <c r="X60" i="105"/>
  <c r="Y60" i="105" s="1"/>
  <c r="X107" i="105"/>
  <c r="Y107" i="105" s="1"/>
  <c r="X5" i="105"/>
  <c r="Y5" i="105" s="1"/>
  <c r="X11" i="105"/>
  <c r="Y11" i="105" s="1"/>
  <c r="X35" i="105"/>
  <c r="Y35" i="105" s="1"/>
  <c r="X38" i="105"/>
  <c r="I38" i="105" s="1"/>
  <c r="X59" i="105"/>
  <c r="I59" i="105" s="1"/>
  <c r="X71" i="105"/>
  <c r="H71" i="105" s="1"/>
  <c r="X87" i="105"/>
  <c r="Y87" i="105" s="1"/>
  <c r="X103" i="105"/>
  <c r="Y103" i="105" s="1"/>
  <c r="X121" i="105"/>
  <c r="Y121" i="105" s="1"/>
  <c r="X123" i="105"/>
  <c r="Y123" i="105" s="1"/>
  <c r="X127" i="105"/>
  <c r="Y127" i="105" s="1"/>
  <c r="X138" i="105"/>
  <c r="Y138" i="105" s="1"/>
  <c r="X144" i="105"/>
  <c r="Y144" i="105" s="1"/>
  <c r="X146" i="105"/>
  <c r="I146" i="105" s="1"/>
  <c r="X151" i="105"/>
  <c r="Y151" i="105" s="1"/>
  <c r="H155" i="105"/>
  <c r="H217" i="105" s="1"/>
  <c r="X169" i="105"/>
  <c r="X189" i="105"/>
  <c r="Y189" i="105" s="1"/>
  <c r="X197" i="105"/>
  <c r="Y197" i="105" s="1"/>
  <c r="X210" i="105"/>
  <c r="I210" i="105" s="1"/>
  <c r="X219" i="105"/>
  <c r="Y219" i="105" s="1"/>
  <c r="X241" i="105"/>
  <c r="Y241" i="105" s="1"/>
  <c r="X267" i="105"/>
  <c r="Y267" i="105" s="1"/>
  <c r="X276" i="105"/>
  <c r="Y276" i="105" s="1"/>
  <c r="E235" i="139"/>
  <c r="E236" i="139"/>
  <c r="E165" i="8" s="1"/>
  <c r="F165" i="8" s="1"/>
  <c r="E233" i="139"/>
  <c r="E22" i="8" s="1"/>
  <c r="F22" i="8" s="1"/>
  <c r="E238" i="139"/>
  <c r="E29" i="8" s="1"/>
  <c r="F29" i="8" s="1"/>
  <c r="E234" i="139"/>
  <c r="E23" i="8" s="1"/>
  <c r="F23" i="8" s="1"/>
  <c r="E228" i="139"/>
  <c r="E161" i="8" s="1"/>
  <c r="F161" i="8" s="1"/>
  <c r="E231" i="139"/>
  <c r="E162" i="8" s="1"/>
  <c r="F162" i="8" s="1"/>
  <c r="E229" i="139"/>
  <c r="E26" i="8" s="1"/>
  <c r="F26" i="8" s="1"/>
  <c r="E232" i="139"/>
  <c r="E163" i="8" s="1"/>
  <c r="F163" i="8" s="1"/>
  <c r="E230" i="139"/>
  <c r="E27" i="8" s="1"/>
  <c r="F27" i="8" s="1"/>
  <c r="E28" i="8"/>
  <c r="F28" i="8" s="1"/>
  <c r="E240" i="139"/>
  <c r="E167" i="8" s="1"/>
  <c r="F167" i="8" s="1"/>
  <c r="E226" i="139"/>
  <c r="E21" i="8" s="1"/>
  <c r="F21" i="8" s="1"/>
  <c r="E224" i="139"/>
  <c r="E159" i="8" s="1"/>
  <c r="F159" i="8" s="1"/>
  <c r="E222" i="139"/>
  <c r="E25" i="8" s="1"/>
  <c r="F25" i="8" s="1"/>
  <c r="E219" i="139"/>
  <c r="E156" i="8" s="1"/>
  <c r="F156" i="8" s="1"/>
  <c r="E217" i="139"/>
  <c r="E18" i="8" s="1"/>
  <c r="F18" i="8" s="1"/>
  <c r="E220" i="139"/>
  <c r="E157" i="8" s="1"/>
  <c r="F157" i="8" s="1"/>
  <c r="E218" i="139"/>
  <c r="E19" i="8" s="1"/>
  <c r="F19" i="8" s="1"/>
  <c r="E227" i="139"/>
  <c r="E160" i="8" s="1"/>
  <c r="F160" i="8" s="1"/>
  <c r="E225" i="139"/>
  <c r="E20" i="8" s="1"/>
  <c r="F20" i="8" s="1"/>
  <c r="E223" i="139"/>
  <c r="E158" i="8" s="1"/>
  <c r="F158" i="8" s="1"/>
  <c r="E221" i="139"/>
  <c r="E24" i="8" s="1"/>
  <c r="F24" i="8" s="1"/>
  <c r="E203" i="139"/>
  <c r="E172" i="8" s="1"/>
  <c r="F172" i="8" s="1"/>
  <c r="E122" i="139"/>
  <c r="E80" i="8" s="1"/>
  <c r="F80" i="8" s="1"/>
  <c r="E124" i="139"/>
  <c r="E82" i="8" s="1"/>
  <c r="F82" i="8" s="1"/>
  <c r="E205" i="139"/>
  <c r="E174" i="8" s="1"/>
  <c r="F174" i="8" s="1"/>
  <c r="E208" i="139"/>
  <c r="E177" i="8" s="1"/>
  <c r="F177" i="8" s="1"/>
  <c r="E127" i="139"/>
  <c r="E85" i="8" s="1"/>
  <c r="F85" i="8" s="1"/>
  <c r="E135" i="139"/>
  <c r="E93" i="8" s="1"/>
  <c r="F93" i="8" s="1"/>
  <c r="E216" i="139"/>
  <c r="E168" i="8" s="1"/>
  <c r="F168" i="8" s="1"/>
  <c r="E166" i="8"/>
  <c r="F166" i="8" s="1"/>
  <c r="E164" i="8"/>
  <c r="F164" i="8" s="1"/>
  <c r="D13" i="11"/>
  <c r="D5" i="11"/>
  <c r="G55" i="105"/>
  <c r="I55" i="105"/>
  <c r="X32" i="105"/>
  <c r="X66" i="105"/>
  <c r="Y66" i="105" s="1"/>
  <c r="X78" i="105"/>
  <c r="X82" i="105"/>
  <c r="Y82" i="105" s="1"/>
  <c r="X47" i="105"/>
  <c r="Y47" i="105" s="1"/>
  <c r="I57" i="105"/>
  <c r="G57" i="105"/>
  <c r="Y57" i="105"/>
  <c r="H57" i="105"/>
  <c r="I8" i="105"/>
  <c r="H8" i="105"/>
  <c r="Y8" i="105"/>
  <c r="X16" i="105"/>
  <c r="Y16" i="105" s="1"/>
  <c r="X43" i="105"/>
  <c r="Y43" i="105" s="1"/>
  <c r="Y55" i="105"/>
  <c r="X74" i="105"/>
  <c r="X39" i="105"/>
  <c r="Y39" i="105" s="1"/>
  <c r="I54" i="105"/>
  <c r="Y54" i="105"/>
  <c r="H54" i="105"/>
  <c r="I79" i="105"/>
  <c r="Y79" i="105"/>
  <c r="H79" i="105"/>
  <c r="G79" i="105"/>
  <c r="Y91" i="105"/>
  <c r="H91" i="105"/>
  <c r="I91" i="105"/>
  <c r="G91" i="105"/>
  <c r="X50" i="105"/>
  <c r="I92" i="105"/>
  <c r="Y92" i="105"/>
  <c r="H92" i="105"/>
  <c r="G92" i="105"/>
  <c r="I97" i="105"/>
  <c r="Y36" i="105"/>
  <c r="H36" i="105"/>
  <c r="G36" i="105"/>
  <c r="X7" i="105"/>
  <c r="Y7" i="105" s="1"/>
  <c r="X58" i="105"/>
  <c r="X73" i="105"/>
  <c r="I36" i="105"/>
  <c r="X42" i="105"/>
  <c r="Y42" i="105" s="1"/>
  <c r="H55" i="105"/>
  <c r="I94" i="105"/>
  <c r="I98" i="105"/>
  <c r="Y98" i="105"/>
  <c r="Y94" i="105"/>
  <c r="X99" i="105"/>
  <c r="I140" i="105"/>
  <c r="Y140" i="105"/>
  <c r="H140" i="105"/>
  <c r="H130" i="105" s="1"/>
  <c r="H192" i="105" s="1"/>
  <c r="X125" i="105"/>
  <c r="Y125" i="105" s="1"/>
  <c r="X129" i="105"/>
  <c r="Y129" i="105" s="1"/>
  <c r="X95" i="105"/>
  <c r="X108" i="105"/>
  <c r="Y108" i="105" s="1"/>
  <c r="I143" i="105"/>
  <c r="Y143" i="105"/>
  <c r="H143" i="105"/>
  <c r="H133" i="105" s="1"/>
  <c r="H195" i="105" s="1"/>
  <c r="G143" i="105"/>
  <c r="Y149" i="105"/>
  <c r="I149" i="105"/>
  <c r="H149" i="105"/>
  <c r="H139" i="105" s="1"/>
  <c r="H201" i="105" s="1"/>
  <c r="G149" i="105"/>
  <c r="X90" i="105"/>
  <c r="X110" i="105"/>
  <c r="Y110" i="105" s="1"/>
  <c r="X156" i="105"/>
  <c r="Y156" i="105" s="1"/>
  <c r="I141" i="105"/>
  <c r="Y141" i="105"/>
  <c r="H141" i="105"/>
  <c r="H131" i="105" s="1"/>
  <c r="H193" i="105" s="1"/>
  <c r="G141" i="105"/>
  <c r="X118" i="105"/>
  <c r="Y118" i="105" s="1"/>
  <c r="X131" i="105"/>
  <c r="Y131" i="105" s="1"/>
  <c r="G148" i="105"/>
  <c r="X152" i="105"/>
  <c r="Y152" i="105" s="1"/>
  <c r="X159" i="105"/>
  <c r="Y159" i="105" s="1"/>
  <c r="X114" i="105"/>
  <c r="Y114" i="105" s="1"/>
  <c r="X122" i="105"/>
  <c r="Y122" i="105" s="1"/>
  <c r="X162" i="105"/>
  <c r="X172" i="105"/>
  <c r="Y172" i="105" s="1"/>
  <c r="X164" i="105"/>
  <c r="X191" i="105"/>
  <c r="Y191" i="105" s="1"/>
  <c r="X203" i="105"/>
  <c r="X199" i="105"/>
  <c r="Y199" i="105" s="1"/>
  <c r="Y202" i="105"/>
  <c r="Y209" i="105"/>
  <c r="H209" i="105"/>
  <c r="I209" i="105"/>
  <c r="G209" i="105"/>
  <c r="Y166" i="105"/>
  <c r="H156" i="105"/>
  <c r="H218" i="105" s="1"/>
  <c r="Y230" i="105"/>
  <c r="Y231" i="105"/>
  <c r="X171" i="105"/>
  <c r="Y171" i="105" s="1"/>
  <c r="X183" i="105"/>
  <c r="Y183" i="105" s="1"/>
  <c r="X192" i="105"/>
  <c r="Y192" i="105" s="1"/>
  <c r="X213" i="105"/>
  <c r="Y213" i="105" s="1"/>
  <c r="X247" i="105"/>
  <c r="Y247" i="105" s="1"/>
  <c r="X255" i="105"/>
  <c r="Y255" i="105" s="1"/>
  <c r="X235" i="105"/>
  <c r="Y235" i="105" s="1"/>
  <c r="X211" i="105"/>
  <c r="X223" i="105"/>
  <c r="X262" i="105"/>
  <c r="Y262" i="105" s="1"/>
  <c r="X271" i="105"/>
  <c r="Y226" i="105"/>
  <c r="X229" i="105"/>
  <c r="I269" i="105"/>
  <c r="Y269" i="105"/>
  <c r="G269" i="105"/>
  <c r="X258" i="105"/>
  <c r="Y258" i="105" s="1"/>
  <c r="X220" i="105"/>
  <c r="Y220" i="105" s="1"/>
  <c r="X238" i="105"/>
  <c r="Y238" i="105" s="1"/>
  <c r="X246" i="105"/>
  <c r="Y246" i="105" s="1"/>
  <c r="X263" i="105"/>
  <c r="Y263" i="105" s="1"/>
  <c r="X217" i="105"/>
  <c r="Y217" i="105" s="1"/>
  <c r="X252" i="105"/>
  <c r="Y252" i="105" s="1"/>
  <c r="X280" i="105"/>
  <c r="Y280" i="105" s="1"/>
  <c r="X237" i="105"/>
  <c r="Y237" i="105" s="1"/>
  <c r="X253" i="105"/>
  <c r="Y253" i="105" s="1"/>
  <c r="X284" i="105"/>
  <c r="Y284" i="105" s="1"/>
  <c r="X296" i="105"/>
  <c r="Y296" i="105" s="1"/>
  <c r="X321" i="105"/>
  <c r="Y321" i="105" s="1"/>
  <c r="X288" i="105"/>
  <c r="Y288" i="105" s="1"/>
  <c r="X322" i="105"/>
  <c r="Y322" i="105" s="1"/>
  <c r="X290" i="105"/>
  <c r="Y290" i="105" s="1"/>
  <c r="X300" i="105"/>
  <c r="Y300" i="105" s="1"/>
  <c r="X304" i="105"/>
  <c r="Y304" i="105" s="1"/>
  <c r="X308" i="105"/>
  <c r="Y308" i="105" s="1"/>
  <c r="X312" i="105"/>
  <c r="Y312" i="105" s="1"/>
  <c r="E8" i="42" l="1"/>
  <c r="T7" i="42"/>
  <c r="E59" i="42"/>
  <c r="T58" i="42"/>
  <c r="T57" i="42"/>
  <c r="AL25" i="145"/>
  <c r="AK25" i="145"/>
  <c r="AH25" i="145"/>
  <c r="AO25" i="145"/>
  <c r="AF25" i="145"/>
  <c r="AM25" i="145"/>
  <c r="AG25" i="145"/>
  <c r="AN25" i="145"/>
  <c r="AG43" i="145"/>
  <c r="AJ29" i="145"/>
  <c r="AJ25" i="145"/>
  <c r="AE25" i="145"/>
  <c r="AK31" i="145"/>
  <c r="AK37" i="145"/>
  <c r="AG30" i="145"/>
  <c r="AE35" i="145"/>
  <c r="AE26" i="145"/>
  <c r="AJ37" i="145"/>
  <c r="AF31" i="145"/>
  <c r="AG37" i="145"/>
  <c r="AJ38" i="145"/>
  <c r="AL24" i="145"/>
  <c r="AL31" i="145"/>
  <c r="AH27" i="145"/>
  <c r="AO35" i="145"/>
  <c r="AI38" i="145"/>
  <c r="AN24" i="145"/>
  <c r="AL27" i="145"/>
  <c r="AN35" i="145"/>
  <c r="AE40" i="145"/>
  <c r="AH38" i="145"/>
  <c r="AI24" i="145"/>
  <c r="AO44" i="145"/>
  <c r="AJ27" i="145"/>
  <c r="AM35" i="145"/>
  <c r="AI37" i="145"/>
  <c r="AE29" i="145"/>
  <c r="AH30" i="145"/>
  <c r="AH35" i="145"/>
  <c r="AK44" i="145"/>
  <c r="AM44" i="145"/>
  <c r="AN29" i="145"/>
  <c r="AK30" i="145"/>
  <c r="AN27" i="145"/>
  <c r="AK28" i="145"/>
  <c r="AJ44" i="145"/>
  <c r="V44" i="145" s="1"/>
  <c r="AN37" i="145"/>
  <c r="AI30" i="145"/>
  <c r="AI27" i="145"/>
  <c r="AE30" i="145"/>
  <c r="AJ40" i="145"/>
  <c r="AF40" i="145"/>
  <c r="AL35" i="145"/>
  <c r="AF30" i="145"/>
  <c r="AN33" i="145"/>
  <c r="AG31" i="145"/>
  <c r="AF39" i="145"/>
  <c r="AO30" i="145"/>
  <c r="AH41" i="145"/>
  <c r="AM33" i="145"/>
  <c r="AM31" i="145"/>
  <c r="AO39" i="145"/>
  <c r="AM30" i="145"/>
  <c r="AJ30" i="145"/>
  <c r="AG41" i="145"/>
  <c r="AN31" i="145"/>
  <c r="AH39" i="145"/>
  <c r="AL30" i="145"/>
  <c r="AJ33" i="145"/>
  <c r="AJ39" i="145"/>
  <c r="AO41" i="145"/>
  <c r="AI31" i="145"/>
  <c r="AL39" i="145"/>
  <c r="AN30" i="145"/>
  <c r="AK41" i="145"/>
  <c r="AH31" i="145"/>
  <c r="AG39" i="145"/>
  <c r="AK39" i="145"/>
  <c r="AE39" i="145"/>
  <c r="AL43" i="145"/>
  <c r="AI43" i="145"/>
  <c r="AL33" i="145"/>
  <c r="AG28" i="145"/>
  <c r="AI42" i="145"/>
  <c r="AG29" i="145"/>
  <c r="AH29" i="145"/>
  <c r="AM37" i="145"/>
  <c r="AK40" i="145"/>
  <c r="AI40" i="145"/>
  <c r="AI35" i="145"/>
  <c r="AI25" i="147"/>
  <c r="AJ25" i="147"/>
  <c r="AK25" i="147"/>
  <c r="AE25" i="147"/>
  <c r="AL25" i="147"/>
  <c r="AH25" i="147"/>
  <c r="AM25" i="147"/>
  <c r="AF25" i="147"/>
  <c r="AN25" i="147"/>
  <c r="AG25" i="147"/>
  <c r="AO25" i="147"/>
  <c r="O28" i="147" a="1"/>
  <c r="O28" i="147" s="1"/>
  <c r="AE28" i="147" s="1"/>
  <c r="AM44" i="147"/>
  <c r="AJ44" i="147"/>
  <c r="AF44" i="147"/>
  <c r="AN44" i="147"/>
  <c r="AH44" i="147"/>
  <c r="AL44" i="147"/>
  <c r="AE44" i="147"/>
  <c r="AG44" i="147"/>
  <c r="AI44" i="147"/>
  <c r="AO44" i="147"/>
  <c r="AK44" i="147"/>
  <c r="AI26" i="147"/>
  <c r="AL26" i="147"/>
  <c r="AO26" i="147"/>
  <c r="AK26" i="147"/>
  <c r="AF26" i="147"/>
  <c r="AN26" i="147"/>
  <c r="AH26" i="147"/>
  <c r="AM26" i="147"/>
  <c r="AE26" i="147"/>
  <c r="AG26" i="147"/>
  <c r="AJ26" i="147"/>
  <c r="P34" i="145" a="1"/>
  <c r="P34" i="145" s="1"/>
  <c r="F20" i="40"/>
  <c r="AO43" i="145"/>
  <c r="AI33" i="145"/>
  <c r="AF33" i="145"/>
  <c r="AH28" i="145"/>
  <c r="AN28" i="145"/>
  <c r="AM42" i="145"/>
  <c r="AM29" i="145"/>
  <c r="AN40" i="145"/>
  <c r="AL33" i="147"/>
  <c r="AI33" i="147"/>
  <c r="AM33" i="147"/>
  <c r="AO33" i="147"/>
  <c r="AJ33" i="147"/>
  <c r="AF33" i="147"/>
  <c r="AG33" i="147"/>
  <c r="AN33" i="147"/>
  <c r="AK33" i="147"/>
  <c r="AH33" i="147"/>
  <c r="AE33" i="147"/>
  <c r="AM41" i="147"/>
  <c r="AI41" i="147"/>
  <c r="AK41" i="147"/>
  <c r="AL41" i="147"/>
  <c r="AF41" i="147"/>
  <c r="AG41" i="147"/>
  <c r="AH41" i="147"/>
  <c r="AN41" i="147"/>
  <c r="AO41" i="147"/>
  <c r="AJ41" i="147"/>
  <c r="AE41" i="147"/>
  <c r="O47" i="147" a="1"/>
  <c r="O47" i="147" s="1"/>
  <c r="AN47" i="147" s="1"/>
  <c r="AG32" i="147"/>
  <c r="AJ32" i="147"/>
  <c r="AF32" i="147"/>
  <c r="AK32" i="147"/>
  <c r="AN32" i="147"/>
  <c r="AH32" i="147"/>
  <c r="AE32" i="147"/>
  <c r="AM32" i="147"/>
  <c r="AO32" i="147"/>
  <c r="AL32" i="147"/>
  <c r="AI32" i="147"/>
  <c r="AM43" i="145"/>
  <c r="AN43" i="145"/>
  <c r="AH33" i="145"/>
  <c r="AM28" i="145"/>
  <c r="AJ28" i="145"/>
  <c r="AJ42" i="145"/>
  <c r="AK29" i="145"/>
  <c r="AL29" i="145"/>
  <c r="AE37" i="145"/>
  <c r="AM40" i="145"/>
  <c r="AL38" i="145"/>
  <c r="AE38" i="145"/>
  <c r="AF24" i="145"/>
  <c r="AK43" i="145"/>
  <c r="AN41" i="145"/>
  <c r="AJ41" i="145"/>
  <c r="AK33" i="145"/>
  <c r="AE31" i="145"/>
  <c r="AO28" i="145"/>
  <c r="AM39" i="145"/>
  <c r="AN39" i="145"/>
  <c r="AK42" i="145"/>
  <c r="AH42" i="145"/>
  <c r="AF29" i="145"/>
  <c r="AF37" i="145"/>
  <c r="AH37" i="145"/>
  <c r="AO40" i="145"/>
  <c r="AH40" i="145"/>
  <c r="AJ35" i="145"/>
  <c r="AG35" i="145"/>
  <c r="AI30" i="147"/>
  <c r="AK30" i="147"/>
  <c r="AJ30" i="147"/>
  <c r="AF30" i="147"/>
  <c r="AN30" i="147"/>
  <c r="AM30" i="147"/>
  <c r="AE30" i="147"/>
  <c r="AL30" i="147"/>
  <c r="AG30" i="147"/>
  <c r="AH30" i="147"/>
  <c r="AO30" i="147"/>
  <c r="O35" i="147" a="1"/>
  <c r="O35" i="147" s="1"/>
  <c r="AK35" i="147" s="1"/>
  <c r="AF43" i="145"/>
  <c r="AF28" i="145"/>
  <c r="AH43" i="145"/>
  <c r="AE43" i="145"/>
  <c r="AG33" i="145"/>
  <c r="AJ31" i="145"/>
  <c r="AO31" i="145"/>
  <c r="AL28" i="145"/>
  <c r="AO42" i="145"/>
  <c r="AL42" i="145"/>
  <c r="AO29" i="145"/>
  <c r="AI29" i="145"/>
  <c r="AL37" i="145"/>
  <c r="AG40" i="145"/>
  <c r="AL40" i="145"/>
  <c r="AK35" i="145"/>
  <c r="AK38" i="145"/>
  <c r="V38" i="145" s="1"/>
  <c r="AJ43" i="145"/>
  <c r="AI41" i="145"/>
  <c r="AO33" i="145"/>
  <c r="AN26" i="145"/>
  <c r="AF42" i="145"/>
  <c r="AG42" i="145"/>
  <c r="AO37" i="145"/>
  <c r="AF35" i="145"/>
  <c r="AG49" i="147"/>
  <c r="AJ49" i="147"/>
  <c r="AI49" i="147"/>
  <c r="AO49" i="147"/>
  <c r="AL49" i="147"/>
  <c r="AF49" i="147"/>
  <c r="AE49" i="147"/>
  <c r="AK49" i="147"/>
  <c r="AN49" i="147"/>
  <c r="AM49" i="147"/>
  <c r="AH49" i="147"/>
  <c r="AN24" i="147"/>
  <c r="AF24" i="147"/>
  <c r="AL24" i="147"/>
  <c r="AK24" i="147"/>
  <c r="AH24" i="147"/>
  <c r="AJ24" i="147"/>
  <c r="AE24" i="147"/>
  <c r="AI24" i="147"/>
  <c r="AM24" i="147"/>
  <c r="AG24" i="147"/>
  <c r="AO24" i="147"/>
  <c r="AI29" i="147"/>
  <c r="AM29" i="147"/>
  <c r="AJ29" i="147"/>
  <c r="AF29" i="147"/>
  <c r="AH29" i="147"/>
  <c r="AG29" i="147"/>
  <c r="AL29" i="147"/>
  <c r="AN29" i="147"/>
  <c r="AK29" i="147"/>
  <c r="AE29" i="147"/>
  <c r="AO29" i="147"/>
  <c r="O40" i="147" a="1"/>
  <c r="O40" i="147" s="1"/>
  <c r="AF40" i="147" s="1"/>
  <c r="AJ48" i="147"/>
  <c r="AL48" i="147"/>
  <c r="AO48" i="147"/>
  <c r="AM48" i="147"/>
  <c r="AF48" i="147"/>
  <c r="AN48" i="147"/>
  <c r="AE48" i="147"/>
  <c r="AK48" i="147"/>
  <c r="AI48" i="147"/>
  <c r="AG48" i="147"/>
  <c r="AH48" i="147"/>
  <c r="AJ38" i="147"/>
  <c r="AL38" i="147"/>
  <c r="AM38" i="147"/>
  <c r="AG38" i="147"/>
  <c r="AO38" i="147"/>
  <c r="AK38" i="147"/>
  <c r="AI38" i="147"/>
  <c r="AH38" i="147"/>
  <c r="AN38" i="147"/>
  <c r="AE38" i="147"/>
  <c r="AF38" i="147"/>
  <c r="AK46" i="147"/>
  <c r="AG46" i="147"/>
  <c r="AH46" i="147"/>
  <c r="AE46" i="147"/>
  <c r="AL46" i="147"/>
  <c r="AM46" i="147"/>
  <c r="AJ46" i="147"/>
  <c r="AO46" i="147"/>
  <c r="AI46" i="147"/>
  <c r="AF46" i="147"/>
  <c r="AN46" i="147"/>
  <c r="AI45" i="147"/>
  <c r="AG45" i="147"/>
  <c r="AO45" i="147"/>
  <c r="AL45" i="147"/>
  <c r="AN45" i="147"/>
  <c r="AE45" i="147"/>
  <c r="AM45" i="147"/>
  <c r="AH45" i="147"/>
  <c r="AJ45" i="147"/>
  <c r="AK45" i="147"/>
  <c r="AF45" i="147"/>
  <c r="AE43" i="147"/>
  <c r="AI43" i="147"/>
  <c r="AM43" i="147"/>
  <c r="AG43" i="147"/>
  <c r="AF43" i="147"/>
  <c r="AH43" i="147"/>
  <c r="AL43" i="147"/>
  <c r="AO43" i="147"/>
  <c r="AJ43" i="147"/>
  <c r="AN43" i="147"/>
  <c r="AK43" i="147"/>
  <c r="AM31" i="147"/>
  <c r="AE31" i="147"/>
  <c r="AK31" i="147"/>
  <c r="AO31" i="147"/>
  <c r="AL31" i="147"/>
  <c r="AF31" i="147"/>
  <c r="AG31" i="147"/>
  <c r="AJ31" i="147"/>
  <c r="AI31" i="147"/>
  <c r="AH31" i="147"/>
  <c r="AN31" i="147"/>
  <c r="AI34" i="147"/>
  <c r="AL34" i="147"/>
  <c r="AO34" i="147"/>
  <c r="AE34" i="147"/>
  <c r="AJ34" i="147"/>
  <c r="AK34" i="147"/>
  <c r="AF34" i="147"/>
  <c r="AH34" i="147"/>
  <c r="AN34" i="147"/>
  <c r="AG34" i="147"/>
  <c r="AM34" i="147"/>
  <c r="AM37" i="147"/>
  <c r="AI37" i="147"/>
  <c r="AJ37" i="147"/>
  <c r="AO37" i="147"/>
  <c r="AF37" i="147"/>
  <c r="AH37" i="147"/>
  <c r="AN37" i="147"/>
  <c r="AK37" i="147"/>
  <c r="AL37" i="147"/>
  <c r="AE37" i="147"/>
  <c r="AG37" i="147"/>
  <c r="P36" i="145" a="1"/>
  <c r="P36" i="145" s="1"/>
  <c r="F22" i="40"/>
  <c r="AI28" i="145"/>
  <c r="AN42" i="147"/>
  <c r="AF42" i="147"/>
  <c r="AK42" i="147"/>
  <c r="AH42" i="147"/>
  <c r="AG42" i="147"/>
  <c r="AJ42" i="147"/>
  <c r="AE42" i="147"/>
  <c r="AI42" i="147"/>
  <c r="AL42" i="147"/>
  <c r="AM42" i="147"/>
  <c r="AO42" i="147"/>
  <c r="AE27" i="147"/>
  <c r="AL27" i="147"/>
  <c r="AF27" i="147"/>
  <c r="AM27" i="147"/>
  <c r="AN27" i="147"/>
  <c r="AH27" i="147"/>
  <c r="AJ27" i="147"/>
  <c r="AI27" i="147"/>
  <c r="AO27" i="147"/>
  <c r="AG27" i="147"/>
  <c r="AK27" i="147"/>
  <c r="AL36" i="147"/>
  <c r="AM36" i="147"/>
  <c r="AH36" i="147"/>
  <c r="AI36" i="147"/>
  <c r="AG36" i="147"/>
  <c r="AE36" i="147"/>
  <c r="AN36" i="147"/>
  <c r="AO36" i="147"/>
  <c r="AK36" i="147"/>
  <c r="AF36" i="147"/>
  <c r="AJ36" i="147"/>
  <c r="AJ39" i="147"/>
  <c r="AF39" i="147"/>
  <c r="AH39" i="147"/>
  <c r="AL39" i="147"/>
  <c r="AE39" i="147"/>
  <c r="AM39" i="147"/>
  <c r="AN39" i="147"/>
  <c r="AO39" i="147"/>
  <c r="AI39" i="147"/>
  <c r="AG39" i="147"/>
  <c r="AK39" i="147"/>
  <c r="I264" i="105"/>
  <c r="I286" i="105" s="1"/>
  <c r="F94" i="105"/>
  <c r="E94" i="105" s="1"/>
  <c r="F165" i="105"/>
  <c r="E165" i="105" s="1"/>
  <c r="E155" i="105" s="1"/>
  <c r="E217" i="105" s="1"/>
  <c r="F140" i="105"/>
  <c r="E140" i="105" s="1"/>
  <c r="F231" i="105"/>
  <c r="E231" i="105" s="1"/>
  <c r="G151" i="105"/>
  <c r="G213" i="105" s="1"/>
  <c r="F230" i="105"/>
  <c r="E230" i="105" s="1"/>
  <c r="I156" i="105"/>
  <c r="I218" i="105" s="1"/>
  <c r="F36" i="105"/>
  <c r="E36" i="105" s="1"/>
  <c r="J8" i="105"/>
  <c r="K8" i="105" s="1"/>
  <c r="L8" i="105" s="1"/>
  <c r="M8" i="105" s="1"/>
  <c r="N8" i="105" s="1"/>
  <c r="O8" i="105" s="1"/>
  <c r="P8" i="105" s="1"/>
  <c r="Q8" i="105" s="1"/>
  <c r="R8" i="105" s="1"/>
  <c r="S8" i="105" s="1"/>
  <c r="T8" i="105" s="1"/>
  <c r="U8" i="105" s="1"/>
  <c r="J140" i="105"/>
  <c r="K140" i="105" s="1"/>
  <c r="L140" i="105" s="1"/>
  <c r="M140" i="105" s="1"/>
  <c r="N140" i="105" s="1"/>
  <c r="O140" i="105" s="1"/>
  <c r="P140" i="105" s="1"/>
  <c r="Q140" i="105" s="1"/>
  <c r="R140" i="105" s="1"/>
  <c r="S140" i="105" s="1"/>
  <c r="T140" i="105" s="1"/>
  <c r="U140" i="105" s="1"/>
  <c r="J36" i="105"/>
  <c r="K36" i="105" s="1"/>
  <c r="L36" i="105" s="1"/>
  <c r="M36" i="105" s="1"/>
  <c r="N36" i="105" s="1"/>
  <c r="O36" i="105" s="1"/>
  <c r="P36" i="105" s="1"/>
  <c r="Q36" i="105" s="1"/>
  <c r="R36" i="105" s="1"/>
  <c r="S36" i="105" s="1"/>
  <c r="T36" i="105" s="1"/>
  <c r="U36" i="105" s="1"/>
  <c r="F8" i="105"/>
  <c r="E8" i="105" s="1"/>
  <c r="F54" i="105"/>
  <c r="E54" i="105" s="1"/>
  <c r="H96" i="105"/>
  <c r="F96" i="105" s="1"/>
  <c r="E96" i="105" s="1"/>
  <c r="I96" i="105"/>
  <c r="Y96" i="105"/>
  <c r="H275" i="105"/>
  <c r="H297" i="105" s="1"/>
  <c r="E75" i="109"/>
  <c r="F75" i="109" s="1"/>
  <c r="I265" i="105"/>
  <c r="V32" i="145"/>
  <c r="AA32" i="145" s="1"/>
  <c r="V26" i="145"/>
  <c r="V27" i="145"/>
  <c r="AE49" i="145"/>
  <c r="AM49" i="145"/>
  <c r="AF49" i="145"/>
  <c r="AN49" i="145"/>
  <c r="AG49" i="145"/>
  <c r="AO49" i="145"/>
  <c r="AH49" i="145"/>
  <c r="AI49" i="145"/>
  <c r="AJ49" i="145"/>
  <c r="AK49" i="145"/>
  <c r="AL49" i="145"/>
  <c r="AH48" i="145"/>
  <c r="AI48" i="145"/>
  <c r="AJ48" i="145"/>
  <c r="AK48" i="145"/>
  <c r="AL48" i="145"/>
  <c r="AE48" i="145"/>
  <c r="AM48" i="145"/>
  <c r="AF48" i="145"/>
  <c r="AN48" i="145"/>
  <c r="AG48" i="145"/>
  <c r="AO48" i="145"/>
  <c r="AK47" i="145"/>
  <c r="AL47" i="145"/>
  <c r="AE47" i="145"/>
  <c r="AM47" i="145"/>
  <c r="AF47" i="145"/>
  <c r="AN47" i="145"/>
  <c r="AG47" i="145"/>
  <c r="AO47" i="145"/>
  <c r="AH47" i="145"/>
  <c r="AI47" i="145"/>
  <c r="AJ47" i="145"/>
  <c r="AF46" i="145"/>
  <c r="AN46" i="145"/>
  <c r="AG46" i="145"/>
  <c r="AO46" i="145"/>
  <c r="AH46" i="145"/>
  <c r="AI46" i="145"/>
  <c r="AJ46" i="145"/>
  <c r="AK46" i="145"/>
  <c r="AL46" i="145"/>
  <c r="AE46" i="145"/>
  <c r="AM46" i="145"/>
  <c r="AI45" i="145"/>
  <c r="AJ45" i="145"/>
  <c r="AK45" i="145"/>
  <c r="AL45" i="145"/>
  <c r="AE45" i="145"/>
  <c r="AM45" i="145"/>
  <c r="AF45" i="145"/>
  <c r="AN45" i="145"/>
  <c r="AG45" i="145"/>
  <c r="AO45" i="145"/>
  <c r="AH45" i="145"/>
  <c r="Y163" i="105"/>
  <c r="H153" i="105"/>
  <c r="H215" i="105" s="1"/>
  <c r="H151" i="105"/>
  <c r="H213" i="105" s="1"/>
  <c r="G9" i="105"/>
  <c r="G93" i="105"/>
  <c r="G274" i="105"/>
  <c r="F274" i="105" s="1"/>
  <c r="G77" i="105"/>
  <c r="Y224" i="105"/>
  <c r="I206" i="105"/>
  <c r="H206" i="105"/>
  <c r="H77" i="105"/>
  <c r="J77" i="105" s="1"/>
  <c r="K77" i="105" s="1"/>
  <c r="L77" i="105" s="1"/>
  <c r="M77" i="105" s="1"/>
  <c r="N77" i="105" s="1"/>
  <c r="O77" i="105" s="1"/>
  <c r="P77" i="105" s="1"/>
  <c r="Q77" i="105" s="1"/>
  <c r="R77" i="105" s="1"/>
  <c r="S77" i="105" s="1"/>
  <c r="T77" i="105" s="1"/>
  <c r="U77" i="105" s="1"/>
  <c r="I51" i="105"/>
  <c r="Y77" i="105"/>
  <c r="H93" i="105"/>
  <c r="Y228" i="105"/>
  <c r="G204" i="105"/>
  <c r="Y161" i="105"/>
  <c r="I9" i="105"/>
  <c r="I93" i="105"/>
  <c r="H9" i="105"/>
  <c r="H204" i="105"/>
  <c r="J204" i="105" s="1"/>
  <c r="K204" i="105" s="1"/>
  <c r="L204" i="105" s="1"/>
  <c r="M204" i="105" s="1"/>
  <c r="N204" i="105" s="1"/>
  <c r="O204" i="105" s="1"/>
  <c r="P204" i="105" s="1"/>
  <c r="Q204" i="105" s="1"/>
  <c r="R204" i="105" s="1"/>
  <c r="S204" i="105" s="1"/>
  <c r="T204" i="105" s="1"/>
  <c r="U204" i="105" s="1"/>
  <c r="Y204" i="105"/>
  <c r="H267" i="105"/>
  <c r="H289" i="105" s="1"/>
  <c r="I34" i="105"/>
  <c r="J34" i="105" s="1"/>
  <c r="K34" i="105" s="1"/>
  <c r="L34" i="105" s="1"/>
  <c r="M34" i="105" s="1"/>
  <c r="N34" i="105" s="1"/>
  <c r="O34" i="105" s="1"/>
  <c r="P34" i="105" s="1"/>
  <c r="Q34" i="105" s="1"/>
  <c r="R34" i="105" s="1"/>
  <c r="S34" i="105" s="1"/>
  <c r="T34" i="105" s="1"/>
  <c r="U34" i="105" s="1"/>
  <c r="Y268" i="105"/>
  <c r="I268" i="105"/>
  <c r="I290" i="105" s="1"/>
  <c r="G206" i="105"/>
  <c r="Y160" i="105"/>
  <c r="G59" i="105"/>
  <c r="H265" i="105"/>
  <c r="H287" i="105" s="1"/>
  <c r="G265" i="105"/>
  <c r="Y97" i="105"/>
  <c r="I72" i="105"/>
  <c r="H148" i="105"/>
  <c r="H138" i="105" s="1"/>
  <c r="H200" i="105" s="1"/>
  <c r="H159" i="105"/>
  <c r="H221" i="105" s="1"/>
  <c r="J97" i="105"/>
  <c r="K97" i="105" s="1"/>
  <c r="L97" i="105" s="1"/>
  <c r="M97" i="105" s="1"/>
  <c r="N97" i="105" s="1"/>
  <c r="O97" i="105" s="1"/>
  <c r="P97" i="105" s="1"/>
  <c r="Q97" i="105" s="1"/>
  <c r="R97" i="105" s="1"/>
  <c r="S97" i="105" s="1"/>
  <c r="T97" i="105" s="1"/>
  <c r="U97" i="105" s="1"/>
  <c r="I71" i="105"/>
  <c r="J71" i="105" s="1"/>
  <c r="K71" i="105" s="1"/>
  <c r="L71" i="105" s="1"/>
  <c r="M71" i="105" s="1"/>
  <c r="N71" i="105" s="1"/>
  <c r="O71" i="105" s="1"/>
  <c r="P71" i="105" s="1"/>
  <c r="Q71" i="105" s="1"/>
  <c r="R71" i="105" s="1"/>
  <c r="S71" i="105" s="1"/>
  <c r="T71" i="105" s="1"/>
  <c r="U71" i="105" s="1"/>
  <c r="G142" i="105"/>
  <c r="G132" i="105" s="1"/>
  <c r="G194" i="105" s="1"/>
  <c r="G270" i="105"/>
  <c r="G292" i="105" s="1"/>
  <c r="Y148" i="105"/>
  <c r="H142" i="105"/>
  <c r="H132" i="105" s="1"/>
  <c r="H194" i="105" s="1"/>
  <c r="G72" i="105"/>
  <c r="Y142" i="105"/>
  <c r="H144" i="105"/>
  <c r="H134" i="105" s="1"/>
  <c r="H196" i="105" s="1"/>
  <c r="H157" i="105"/>
  <c r="H219" i="105" s="1"/>
  <c r="G97" i="105"/>
  <c r="F97" i="105" s="1"/>
  <c r="E97" i="105" s="1"/>
  <c r="Y75" i="105"/>
  <c r="H72" i="105"/>
  <c r="Y59" i="105"/>
  <c r="G56" i="105"/>
  <c r="H56" i="105"/>
  <c r="J56" i="105" s="1"/>
  <c r="K56" i="105" s="1"/>
  <c r="L56" i="105" s="1"/>
  <c r="M56" i="105" s="1"/>
  <c r="N56" i="105" s="1"/>
  <c r="O56" i="105" s="1"/>
  <c r="P56" i="105" s="1"/>
  <c r="Q56" i="105" s="1"/>
  <c r="R56" i="105" s="1"/>
  <c r="S56" i="105" s="1"/>
  <c r="T56" i="105" s="1"/>
  <c r="U56" i="105" s="1"/>
  <c r="Y56" i="105"/>
  <c r="H268" i="105"/>
  <c r="H290" i="105" s="1"/>
  <c r="I75" i="105"/>
  <c r="J75" i="105" s="1"/>
  <c r="K75" i="105" s="1"/>
  <c r="L75" i="105" s="1"/>
  <c r="M75" i="105" s="1"/>
  <c r="N75" i="105" s="1"/>
  <c r="O75" i="105" s="1"/>
  <c r="P75" i="105" s="1"/>
  <c r="Q75" i="105" s="1"/>
  <c r="R75" i="105" s="1"/>
  <c r="S75" i="105" s="1"/>
  <c r="T75" i="105" s="1"/>
  <c r="U75" i="105" s="1"/>
  <c r="Y266" i="105"/>
  <c r="G266" i="105"/>
  <c r="J91" i="105"/>
  <c r="K91" i="105" s="1"/>
  <c r="L91" i="105" s="1"/>
  <c r="M91" i="105" s="1"/>
  <c r="N91" i="105" s="1"/>
  <c r="O91" i="105" s="1"/>
  <c r="P91" i="105" s="1"/>
  <c r="Q91" i="105" s="1"/>
  <c r="R91" i="105" s="1"/>
  <c r="S91" i="105" s="1"/>
  <c r="T91" i="105" s="1"/>
  <c r="U91" i="105" s="1"/>
  <c r="H266" i="105"/>
  <c r="H288" i="105" s="1"/>
  <c r="G38" i="105"/>
  <c r="H38" i="105"/>
  <c r="J38" i="105" s="1"/>
  <c r="K38" i="105" s="1"/>
  <c r="L38" i="105" s="1"/>
  <c r="M38" i="105" s="1"/>
  <c r="N38" i="105" s="1"/>
  <c r="O38" i="105" s="1"/>
  <c r="P38" i="105" s="1"/>
  <c r="Q38" i="105" s="1"/>
  <c r="R38" i="105" s="1"/>
  <c r="S38" i="105" s="1"/>
  <c r="T38" i="105" s="1"/>
  <c r="U38" i="105" s="1"/>
  <c r="G210" i="105"/>
  <c r="Y210" i="105"/>
  <c r="Y205" i="105"/>
  <c r="H147" i="105"/>
  <c r="H137" i="105" s="1"/>
  <c r="H199" i="105" s="1"/>
  <c r="Y38" i="105"/>
  <c r="H210" i="105"/>
  <c r="J210" i="105" s="1"/>
  <c r="K210" i="105" s="1"/>
  <c r="L210" i="105" s="1"/>
  <c r="M210" i="105" s="1"/>
  <c r="N210" i="105" s="1"/>
  <c r="O210" i="105" s="1"/>
  <c r="P210" i="105" s="1"/>
  <c r="Q210" i="105" s="1"/>
  <c r="R210" i="105" s="1"/>
  <c r="S210" i="105" s="1"/>
  <c r="T210" i="105" s="1"/>
  <c r="U210" i="105" s="1"/>
  <c r="I144" i="105"/>
  <c r="G75" i="105"/>
  <c r="F75" i="105" s="1"/>
  <c r="E75" i="105" s="1"/>
  <c r="F91" i="105"/>
  <c r="E91" i="105" s="1"/>
  <c r="G51" i="105"/>
  <c r="H51" i="105"/>
  <c r="I202" i="105"/>
  <c r="J202" i="105" s="1"/>
  <c r="K202" i="105" s="1"/>
  <c r="L202" i="105" s="1"/>
  <c r="M202" i="105" s="1"/>
  <c r="N202" i="105" s="1"/>
  <c r="O202" i="105" s="1"/>
  <c r="P202" i="105" s="1"/>
  <c r="Q202" i="105" s="1"/>
  <c r="R202" i="105" s="1"/>
  <c r="S202" i="105" s="1"/>
  <c r="T202" i="105" s="1"/>
  <c r="U202" i="105" s="1"/>
  <c r="I205" i="105"/>
  <c r="J205" i="105" s="1"/>
  <c r="K205" i="105" s="1"/>
  <c r="L205" i="105" s="1"/>
  <c r="M205" i="105" s="1"/>
  <c r="N205" i="105" s="1"/>
  <c r="O205" i="105" s="1"/>
  <c r="P205" i="105" s="1"/>
  <c r="Q205" i="105" s="1"/>
  <c r="R205" i="105" s="1"/>
  <c r="S205" i="105" s="1"/>
  <c r="T205" i="105" s="1"/>
  <c r="U205" i="105" s="1"/>
  <c r="I145" i="105"/>
  <c r="I135" i="105" s="1"/>
  <c r="I197" i="105" s="1"/>
  <c r="H146" i="105"/>
  <c r="H136" i="105" s="1"/>
  <c r="H198" i="105" s="1"/>
  <c r="Y53" i="105"/>
  <c r="H76" i="105"/>
  <c r="F76" i="105" s="1"/>
  <c r="E76" i="105" s="1"/>
  <c r="G264" i="105"/>
  <c r="G202" i="105"/>
  <c r="F202" i="105" s="1"/>
  <c r="E202" i="105" s="1"/>
  <c r="Y76" i="105"/>
  <c r="G98" i="105"/>
  <c r="H98" i="105"/>
  <c r="J98" i="105" s="1"/>
  <c r="K98" i="105" s="1"/>
  <c r="L98" i="105" s="1"/>
  <c r="M98" i="105" s="1"/>
  <c r="N98" i="105" s="1"/>
  <c r="O98" i="105" s="1"/>
  <c r="P98" i="105" s="1"/>
  <c r="Q98" i="105" s="1"/>
  <c r="R98" i="105" s="1"/>
  <c r="S98" i="105" s="1"/>
  <c r="T98" i="105" s="1"/>
  <c r="U98" i="105" s="1"/>
  <c r="H264" i="105"/>
  <c r="H286" i="105" s="1"/>
  <c r="I76" i="105"/>
  <c r="I275" i="105"/>
  <c r="I297" i="105" s="1"/>
  <c r="G147" i="105"/>
  <c r="G137" i="105" s="1"/>
  <c r="G199" i="105" s="1"/>
  <c r="Y275" i="105"/>
  <c r="G145" i="105"/>
  <c r="G135" i="105" s="1"/>
  <c r="G197" i="105" s="1"/>
  <c r="Y147" i="105"/>
  <c r="I53" i="105"/>
  <c r="J53" i="105" s="1"/>
  <c r="K53" i="105" s="1"/>
  <c r="L53" i="105" s="1"/>
  <c r="M53" i="105" s="1"/>
  <c r="N53" i="105" s="1"/>
  <c r="O53" i="105" s="1"/>
  <c r="P53" i="105" s="1"/>
  <c r="Q53" i="105" s="1"/>
  <c r="R53" i="105" s="1"/>
  <c r="S53" i="105" s="1"/>
  <c r="T53" i="105" s="1"/>
  <c r="U53" i="105" s="1"/>
  <c r="Y227" i="105"/>
  <c r="H145" i="105"/>
  <c r="H135" i="105" s="1"/>
  <c r="H197" i="105" s="1"/>
  <c r="G53" i="105"/>
  <c r="F53" i="105" s="1"/>
  <c r="E53" i="105" s="1"/>
  <c r="G146" i="105"/>
  <c r="G136" i="105" s="1"/>
  <c r="G198" i="105" s="1"/>
  <c r="H272" i="105"/>
  <c r="H294" i="105" s="1"/>
  <c r="Y207" i="105"/>
  <c r="H158" i="105"/>
  <c r="H220" i="105" s="1"/>
  <c r="Y146" i="105"/>
  <c r="G34" i="105"/>
  <c r="J79" i="105"/>
  <c r="K79" i="105" s="1"/>
  <c r="L79" i="105" s="1"/>
  <c r="M79" i="105" s="1"/>
  <c r="N79" i="105" s="1"/>
  <c r="O79" i="105" s="1"/>
  <c r="P79" i="105" s="1"/>
  <c r="Q79" i="105" s="1"/>
  <c r="R79" i="105" s="1"/>
  <c r="S79" i="105" s="1"/>
  <c r="T79" i="105" s="1"/>
  <c r="U79" i="105" s="1"/>
  <c r="G71" i="105"/>
  <c r="F71" i="105" s="1"/>
  <c r="E71" i="105" s="1"/>
  <c r="G70" i="105"/>
  <c r="F70" i="105" s="1"/>
  <c r="E70" i="105" s="1"/>
  <c r="I267" i="105"/>
  <c r="I289" i="105" s="1"/>
  <c r="G267" i="105"/>
  <c r="G289" i="105" s="1"/>
  <c r="H150" i="105"/>
  <c r="H212" i="105" s="1"/>
  <c r="I138" i="105"/>
  <c r="I200" i="105" s="1"/>
  <c r="I272" i="105"/>
  <c r="I294" i="105" s="1"/>
  <c r="H207" i="105"/>
  <c r="F207" i="105" s="1"/>
  <c r="E207" i="105" s="1"/>
  <c r="Y168" i="105"/>
  <c r="Y34" i="105"/>
  <c r="Y52" i="105"/>
  <c r="Y70" i="105"/>
  <c r="Y274" i="105"/>
  <c r="I274" i="105"/>
  <c r="I296" i="105" s="1"/>
  <c r="I207" i="105"/>
  <c r="G144" i="105"/>
  <c r="G134" i="105" s="1"/>
  <c r="G196" i="105" s="1"/>
  <c r="H59" i="105"/>
  <c r="J59" i="105" s="1"/>
  <c r="K59" i="105" s="1"/>
  <c r="L59" i="105" s="1"/>
  <c r="M59" i="105" s="1"/>
  <c r="N59" i="105" s="1"/>
  <c r="O59" i="105" s="1"/>
  <c r="P59" i="105" s="1"/>
  <c r="Q59" i="105" s="1"/>
  <c r="R59" i="105" s="1"/>
  <c r="S59" i="105" s="1"/>
  <c r="T59" i="105" s="1"/>
  <c r="U59" i="105" s="1"/>
  <c r="I52" i="105"/>
  <c r="J52" i="105" s="1"/>
  <c r="K52" i="105" s="1"/>
  <c r="L52" i="105" s="1"/>
  <c r="M52" i="105" s="1"/>
  <c r="N52" i="105" s="1"/>
  <c r="O52" i="105" s="1"/>
  <c r="P52" i="105" s="1"/>
  <c r="Q52" i="105" s="1"/>
  <c r="R52" i="105" s="1"/>
  <c r="S52" i="105" s="1"/>
  <c r="T52" i="105" s="1"/>
  <c r="U52" i="105" s="1"/>
  <c r="I70" i="105"/>
  <c r="J70" i="105" s="1"/>
  <c r="K70" i="105" s="1"/>
  <c r="L70" i="105" s="1"/>
  <c r="M70" i="105" s="1"/>
  <c r="N70" i="105" s="1"/>
  <c r="O70" i="105" s="1"/>
  <c r="P70" i="105" s="1"/>
  <c r="Q70" i="105" s="1"/>
  <c r="R70" i="105" s="1"/>
  <c r="S70" i="105" s="1"/>
  <c r="T70" i="105" s="1"/>
  <c r="U70" i="105" s="1"/>
  <c r="Y270" i="105"/>
  <c r="G205" i="105"/>
  <c r="F205" i="105" s="1"/>
  <c r="E205" i="105" s="1"/>
  <c r="Y169" i="105"/>
  <c r="J94" i="105"/>
  <c r="K94" i="105" s="1"/>
  <c r="L94" i="105" s="1"/>
  <c r="M94" i="105" s="1"/>
  <c r="N94" i="105" s="1"/>
  <c r="O94" i="105" s="1"/>
  <c r="P94" i="105" s="1"/>
  <c r="Q94" i="105" s="1"/>
  <c r="R94" i="105" s="1"/>
  <c r="S94" i="105" s="1"/>
  <c r="T94" i="105" s="1"/>
  <c r="U94" i="105" s="1"/>
  <c r="G52" i="105"/>
  <c r="F52" i="105" s="1"/>
  <c r="E52" i="105" s="1"/>
  <c r="G208" i="105"/>
  <c r="I208" i="105"/>
  <c r="H208" i="105"/>
  <c r="G272" i="105"/>
  <c r="G294" i="105" s="1"/>
  <c r="H273" i="105"/>
  <c r="H295" i="105" s="1"/>
  <c r="G273" i="105"/>
  <c r="Y273" i="105"/>
  <c r="H270" i="105"/>
  <c r="H292" i="105" s="1"/>
  <c r="Y71" i="105"/>
  <c r="F79" i="105"/>
  <c r="E79" i="105" s="1"/>
  <c r="D15" i="11"/>
  <c r="D14" i="11"/>
  <c r="Y229" i="105"/>
  <c r="G211" i="105"/>
  <c r="I211" i="105"/>
  <c r="H211" i="105"/>
  <c r="Y211" i="105"/>
  <c r="I155" i="105"/>
  <c r="I217" i="105" s="1"/>
  <c r="I150" i="105"/>
  <c r="I212" i="105" s="1"/>
  <c r="G131" i="105"/>
  <c r="G193" i="105" s="1"/>
  <c r="F141" i="105"/>
  <c r="I132" i="105"/>
  <c r="I194" i="105" s="1"/>
  <c r="Y58" i="105"/>
  <c r="H58" i="105"/>
  <c r="I58" i="105"/>
  <c r="G58" i="105"/>
  <c r="J57" i="105"/>
  <c r="K57" i="105" s="1"/>
  <c r="L57" i="105" s="1"/>
  <c r="M57" i="105" s="1"/>
  <c r="N57" i="105" s="1"/>
  <c r="O57" i="105" s="1"/>
  <c r="P57" i="105" s="1"/>
  <c r="Q57" i="105" s="1"/>
  <c r="R57" i="105" s="1"/>
  <c r="S57" i="105" s="1"/>
  <c r="T57" i="105" s="1"/>
  <c r="U57" i="105" s="1"/>
  <c r="G155" i="105"/>
  <c r="G217" i="105" s="1"/>
  <c r="G130" i="105"/>
  <c r="G192" i="105" s="1"/>
  <c r="J92" i="105"/>
  <c r="K92" i="105" s="1"/>
  <c r="L92" i="105" s="1"/>
  <c r="M92" i="105" s="1"/>
  <c r="N92" i="105" s="1"/>
  <c r="O92" i="105" s="1"/>
  <c r="P92" i="105" s="1"/>
  <c r="Q92" i="105" s="1"/>
  <c r="R92" i="105" s="1"/>
  <c r="S92" i="105" s="1"/>
  <c r="T92" i="105" s="1"/>
  <c r="U92" i="105" s="1"/>
  <c r="I32" i="105"/>
  <c r="Y32" i="105"/>
  <c r="H32" i="105"/>
  <c r="G32" i="105"/>
  <c r="F209" i="105"/>
  <c r="E209" i="105" s="1"/>
  <c r="I158" i="105"/>
  <c r="I220" i="105" s="1"/>
  <c r="G90" i="105"/>
  <c r="I90" i="105"/>
  <c r="Y90" i="105"/>
  <c r="H90" i="105"/>
  <c r="I137" i="105"/>
  <c r="I199" i="105" s="1"/>
  <c r="Y95" i="105"/>
  <c r="H95" i="105"/>
  <c r="G95" i="105"/>
  <c r="I95" i="105"/>
  <c r="J55" i="105"/>
  <c r="K55" i="105" s="1"/>
  <c r="L55" i="105" s="1"/>
  <c r="M55" i="105" s="1"/>
  <c r="N55" i="105" s="1"/>
  <c r="O55" i="105" s="1"/>
  <c r="P55" i="105" s="1"/>
  <c r="Q55" i="105" s="1"/>
  <c r="R55" i="105" s="1"/>
  <c r="S55" i="105" s="1"/>
  <c r="T55" i="105" s="1"/>
  <c r="U55" i="105" s="1"/>
  <c r="J209" i="105"/>
  <c r="K209" i="105" s="1"/>
  <c r="L209" i="105" s="1"/>
  <c r="M209" i="105" s="1"/>
  <c r="N209" i="105" s="1"/>
  <c r="O209" i="105" s="1"/>
  <c r="P209" i="105" s="1"/>
  <c r="Q209" i="105" s="1"/>
  <c r="R209" i="105" s="1"/>
  <c r="S209" i="105" s="1"/>
  <c r="T209" i="105" s="1"/>
  <c r="U209" i="105" s="1"/>
  <c r="J141" i="105"/>
  <c r="I131" i="105"/>
  <c r="I193" i="105" s="1"/>
  <c r="F149" i="105"/>
  <c r="G139" i="105"/>
  <c r="G201" i="105" s="1"/>
  <c r="G133" i="105"/>
  <c r="G195" i="105" s="1"/>
  <c r="F143" i="105"/>
  <c r="F55" i="105"/>
  <c r="E55" i="105" s="1"/>
  <c r="I295" i="105"/>
  <c r="G291" i="105"/>
  <c r="F269" i="105"/>
  <c r="G203" i="105"/>
  <c r="I203" i="105"/>
  <c r="H203" i="105"/>
  <c r="Y203" i="105"/>
  <c r="I136" i="105"/>
  <c r="I198" i="105" s="1"/>
  <c r="I130" i="105"/>
  <c r="I192" i="105" s="1"/>
  <c r="I74" i="105"/>
  <c r="Y74" i="105"/>
  <c r="H74" i="105"/>
  <c r="G74" i="105"/>
  <c r="Y271" i="105"/>
  <c r="H271" i="105"/>
  <c r="H293" i="105" s="1"/>
  <c r="I271" i="105"/>
  <c r="G271" i="105"/>
  <c r="I153" i="105"/>
  <c r="I215" i="105" s="1"/>
  <c r="J149" i="105"/>
  <c r="I139" i="105"/>
  <c r="I201" i="105" s="1"/>
  <c r="Y99" i="105"/>
  <c r="H99" i="105"/>
  <c r="G99" i="105"/>
  <c r="I99" i="105"/>
  <c r="J269" i="105"/>
  <c r="I291" i="105"/>
  <c r="H154" i="105"/>
  <c r="H216" i="105" s="1"/>
  <c r="Y164" i="105"/>
  <c r="I133" i="105"/>
  <c r="I195" i="105" s="1"/>
  <c r="J143" i="105"/>
  <c r="F92" i="105"/>
  <c r="E92" i="105" s="1"/>
  <c r="I50" i="105"/>
  <c r="Y50" i="105"/>
  <c r="H50" i="105"/>
  <c r="G50" i="105"/>
  <c r="J54" i="105"/>
  <c r="K54" i="105" s="1"/>
  <c r="L54" i="105" s="1"/>
  <c r="M54" i="105" s="1"/>
  <c r="N54" i="105" s="1"/>
  <c r="O54" i="105" s="1"/>
  <c r="P54" i="105" s="1"/>
  <c r="Q54" i="105" s="1"/>
  <c r="R54" i="105" s="1"/>
  <c r="S54" i="105" s="1"/>
  <c r="T54" i="105" s="1"/>
  <c r="U54" i="105" s="1"/>
  <c r="I288" i="105"/>
  <c r="Y223" i="105"/>
  <c r="H152" i="105"/>
  <c r="H214" i="105" s="1"/>
  <c r="Y162" i="105"/>
  <c r="G138" i="105"/>
  <c r="G200" i="105" s="1"/>
  <c r="I159" i="105"/>
  <c r="I221" i="105" s="1"/>
  <c r="I73" i="105"/>
  <c r="Y73" i="105"/>
  <c r="H73" i="105"/>
  <c r="G73" i="105"/>
  <c r="F57" i="105"/>
  <c r="E57" i="105" s="1"/>
  <c r="I78" i="105"/>
  <c r="Y78" i="105"/>
  <c r="H78" i="105"/>
  <c r="G78" i="105"/>
  <c r="T8" i="42" l="1"/>
  <c r="E9" i="42"/>
  <c r="T59" i="42"/>
  <c r="E60" i="42"/>
  <c r="V42" i="145"/>
  <c r="V30" i="145"/>
  <c r="V25" i="145"/>
  <c r="V24" i="145"/>
  <c r="V39" i="145"/>
  <c r="AB39" i="145" s="1"/>
  <c r="V29" i="145"/>
  <c r="V38" i="147"/>
  <c r="V49" i="147"/>
  <c r="AB49" i="147" s="1"/>
  <c r="V35" i="145"/>
  <c r="V28" i="145"/>
  <c r="V31" i="145"/>
  <c r="AB31" i="145" s="1"/>
  <c r="V43" i="145"/>
  <c r="AB43" i="145" s="1"/>
  <c r="V33" i="145"/>
  <c r="AA33" i="145" s="1"/>
  <c r="V37" i="145"/>
  <c r="AB37" i="145" s="1"/>
  <c r="V40" i="145"/>
  <c r="V41" i="145"/>
  <c r="AA41" i="145" s="1"/>
  <c r="V25" i="147"/>
  <c r="AF35" i="147"/>
  <c r="AN35" i="147"/>
  <c r="V42" i="147"/>
  <c r="AI28" i="147"/>
  <c r="AK28" i="147"/>
  <c r="AG40" i="147"/>
  <c r="V32" i="147"/>
  <c r="V41" i="147"/>
  <c r="AH47" i="147"/>
  <c r="AJ35" i="147"/>
  <c r="AH35" i="147"/>
  <c r="V39" i="147"/>
  <c r="AH28" i="147"/>
  <c r="AH40" i="147"/>
  <c r="AO40" i="147"/>
  <c r="AO47" i="147"/>
  <c r="AI35" i="147"/>
  <c r="AO35" i="147"/>
  <c r="AM28" i="147"/>
  <c r="V46" i="147"/>
  <c r="AJ40" i="147"/>
  <c r="AE40" i="147"/>
  <c r="V26" i="147"/>
  <c r="AF47" i="147"/>
  <c r="V44" i="147"/>
  <c r="AH36" i="145"/>
  <c r="AE36" i="145"/>
  <c r="AJ36" i="145"/>
  <c r="AF36" i="145"/>
  <c r="AL36" i="145"/>
  <c r="AI36" i="145"/>
  <c r="AM36" i="145"/>
  <c r="AK36" i="145"/>
  <c r="AG36" i="145"/>
  <c r="AO36" i="145"/>
  <c r="AN36" i="145"/>
  <c r="V31" i="147"/>
  <c r="AL40" i="147"/>
  <c r="AN40" i="147"/>
  <c r="V33" i="147"/>
  <c r="AM47" i="147"/>
  <c r="AI47" i="147"/>
  <c r="V24" i="147"/>
  <c r="V30" i="147"/>
  <c r="AI40" i="147"/>
  <c r="AJ47" i="147"/>
  <c r="AG47" i="147"/>
  <c r="V27" i="147"/>
  <c r="AJ28" i="147"/>
  <c r="AG35" i="147"/>
  <c r="AN28" i="147"/>
  <c r="AM35" i="147"/>
  <c r="AG28" i="147"/>
  <c r="V37" i="147"/>
  <c r="V45" i="147"/>
  <c r="V48" i="147"/>
  <c r="AK40" i="147"/>
  <c r="AE47" i="147"/>
  <c r="AK47" i="147"/>
  <c r="AE35" i="147"/>
  <c r="AO28" i="147"/>
  <c r="AL28" i="147"/>
  <c r="V43" i="147"/>
  <c r="AA38" i="147"/>
  <c r="AB38" i="147"/>
  <c r="AA49" i="147"/>
  <c r="AM40" i="147"/>
  <c r="AL35" i="147"/>
  <c r="V36" i="147"/>
  <c r="AF28" i="147"/>
  <c r="V34" i="147"/>
  <c r="V29" i="147"/>
  <c r="AL47" i="147"/>
  <c r="AL34" i="145"/>
  <c r="AI34" i="145"/>
  <c r="AM34" i="145"/>
  <c r="AN34" i="145"/>
  <c r="AE34" i="145"/>
  <c r="AF34" i="145"/>
  <c r="AJ34" i="145"/>
  <c r="AO34" i="145"/>
  <c r="AK34" i="145"/>
  <c r="AH34" i="145"/>
  <c r="AG34" i="145"/>
  <c r="F275" i="105"/>
  <c r="F297" i="105" s="1"/>
  <c r="F164" i="105"/>
  <c r="E164" i="105" s="1"/>
  <c r="E154" i="105" s="1"/>
  <c r="E216" i="105" s="1"/>
  <c r="F265" i="105"/>
  <c r="E265" i="105" s="1"/>
  <c r="J9" i="105"/>
  <c r="K9" i="105" s="1"/>
  <c r="L9" i="105" s="1"/>
  <c r="M9" i="105" s="1"/>
  <c r="N9" i="105" s="1"/>
  <c r="O9" i="105" s="1"/>
  <c r="P9" i="105" s="1"/>
  <c r="Q9" i="105" s="1"/>
  <c r="R9" i="105" s="1"/>
  <c r="S9" i="105" s="1"/>
  <c r="T9" i="105" s="1"/>
  <c r="U9" i="105" s="1"/>
  <c r="F160" i="105"/>
  <c r="E160" i="105" s="1"/>
  <c r="J32" i="105"/>
  <c r="K32" i="105" s="1"/>
  <c r="L32" i="105" s="1"/>
  <c r="M32" i="105" s="1"/>
  <c r="N32" i="105" s="1"/>
  <c r="O32" i="105" s="1"/>
  <c r="P32" i="105" s="1"/>
  <c r="Q32" i="105" s="1"/>
  <c r="R32" i="105" s="1"/>
  <c r="S32" i="105" s="1"/>
  <c r="T32" i="105" s="1"/>
  <c r="U32" i="105" s="1"/>
  <c r="F162" i="105"/>
  <c r="E162" i="105" s="1"/>
  <c r="E152" i="105" s="1"/>
  <c r="E214" i="105" s="1"/>
  <c r="F9" i="105"/>
  <c r="E9" i="105" s="1"/>
  <c r="F229" i="105"/>
  <c r="E229" i="105" s="1"/>
  <c r="F264" i="105"/>
  <c r="E264" i="105" s="1"/>
  <c r="E286" i="105" s="1"/>
  <c r="G159" i="105"/>
  <c r="G221" i="105" s="1"/>
  <c r="F169" i="105"/>
  <c r="E169" i="105" s="1"/>
  <c r="E159" i="105" s="1"/>
  <c r="E221" i="105" s="1"/>
  <c r="I157" i="105"/>
  <c r="I219" i="105" s="1"/>
  <c r="I151" i="105"/>
  <c r="I213" i="105" s="1"/>
  <c r="G153" i="105"/>
  <c r="G215" i="105" s="1"/>
  <c r="F163" i="105"/>
  <c r="E163" i="105" s="1"/>
  <c r="E153" i="105" s="1"/>
  <c r="E215" i="105" s="1"/>
  <c r="F167" i="105"/>
  <c r="E167" i="105" s="1"/>
  <c r="E157" i="105" s="1"/>
  <c r="E219" i="105" s="1"/>
  <c r="F161" i="105"/>
  <c r="E161" i="105" s="1"/>
  <c r="E151" i="105" s="1"/>
  <c r="E213" i="105" s="1"/>
  <c r="G158" i="105"/>
  <c r="G220" i="105" s="1"/>
  <c r="F168" i="105"/>
  <c r="E168" i="105" s="1"/>
  <c r="E158" i="105" s="1"/>
  <c r="E220" i="105" s="1"/>
  <c r="F38" i="105"/>
  <c r="E38" i="105" s="1"/>
  <c r="F50" i="105"/>
  <c r="E50" i="105" s="1"/>
  <c r="G156" i="105"/>
  <c r="G218" i="105" s="1"/>
  <c r="F166" i="105"/>
  <c r="E166" i="105" s="1"/>
  <c r="E156" i="105" s="1"/>
  <c r="E218" i="105" s="1"/>
  <c r="I287" i="105"/>
  <c r="J265" i="105"/>
  <c r="K265" i="105" s="1"/>
  <c r="L265" i="105" s="1"/>
  <c r="M265" i="105" s="1"/>
  <c r="N265" i="105" s="1"/>
  <c r="O265" i="105" s="1"/>
  <c r="P265" i="105" s="1"/>
  <c r="Q265" i="105" s="1"/>
  <c r="R265" i="105" s="1"/>
  <c r="S265" i="105" s="1"/>
  <c r="T265" i="105" s="1"/>
  <c r="U265" i="105" s="1"/>
  <c r="F34" i="105"/>
  <c r="E34" i="105" s="1"/>
  <c r="J50" i="105"/>
  <c r="K50" i="105" s="1"/>
  <c r="L50" i="105" s="1"/>
  <c r="M50" i="105" s="1"/>
  <c r="N50" i="105" s="1"/>
  <c r="O50" i="105" s="1"/>
  <c r="P50" i="105" s="1"/>
  <c r="Q50" i="105" s="1"/>
  <c r="R50" i="105" s="1"/>
  <c r="S50" i="105" s="1"/>
  <c r="T50" i="105" s="1"/>
  <c r="U50" i="105" s="1"/>
  <c r="J266" i="105"/>
  <c r="K266" i="105" s="1"/>
  <c r="L266" i="105" s="1"/>
  <c r="M266" i="105" s="1"/>
  <c r="N266" i="105" s="1"/>
  <c r="O266" i="105" s="1"/>
  <c r="P266" i="105" s="1"/>
  <c r="Q266" i="105" s="1"/>
  <c r="R266" i="105" s="1"/>
  <c r="S266" i="105" s="1"/>
  <c r="T266" i="105" s="1"/>
  <c r="U266" i="105" s="1"/>
  <c r="G288" i="105"/>
  <c r="F266" i="105"/>
  <c r="E266" i="105" s="1"/>
  <c r="F32" i="105"/>
  <c r="E32" i="105" s="1"/>
  <c r="J264" i="105"/>
  <c r="K264" i="105" s="1"/>
  <c r="L264" i="105" s="1"/>
  <c r="M264" i="105" s="1"/>
  <c r="N264" i="105" s="1"/>
  <c r="O264" i="105" s="1"/>
  <c r="P264" i="105" s="1"/>
  <c r="Q264" i="105" s="1"/>
  <c r="R264" i="105" s="1"/>
  <c r="S264" i="105" s="1"/>
  <c r="T264" i="105" s="1"/>
  <c r="U264" i="105" s="1"/>
  <c r="J96" i="105"/>
  <c r="K96" i="105" s="1"/>
  <c r="L96" i="105" s="1"/>
  <c r="M96" i="105" s="1"/>
  <c r="N96" i="105" s="1"/>
  <c r="O96" i="105" s="1"/>
  <c r="P96" i="105" s="1"/>
  <c r="Q96" i="105" s="1"/>
  <c r="R96" i="105" s="1"/>
  <c r="S96" i="105" s="1"/>
  <c r="T96" i="105" s="1"/>
  <c r="U96" i="105" s="1"/>
  <c r="F51" i="105"/>
  <c r="E51" i="105" s="1"/>
  <c r="F206" i="105"/>
  <c r="E206" i="105" s="1"/>
  <c r="AA39" i="145"/>
  <c r="AA31" i="145"/>
  <c r="AB32" i="145"/>
  <c r="AB33" i="145"/>
  <c r="J76" i="105"/>
  <c r="K76" i="105" s="1"/>
  <c r="L76" i="105" s="1"/>
  <c r="M76" i="105" s="1"/>
  <c r="N76" i="105" s="1"/>
  <c r="O76" i="105" s="1"/>
  <c r="P76" i="105" s="1"/>
  <c r="Q76" i="105" s="1"/>
  <c r="R76" i="105" s="1"/>
  <c r="S76" i="105" s="1"/>
  <c r="T76" i="105" s="1"/>
  <c r="U76" i="105" s="1"/>
  <c r="AB27" i="145"/>
  <c r="AA27" i="145"/>
  <c r="AA42" i="145"/>
  <c r="AB42" i="145"/>
  <c r="AB30" i="145"/>
  <c r="AA30" i="145"/>
  <c r="AA35" i="145"/>
  <c r="AB35" i="145"/>
  <c r="AA40" i="145"/>
  <c r="AB40" i="145"/>
  <c r="AB26" i="145"/>
  <c r="AA26" i="145"/>
  <c r="AB28" i="145"/>
  <c r="AA28" i="145"/>
  <c r="AB38" i="145"/>
  <c r="AA38" i="145"/>
  <c r="AA44" i="145"/>
  <c r="AB44" i="145"/>
  <c r="V46" i="145"/>
  <c r="V45" i="145"/>
  <c r="V47" i="145"/>
  <c r="V48" i="145"/>
  <c r="V49" i="145"/>
  <c r="AB41" i="145"/>
  <c r="AB24" i="145"/>
  <c r="AA24" i="145"/>
  <c r="AA25" i="145"/>
  <c r="AB25" i="145"/>
  <c r="AA29" i="145"/>
  <c r="AB29" i="145"/>
  <c r="G296" i="105"/>
  <c r="J206" i="105"/>
  <c r="K206" i="105" s="1"/>
  <c r="L206" i="105" s="1"/>
  <c r="M206" i="105" s="1"/>
  <c r="N206" i="105" s="1"/>
  <c r="O206" i="105" s="1"/>
  <c r="P206" i="105" s="1"/>
  <c r="Q206" i="105" s="1"/>
  <c r="R206" i="105" s="1"/>
  <c r="S206" i="105" s="1"/>
  <c r="T206" i="105" s="1"/>
  <c r="U206" i="105" s="1"/>
  <c r="J144" i="105"/>
  <c r="K144" i="105" s="1"/>
  <c r="J51" i="105"/>
  <c r="K51" i="105" s="1"/>
  <c r="L51" i="105" s="1"/>
  <c r="M51" i="105" s="1"/>
  <c r="N51" i="105" s="1"/>
  <c r="O51" i="105" s="1"/>
  <c r="P51" i="105" s="1"/>
  <c r="Q51" i="105" s="1"/>
  <c r="R51" i="105" s="1"/>
  <c r="S51" i="105" s="1"/>
  <c r="T51" i="105" s="1"/>
  <c r="U51" i="105" s="1"/>
  <c r="J147" i="105"/>
  <c r="K147" i="105" s="1"/>
  <c r="J72" i="105"/>
  <c r="K72" i="105" s="1"/>
  <c r="L72" i="105" s="1"/>
  <c r="M72" i="105" s="1"/>
  <c r="N72" i="105" s="1"/>
  <c r="O72" i="105" s="1"/>
  <c r="P72" i="105" s="1"/>
  <c r="Q72" i="105" s="1"/>
  <c r="R72" i="105" s="1"/>
  <c r="S72" i="105" s="1"/>
  <c r="T72" i="105" s="1"/>
  <c r="U72" i="105" s="1"/>
  <c r="F93" i="105"/>
  <c r="E93" i="105" s="1"/>
  <c r="J93" i="105"/>
  <c r="K93" i="105" s="1"/>
  <c r="L93" i="105" s="1"/>
  <c r="M93" i="105" s="1"/>
  <c r="N93" i="105" s="1"/>
  <c r="O93" i="105" s="1"/>
  <c r="P93" i="105" s="1"/>
  <c r="Q93" i="105" s="1"/>
  <c r="R93" i="105" s="1"/>
  <c r="S93" i="105" s="1"/>
  <c r="T93" i="105" s="1"/>
  <c r="U93" i="105" s="1"/>
  <c r="J273" i="105"/>
  <c r="J295" i="105" s="1"/>
  <c r="J272" i="105"/>
  <c r="J294" i="105" s="1"/>
  <c r="F77" i="105"/>
  <c r="E77" i="105" s="1"/>
  <c r="J146" i="105"/>
  <c r="J136" i="105" s="1"/>
  <c r="J198" i="105" s="1"/>
  <c r="F204" i="105"/>
  <c r="E204" i="105" s="1"/>
  <c r="F146" i="105"/>
  <c r="E146" i="105" s="1"/>
  <c r="E136" i="105" s="1"/>
  <c r="E198" i="105" s="1"/>
  <c r="F272" i="105"/>
  <c r="F294" i="105" s="1"/>
  <c r="J95" i="105"/>
  <c r="K95" i="105" s="1"/>
  <c r="L95" i="105" s="1"/>
  <c r="M95" i="105" s="1"/>
  <c r="N95" i="105" s="1"/>
  <c r="O95" i="105" s="1"/>
  <c r="P95" i="105" s="1"/>
  <c r="Q95" i="105" s="1"/>
  <c r="R95" i="105" s="1"/>
  <c r="S95" i="105" s="1"/>
  <c r="T95" i="105" s="1"/>
  <c r="U95" i="105" s="1"/>
  <c r="F72" i="105"/>
  <c r="E72" i="105" s="1"/>
  <c r="F210" i="105"/>
  <c r="E210" i="105" s="1"/>
  <c r="F56" i="105"/>
  <c r="E56" i="105" s="1"/>
  <c r="G157" i="105"/>
  <c r="G219" i="105" s="1"/>
  <c r="F268" i="105"/>
  <c r="F290" i="105" s="1"/>
  <c r="F148" i="105"/>
  <c r="F138" i="105" s="1"/>
  <c r="F200" i="105" s="1"/>
  <c r="J267" i="105"/>
  <c r="J289" i="105" s="1"/>
  <c r="J148" i="105"/>
  <c r="J138" i="105" s="1"/>
  <c r="J200" i="105" s="1"/>
  <c r="J268" i="105"/>
  <c r="J290" i="105" s="1"/>
  <c r="J142" i="105"/>
  <c r="K142" i="105" s="1"/>
  <c r="F142" i="105"/>
  <c r="F132" i="105" s="1"/>
  <c r="F194" i="105" s="1"/>
  <c r="G287" i="105"/>
  <c r="F144" i="105"/>
  <c r="E144" i="105" s="1"/>
  <c r="E134" i="105" s="1"/>
  <c r="E196" i="105" s="1"/>
  <c r="I134" i="105"/>
  <c r="I196" i="105" s="1"/>
  <c r="J145" i="105"/>
  <c r="K145" i="105" s="1"/>
  <c r="F145" i="105"/>
  <c r="E145" i="105" s="1"/>
  <c r="E135" i="105" s="1"/>
  <c r="E197" i="105" s="1"/>
  <c r="J99" i="105"/>
  <c r="K99" i="105" s="1"/>
  <c r="L99" i="105" s="1"/>
  <c r="M99" i="105" s="1"/>
  <c r="N99" i="105" s="1"/>
  <c r="O99" i="105" s="1"/>
  <c r="P99" i="105" s="1"/>
  <c r="Q99" i="105" s="1"/>
  <c r="R99" i="105" s="1"/>
  <c r="S99" i="105" s="1"/>
  <c r="T99" i="105" s="1"/>
  <c r="U99" i="105" s="1"/>
  <c r="J203" i="105"/>
  <c r="K203" i="105" s="1"/>
  <c r="L203" i="105" s="1"/>
  <c r="M203" i="105" s="1"/>
  <c r="N203" i="105" s="1"/>
  <c r="O203" i="105" s="1"/>
  <c r="P203" i="105" s="1"/>
  <c r="Q203" i="105" s="1"/>
  <c r="R203" i="105" s="1"/>
  <c r="S203" i="105" s="1"/>
  <c r="T203" i="105" s="1"/>
  <c r="U203" i="105" s="1"/>
  <c r="J270" i="105"/>
  <c r="K270" i="105" s="1"/>
  <c r="G286" i="105"/>
  <c r="J275" i="105"/>
  <c r="K275" i="105" s="1"/>
  <c r="F147" i="105"/>
  <c r="E147" i="105" s="1"/>
  <c r="E137" i="105" s="1"/>
  <c r="E199" i="105" s="1"/>
  <c r="F203" i="105"/>
  <c r="E203" i="105" s="1"/>
  <c r="F95" i="105"/>
  <c r="E95" i="105" s="1"/>
  <c r="F90" i="105"/>
  <c r="E90" i="105" s="1"/>
  <c r="F267" i="105"/>
  <c r="F289" i="105" s="1"/>
  <c r="F270" i="105"/>
  <c r="F292" i="105" s="1"/>
  <c r="F99" i="105"/>
  <c r="E99" i="105" s="1"/>
  <c r="F73" i="105"/>
  <c r="E73" i="105" s="1"/>
  <c r="F98" i="105"/>
  <c r="E98" i="105" s="1"/>
  <c r="J73" i="105"/>
  <c r="K73" i="105" s="1"/>
  <c r="L73" i="105" s="1"/>
  <c r="M73" i="105" s="1"/>
  <c r="N73" i="105" s="1"/>
  <c r="O73" i="105" s="1"/>
  <c r="P73" i="105" s="1"/>
  <c r="Q73" i="105" s="1"/>
  <c r="R73" i="105" s="1"/>
  <c r="S73" i="105" s="1"/>
  <c r="T73" i="105" s="1"/>
  <c r="U73" i="105" s="1"/>
  <c r="J90" i="105"/>
  <c r="K90" i="105" s="1"/>
  <c r="L90" i="105" s="1"/>
  <c r="M90" i="105" s="1"/>
  <c r="N90" i="105" s="1"/>
  <c r="O90" i="105" s="1"/>
  <c r="P90" i="105" s="1"/>
  <c r="Q90" i="105" s="1"/>
  <c r="R90" i="105" s="1"/>
  <c r="S90" i="105" s="1"/>
  <c r="T90" i="105" s="1"/>
  <c r="U90" i="105" s="1"/>
  <c r="J58" i="105"/>
  <c r="K58" i="105" s="1"/>
  <c r="L58" i="105" s="1"/>
  <c r="M58" i="105" s="1"/>
  <c r="N58" i="105" s="1"/>
  <c r="O58" i="105" s="1"/>
  <c r="P58" i="105" s="1"/>
  <c r="Q58" i="105" s="1"/>
  <c r="R58" i="105" s="1"/>
  <c r="S58" i="105" s="1"/>
  <c r="T58" i="105" s="1"/>
  <c r="U58" i="105" s="1"/>
  <c r="F59" i="105"/>
  <c r="E59" i="105" s="1"/>
  <c r="G150" i="105"/>
  <c r="G212" i="105" s="1"/>
  <c r="G295" i="105"/>
  <c r="F273" i="105"/>
  <c r="J207" i="105"/>
  <c r="K207" i="105" s="1"/>
  <c r="L207" i="105" s="1"/>
  <c r="M207" i="105" s="1"/>
  <c r="N207" i="105" s="1"/>
  <c r="O207" i="105" s="1"/>
  <c r="P207" i="105" s="1"/>
  <c r="Q207" i="105" s="1"/>
  <c r="R207" i="105" s="1"/>
  <c r="S207" i="105" s="1"/>
  <c r="T207" i="105" s="1"/>
  <c r="U207" i="105" s="1"/>
  <c r="J274" i="105"/>
  <c r="K274" i="105" s="1"/>
  <c r="J208" i="105"/>
  <c r="K208" i="105" s="1"/>
  <c r="L208" i="105" s="1"/>
  <c r="M208" i="105" s="1"/>
  <c r="N208" i="105" s="1"/>
  <c r="O208" i="105" s="1"/>
  <c r="P208" i="105" s="1"/>
  <c r="Q208" i="105" s="1"/>
  <c r="R208" i="105" s="1"/>
  <c r="S208" i="105" s="1"/>
  <c r="T208" i="105" s="1"/>
  <c r="U208" i="105" s="1"/>
  <c r="F208" i="105"/>
  <c r="E208" i="105" s="1"/>
  <c r="I152" i="105"/>
  <c r="I214" i="105" s="1"/>
  <c r="F78" i="105"/>
  <c r="E78" i="105" s="1"/>
  <c r="G152" i="105"/>
  <c r="G214" i="105" s="1"/>
  <c r="F296" i="105"/>
  <c r="E274" i="105"/>
  <c r="E296" i="105" s="1"/>
  <c r="J211" i="105"/>
  <c r="K211" i="105" s="1"/>
  <c r="L211" i="105" s="1"/>
  <c r="M211" i="105" s="1"/>
  <c r="N211" i="105" s="1"/>
  <c r="O211" i="105" s="1"/>
  <c r="P211" i="105" s="1"/>
  <c r="Q211" i="105" s="1"/>
  <c r="R211" i="105" s="1"/>
  <c r="S211" i="105" s="1"/>
  <c r="T211" i="105" s="1"/>
  <c r="U211" i="105" s="1"/>
  <c r="F74" i="105"/>
  <c r="E74" i="105" s="1"/>
  <c r="K141" i="105"/>
  <c r="J131" i="105"/>
  <c r="J193" i="105" s="1"/>
  <c r="F211" i="105"/>
  <c r="E211" i="105" s="1"/>
  <c r="J291" i="105"/>
  <c r="K269" i="105"/>
  <c r="J78" i="105"/>
  <c r="K78" i="105" s="1"/>
  <c r="L78" i="105" s="1"/>
  <c r="M78" i="105" s="1"/>
  <c r="N78" i="105" s="1"/>
  <c r="O78" i="105" s="1"/>
  <c r="P78" i="105" s="1"/>
  <c r="Q78" i="105" s="1"/>
  <c r="R78" i="105" s="1"/>
  <c r="S78" i="105" s="1"/>
  <c r="T78" i="105" s="1"/>
  <c r="U78" i="105" s="1"/>
  <c r="I154" i="105"/>
  <c r="I216" i="105" s="1"/>
  <c r="J156" i="105"/>
  <c r="J218" i="105" s="1"/>
  <c r="J155" i="105"/>
  <c r="J217" i="105" s="1"/>
  <c r="J133" i="105"/>
  <c r="J195" i="105" s="1"/>
  <c r="K143" i="105"/>
  <c r="G293" i="105"/>
  <c r="F271" i="105"/>
  <c r="K149" i="105"/>
  <c r="J139" i="105"/>
  <c r="J201" i="105" s="1"/>
  <c r="I293" i="105"/>
  <c r="J271" i="105"/>
  <c r="J74" i="105"/>
  <c r="K74" i="105" s="1"/>
  <c r="L74" i="105" s="1"/>
  <c r="M74" i="105" s="1"/>
  <c r="N74" i="105" s="1"/>
  <c r="O74" i="105" s="1"/>
  <c r="P74" i="105" s="1"/>
  <c r="Q74" i="105" s="1"/>
  <c r="R74" i="105" s="1"/>
  <c r="S74" i="105" s="1"/>
  <c r="T74" i="105" s="1"/>
  <c r="U74" i="105" s="1"/>
  <c r="F291" i="105"/>
  <c r="E269" i="105"/>
  <c r="E291" i="105" s="1"/>
  <c r="E143" i="105"/>
  <c r="E133" i="105" s="1"/>
  <c r="E195" i="105" s="1"/>
  <c r="F133" i="105"/>
  <c r="F195" i="105" s="1"/>
  <c r="F58" i="105"/>
  <c r="E58" i="105" s="1"/>
  <c r="E141" i="105"/>
  <c r="E131" i="105" s="1"/>
  <c r="E193" i="105" s="1"/>
  <c r="F131" i="105"/>
  <c r="F193" i="105" s="1"/>
  <c r="G154" i="105"/>
  <c r="G216" i="105" s="1"/>
  <c r="J130" i="105"/>
  <c r="J192" i="105" s="1"/>
  <c r="E149" i="105"/>
  <c r="E139" i="105" s="1"/>
  <c r="E201" i="105" s="1"/>
  <c r="F139" i="105"/>
  <c r="F201" i="105" s="1"/>
  <c r="F130" i="105"/>
  <c r="F192" i="105" s="1"/>
  <c r="E130" i="105"/>
  <c r="E192" i="105" s="1"/>
  <c r="F227" i="105"/>
  <c r="F155" i="105"/>
  <c r="F217" i="105" s="1"/>
  <c r="E10" i="42" l="1"/>
  <c r="T9" i="42"/>
  <c r="E91" i="42"/>
  <c r="E61" i="42"/>
  <c r="T60" i="42"/>
  <c r="AA43" i="145"/>
  <c r="V28" i="147"/>
  <c r="AB28" i="147" s="1"/>
  <c r="V35" i="147"/>
  <c r="AB35" i="147" s="1"/>
  <c r="AA37" i="145"/>
  <c r="V40" i="147"/>
  <c r="AA31" i="147"/>
  <c r="AB31" i="147"/>
  <c r="AA37" i="147"/>
  <c r="AB37" i="147"/>
  <c r="AA30" i="147"/>
  <c r="AB30" i="147"/>
  <c r="AA46" i="147"/>
  <c r="AB46" i="147"/>
  <c r="AB39" i="147"/>
  <c r="AA39" i="147"/>
  <c r="AB36" i="147"/>
  <c r="AA36" i="147"/>
  <c r="AA24" i="147"/>
  <c r="AB24" i="147"/>
  <c r="V36" i="145"/>
  <c r="AA42" i="147"/>
  <c r="AB42" i="147"/>
  <c r="V47" i="147"/>
  <c r="AB29" i="147"/>
  <c r="AA29" i="147"/>
  <c r="AA44" i="147"/>
  <c r="AB44" i="147"/>
  <c r="AB40" i="147"/>
  <c r="AA40" i="147"/>
  <c r="AA34" i="147"/>
  <c r="AB34" i="147"/>
  <c r="AB48" i="147"/>
  <c r="AA48" i="147"/>
  <c r="AB27" i="147"/>
  <c r="AA27" i="147"/>
  <c r="AB33" i="147"/>
  <c r="AA33" i="147"/>
  <c r="AB41" i="147"/>
  <c r="AA41" i="147"/>
  <c r="AA25" i="147"/>
  <c r="AB25" i="147"/>
  <c r="V34" i="145"/>
  <c r="AB43" i="147"/>
  <c r="AA43" i="147"/>
  <c r="AA45" i="147"/>
  <c r="AB45" i="147"/>
  <c r="AB26" i="147"/>
  <c r="AA26" i="147"/>
  <c r="AA32" i="147"/>
  <c r="AB32" i="147"/>
  <c r="E222" i="105"/>
  <c r="E150" i="105"/>
  <c r="E212" i="105" s="1"/>
  <c r="E275" i="105"/>
  <c r="E297" i="105" s="1"/>
  <c r="F159" i="105"/>
  <c r="F221" i="105" s="1"/>
  <c r="F157" i="105"/>
  <c r="F219" i="105" s="1"/>
  <c r="J157" i="105"/>
  <c r="J219" i="105" s="1"/>
  <c r="J153" i="105"/>
  <c r="J215" i="105" s="1"/>
  <c r="F228" i="105"/>
  <c r="J150" i="105"/>
  <c r="J212" i="105" s="1"/>
  <c r="J151" i="105"/>
  <c r="J213" i="105" s="1"/>
  <c r="J287" i="105"/>
  <c r="F288" i="105"/>
  <c r="J286" i="105"/>
  <c r="J137" i="105"/>
  <c r="J199" i="105" s="1"/>
  <c r="F151" i="105"/>
  <c r="F213" i="105" s="1"/>
  <c r="F223" i="105"/>
  <c r="K272" i="105"/>
  <c r="K294" i="105" s="1"/>
  <c r="E268" i="105"/>
  <c r="E290" i="105" s="1"/>
  <c r="J134" i="105"/>
  <c r="J196" i="105" s="1"/>
  <c r="K273" i="105"/>
  <c r="K295" i="105" s="1"/>
  <c r="F286" i="105"/>
  <c r="AA49" i="145"/>
  <c r="AB49" i="145"/>
  <c r="AB48" i="145"/>
  <c r="AA48" i="145"/>
  <c r="AB47" i="145"/>
  <c r="AA47" i="145"/>
  <c r="AB45" i="145"/>
  <c r="AA45" i="145"/>
  <c r="AB46" i="145"/>
  <c r="AA46" i="145"/>
  <c r="F156" i="105"/>
  <c r="F218" i="105" s="1"/>
  <c r="K148" i="105"/>
  <c r="K138" i="105" s="1"/>
  <c r="K200" i="105" s="1"/>
  <c r="K151" i="105"/>
  <c r="K213" i="105" s="1"/>
  <c r="F136" i="105"/>
  <c r="F198" i="105" s="1"/>
  <c r="J132" i="105"/>
  <c r="J194" i="105" s="1"/>
  <c r="E272" i="105"/>
  <c r="E294" i="105" s="1"/>
  <c r="E148" i="105"/>
  <c r="E138" i="105" s="1"/>
  <c r="E200" i="105" s="1"/>
  <c r="K267" i="105"/>
  <c r="K289" i="105" s="1"/>
  <c r="K146" i="105"/>
  <c r="K136" i="105" s="1"/>
  <c r="K198" i="105" s="1"/>
  <c r="K268" i="105"/>
  <c r="L268" i="105" s="1"/>
  <c r="J288" i="105"/>
  <c r="E142" i="105"/>
  <c r="E132" i="105" s="1"/>
  <c r="E194" i="105" s="1"/>
  <c r="J159" i="105"/>
  <c r="J221" i="105" s="1"/>
  <c r="F158" i="105"/>
  <c r="F220" i="105" s="1"/>
  <c r="F135" i="105"/>
  <c r="F197" i="105" s="1"/>
  <c r="E267" i="105"/>
  <c r="E289" i="105" s="1"/>
  <c r="J135" i="105"/>
  <c r="J197" i="105" s="1"/>
  <c r="F134" i="105"/>
  <c r="F196" i="105" s="1"/>
  <c r="K287" i="105"/>
  <c r="J292" i="105"/>
  <c r="F287" i="105"/>
  <c r="E287" i="105"/>
  <c r="F225" i="105"/>
  <c r="J297" i="105"/>
  <c r="F153" i="105"/>
  <c r="F215" i="105" s="1"/>
  <c r="E288" i="105"/>
  <c r="J158" i="105"/>
  <c r="J220" i="105" s="1"/>
  <c r="F137" i="105"/>
  <c r="F199" i="105" s="1"/>
  <c r="E270" i="105"/>
  <c r="E292" i="105" s="1"/>
  <c r="J296" i="105"/>
  <c r="F295" i="105"/>
  <c r="E273" i="105"/>
  <c r="E295" i="105" s="1"/>
  <c r="F222" i="105"/>
  <c r="F150" i="105"/>
  <c r="F212" i="105" s="1"/>
  <c r="J154" i="105"/>
  <c r="J216" i="105" s="1"/>
  <c r="K134" i="105"/>
  <c r="K196" i="105" s="1"/>
  <c r="L144" i="105"/>
  <c r="L269" i="105"/>
  <c r="K291" i="105"/>
  <c r="L142" i="105"/>
  <c r="K132" i="105"/>
  <c r="K194" i="105" s="1"/>
  <c r="E225" i="105"/>
  <c r="K292" i="105"/>
  <c r="L270" i="105"/>
  <c r="K153" i="105"/>
  <c r="K215" i="105" s="1"/>
  <c r="K135" i="105"/>
  <c r="K197" i="105" s="1"/>
  <c r="L145" i="105"/>
  <c r="F224" i="105"/>
  <c r="F152" i="105"/>
  <c r="F214" i="105" s="1"/>
  <c r="K288" i="105"/>
  <c r="L147" i="105"/>
  <c r="K137" i="105"/>
  <c r="K199" i="105" s="1"/>
  <c r="J152" i="105"/>
  <c r="J214" i="105" s="1"/>
  <c r="E227" i="105"/>
  <c r="J293" i="105"/>
  <c r="K271" i="105"/>
  <c r="K156" i="105"/>
  <c r="K218" i="105" s="1"/>
  <c r="F226" i="105"/>
  <c r="F154" i="105"/>
  <c r="F216" i="105" s="1"/>
  <c r="L143" i="105"/>
  <c r="K133" i="105"/>
  <c r="K195" i="105" s="1"/>
  <c r="L274" i="105"/>
  <c r="K296" i="105"/>
  <c r="K159" i="105"/>
  <c r="K221" i="105" s="1"/>
  <c r="L275" i="105"/>
  <c r="K297" i="105"/>
  <c r="K139" i="105"/>
  <c r="K201" i="105" s="1"/>
  <c r="L149" i="105"/>
  <c r="E271" i="105"/>
  <c r="E293" i="105" s="1"/>
  <c r="F293" i="105"/>
  <c r="E223" i="105"/>
  <c r="K155" i="105"/>
  <c r="K217" i="105" s="1"/>
  <c r="K130" i="105"/>
  <c r="K192" i="105" s="1"/>
  <c r="L141" i="105"/>
  <c r="K131" i="105"/>
  <c r="K193" i="105" s="1"/>
  <c r="E228" i="105"/>
  <c r="K286" i="105"/>
  <c r="K158" i="105"/>
  <c r="K220" i="105" s="1"/>
  <c r="E11" i="42" l="1"/>
  <c r="T10" i="42"/>
  <c r="E62" i="42"/>
  <c r="T61" i="42"/>
  <c r="E92" i="42"/>
  <c r="T91" i="42"/>
  <c r="AA28" i="147"/>
  <c r="AA35" i="147"/>
  <c r="AA47" i="147"/>
  <c r="AB47" i="147"/>
  <c r="AB36" i="145"/>
  <c r="AA36" i="145"/>
  <c r="AA34" i="145"/>
  <c r="AB34" i="145"/>
  <c r="L273" i="105"/>
  <c r="M273" i="105" s="1"/>
  <c r="K157" i="105"/>
  <c r="K219" i="105" s="1"/>
  <c r="L272" i="105"/>
  <c r="L294" i="105" s="1"/>
  <c r="L146" i="105"/>
  <c r="M146" i="105" s="1"/>
  <c r="L148" i="105"/>
  <c r="M148" i="105" s="1"/>
  <c r="L267" i="105"/>
  <c r="M267" i="105" s="1"/>
  <c r="K150" i="105"/>
  <c r="K212" i="105" s="1"/>
  <c r="K290" i="105"/>
  <c r="L158" i="105"/>
  <c r="L220" i="105" s="1"/>
  <c r="L130" i="105"/>
  <c r="L192" i="105" s="1"/>
  <c r="L159" i="105"/>
  <c r="L221" i="105" s="1"/>
  <c r="E226" i="105"/>
  <c r="E224" i="105"/>
  <c r="L286" i="105"/>
  <c r="L155" i="105"/>
  <c r="L217" i="105" s="1"/>
  <c r="L139" i="105"/>
  <c r="L201" i="105" s="1"/>
  <c r="M149" i="105"/>
  <c r="M147" i="105"/>
  <c r="L137" i="105"/>
  <c r="L199" i="105" s="1"/>
  <c r="L135" i="105"/>
  <c r="L197" i="105" s="1"/>
  <c r="M145" i="105"/>
  <c r="M268" i="105"/>
  <c r="L290" i="105"/>
  <c r="L296" i="105"/>
  <c r="M274" i="105"/>
  <c r="K152" i="105"/>
  <c r="K214" i="105" s="1"/>
  <c r="L288" i="105"/>
  <c r="M142" i="105"/>
  <c r="L132" i="105"/>
  <c r="L194" i="105" s="1"/>
  <c r="L153" i="105"/>
  <c r="L215" i="105" s="1"/>
  <c r="M144" i="105"/>
  <c r="L134" i="105"/>
  <c r="L196" i="105" s="1"/>
  <c r="L150" i="105"/>
  <c r="L212" i="105" s="1"/>
  <c r="M275" i="105"/>
  <c r="L297" i="105"/>
  <c r="M143" i="105"/>
  <c r="L133" i="105"/>
  <c r="L195" i="105" s="1"/>
  <c r="L156" i="105"/>
  <c r="L218" i="105" s="1"/>
  <c r="L157" i="105"/>
  <c r="L219" i="105" s="1"/>
  <c r="L292" i="105"/>
  <c r="M270" i="105"/>
  <c r="K154" i="105"/>
  <c r="K216" i="105" s="1"/>
  <c r="M141" i="105"/>
  <c r="L131" i="105"/>
  <c r="L193" i="105" s="1"/>
  <c r="L271" i="105"/>
  <c r="K293" i="105"/>
  <c r="L291" i="105"/>
  <c r="M269" i="105"/>
  <c r="E12" i="42" l="1"/>
  <c r="T11" i="42"/>
  <c r="E93" i="42"/>
  <c r="T92" i="42"/>
  <c r="T62" i="42"/>
  <c r="E63" i="42"/>
  <c r="L136" i="105"/>
  <c r="L198" i="105" s="1"/>
  <c r="L295" i="105"/>
  <c r="M272" i="105"/>
  <c r="M294" i="105" s="1"/>
  <c r="L151" i="105"/>
  <c r="L213" i="105" s="1"/>
  <c r="L138" i="105"/>
  <c r="L200" i="105" s="1"/>
  <c r="L289" i="105"/>
  <c r="M287" i="105"/>
  <c r="L287" i="105"/>
  <c r="N148" i="105"/>
  <c r="M138" i="105"/>
  <c r="M200" i="105" s="1"/>
  <c r="M156" i="105"/>
  <c r="M218" i="105" s="1"/>
  <c r="N145" i="105"/>
  <c r="M135" i="105"/>
  <c r="M197" i="105" s="1"/>
  <c r="N141" i="105"/>
  <c r="M131" i="105"/>
  <c r="M193" i="105" s="1"/>
  <c r="N144" i="105"/>
  <c r="M134" i="105"/>
  <c r="M196" i="105" s="1"/>
  <c r="L152" i="105"/>
  <c r="L214" i="105" s="1"/>
  <c r="M286" i="105"/>
  <c r="N273" i="105"/>
  <c r="M295" i="105"/>
  <c r="M289" i="105"/>
  <c r="N267" i="105"/>
  <c r="M159" i="105"/>
  <c r="M221" i="105" s="1"/>
  <c r="L154" i="105"/>
  <c r="L216" i="105" s="1"/>
  <c r="N287" i="105"/>
  <c r="N143" i="105"/>
  <c r="M133" i="105"/>
  <c r="M195" i="105" s="1"/>
  <c r="M153" i="105"/>
  <c r="M215" i="105" s="1"/>
  <c r="M137" i="105"/>
  <c r="M199" i="105" s="1"/>
  <c r="N147" i="105"/>
  <c r="N269" i="105"/>
  <c r="M291" i="105"/>
  <c r="M292" i="105"/>
  <c r="N270" i="105"/>
  <c r="M296" i="105"/>
  <c r="N274" i="105"/>
  <c r="N149" i="105"/>
  <c r="M139" i="105"/>
  <c r="M201" i="105" s="1"/>
  <c r="M151" i="105"/>
  <c r="M213" i="105" s="1"/>
  <c r="M297" i="105"/>
  <c r="N275" i="105"/>
  <c r="M132" i="105"/>
  <c r="M194" i="105" s="1"/>
  <c r="N142" i="105"/>
  <c r="M130" i="105"/>
  <c r="M192" i="105" s="1"/>
  <c r="M288" i="105"/>
  <c r="M155" i="105"/>
  <c r="M217" i="105" s="1"/>
  <c r="M136" i="105"/>
  <c r="M198" i="105" s="1"/>
  <c r="N146" i="105"/>
  <c r="L293" i="105"/>
  <c r="M271" i="105"/>
  <c r="M157" i="105"/>
  <c r="M219" i="105" s="1"/>
  <c r="M150" i="105"/>
  <c r="M212" i="105" s="1"/>
  <c r="M290" i="105"/>
  <c r="N268" i="105"/>
  <c r="M158" i="105"/>
  <c r="M220" i="105" s="1"/>
  <c r="E13" i="42" l="1"/>
  <c r="T12" i="42"/>
  <c r="E64" i="42"/>
  <c r="T63" i="42"/>
  <c r="T93" i="42"/>
  <c r="E94" i="42"/>
  <c r="N272" i="105"/>
  <c r="N294" i="105" s="1"/>
  <c r="N138" i="105"/>
  <c r="N200" i="105" s="1"/>
  <c r="O148" i="105"/>
  <c r="M293" i="105"/>
  <c r="N271" i="105"/>
  <c r="O287" i="105"/>
  <c r="N158" i="105"/>
  <c r="N220" i="105" s="1"/>
  <c r="N151" i="105"/>
  <c r="N213" i="105" s="1"/>
  <c r="N291" i="105"/>
  <c r="O269" i="105"/>
  <c r="N295" i="105"/>
  <c r="O273" i="105"/>
  <c r="N290" i="105"/>
  <c r="O268" i="105"/>
  <c r="N136" i="105"/>
  <c r="N198" i="105" s="1"/>
  <c r="O146" i="105"/>
  <c r="N137" i="105"/>
  <c r="N199" i="105" s="1"/>
  <c r="O147" i="105"/>
  <c r="N286" i="105"/>
  <c r="N130" i="105"/>
  <c r="N192" i="105" s="1"/>
  <c r="O149" i="105"/>
  <c r="N139" i="105"/>
  <c r="N201" i="105" s="1"/>
  <c r="M154" i="105"/>
  <c r="M216" i="105" s="1"/>
  <c r="N131" i="105"/>
  <c r="N193" i="105" s="1"/>
  <c r="O141" i="105"/>
  <c r="N132" i="105"/>
  <c r="N194" i="105" s="1"/>
  <c r="O142" i="105"/>
  <c r="O274" i="105"/>
  <c r="N296" i="105"/>
  <c r="M152" i="105"/>
  <c r="M214" i="105" s="1"/>
  <c r="N150" i="105"/>
  <c r="N212" i="105" s="1"/>
  <c r="N155" i="105"/>
  <c r="N217" i="105" s="1"/>
  <c r="N153" i="105"/>
  <c r="N215" i="105" s="1"/>
  <c r="N159" i="105"/>
  <c r="N221" i="105" s="1"/>
  <c r="N135" i="105"/>
  <c r="N197" i="105" s="1"/>
  <c r="O145" i="105"/>
  <c r="N288" i="105"/>
  <c r="N297" i="105"/>
  <c r="O275" i="105"/>
  <c r="O270" i="105"/>
  <c r="N292" i="105"/>
  <c r="N289" i="105"/>
  <c r="O267" i="105"/>
  <c r="N157" i="105"/>
  <c r="N219" i="105" s="1"/>
  <c r="N133" i="105"/>
  <c r="N195" i="105" s="1"/>
  <c r="O143" i="105"/>
  <c r="N134" i="105"/>
  <c r="N196" i="105" s="1"/>
  <c r="O144" i="105"/>
  <c r="N156" i="105"/>
  <c r="N218" i="105" s="1"/>
  <c r="E14" i="42" l="1"/>
  <c r="T13" i="42"/>
  <c r="E95" i="42"/>
  <c r="T94" i="42"/>
  <c r="E65" i="42"/>
  <c r="T64" i="42"/>
  <c r="O272" i="105"/>
  <c r="O294" i="105" s="1"/>
  <c r="P148" i="105"/>
  <c r="O138" i="105"/>
  <c r="O200" i="105" s="1"/>
  <c r="O137" i="105"/>
  <c r="O199" i="105" s="1"/>
  <c r="P147" i="105"/>
  <c r="P287" i="105"/>
  <c r="O292" i="105"/>
  <c r="P270" i="105"/>
  <c r="N152" i="105"/>
  <c r="N214" i="105" s="1"/>
  <c r="P275" i="105"/>
  <c r="O297" i="105"/>
  <c r="P146" i="105"/>
  <c r="O136" i="105"/>
  <c r="O198" i="105" s="1"/>
  <c r="O296" i="105"/>
  <c r="P274" i="105"/>
  <c r="O130" i="105"/>
  <c r="O192" i="105" s="1"/>
  <c r="O155" i="105"/>
  <c r="O217" i="105" s="1"/>
  <c r="P267" i="105"/>
  <c r="O289" i="105"/>
  <c r="P145" i="105"/>
  <c r="O135" i="105"/>
  <c r="O197" i="105" s="1"/>
  <c r="P141" i="105"/>
  <c r="O131" i="105"/>
  <c r="O193" i="105" s="1"/>
  <c r="O286" i="105"/>
  <c r="O295" i="105"/>
  <c r="P273" i="105"/>
  <c r="P144" i="105"/>
  <c r="O134" i="105"/>
  <c r="O196" i="105" s="1"/>
  <c r="O159" i="105"/>
  <c r="O221" i="105" s="1"/>
  <c r="O291" i="105"/>
  <c r="P269" i="105"/>
  <c r="N154" i="105"/>
  <c r="N216" i="105" s="1"/>
  <c r="P143" i="105"/>
  <c r="O133" i="105"/>
  <c r="O195" i="105" s="1"/>
  <c r="O153" i="105"/>
  <c r="O215" i="105" s="1"/>
  <c r="O139" i="105"/>
  <c r="O201" i="105" s="1"/>
  <c r="P149" i="105"/>
  <c r="O151" i="105"/>
  <c r="O213" i="105" s="1"/>
  <c r="O157" i="105"/>
  <c r="O219" i="105" s="1"/>
  <c r="P142" i="105"/>
  <c r="O132" i="105"/>
  <c r="O194" i="105" s="1"/>
  <c r="O290" i="105"/>
  <c r="P268" i="105"/>
  <c r="N293" i="105"/>
  <c r="O271" i="105"/>
  <c r="O288" i="105"/>
  <c r="O158" i="105"/>
  <c r="O220" i="105" s="1"/>
  <c r="O156" i="105"/>
  <c r="O218" i="105" s="1"/>
  <c r="O150" i="105"/>
  <c r="O212" i="105" s="1"/>
  <c r="E15" i="42" l="1"/>
  <c r="T14" i="42"/>
  <c r="E96" i="42"/>
  <c r="T95" i="42"/>
  <c r="E66" i="42"/>
  <c r="T65" i="42"/>
  <c r="P272" i="105"/>
  <c r="P294" i="105" s="1"/>
  <c r="Q148" i="105"/>
  <c r="P138" i="105"/>
  <c r="P200" i="105" s="1"/>
  <c r="P139" i="105"/>
  <c r="P201" i="105" s="1"/>
  <c r="Q149" i="105"/>
  <c r="P296" i="105"/>
  <c r="Q274" i="105"/>
  <c r="P286" i="105"/>
  <c r="P158" i="105"/>
  <c r="P220" i="105" s="1"/>
  <c r="P153" i="105"/>
  <c r="P215" i="105" s="1"/>
  <c r="Q146" i="105"/>
  <c r="P136" i="105"/>
  <c r="P198" i="105" s="1"/>
  <c r="P288" i="105"/>
  <c r="P137" i="105"/>
  <c r="P199" i="105" s="1"/>
  <c r="Q147" i="105"/>
  <c r="Q143" i="105"/>
  <c r="P133" i="105"/>
  <c r="P195" i="105" s="1"/>
  <c r="Q141" i="105"/>
  <c r="P131" i="105"/>
  <c r="P193" i="105" s="1"/>
  <c r="P271" i="105"/>
  <c r="O293" i="105"/>
  <c r="O154" i="105"/>
  <c r="O216" i="105" s="1"/>
  <c r="P156" i="105"/>
  <c r="P218" i="105" s="1"/>
  <c r="Q287" i="105"/>
  <c r="Q142" i="105"/>
  <c r="P132" i="105"/>
  <c r="P194" i="105" s="1"/>
  <c r="P159" i="105"/>
  <c r="P221" i="105" s="1"/>
  <c r="P157" i="105"/>
  <c r="P219" i="105" s="1"/>
  <c r="Q144" i="105"/>
  <c r="P134" i="105"/>
  <c r="P196" i="105" s="1"/>
  <c r="P130" i="105"/>
  <c r="P192" i="105" s="1"/>
  <c r="P297" i="105"/>
  <c r="Q275" i="105"/>
  <c r="P150" i="105"/>
  <c r="P212" i="105" s="1"/>
  <c r="P151" i="105"/>
  <c r="P213" i="105" s="1"/>
  <c r="Q145" i="105"/>
  <c r="P135" i="105"/>
  <c r="P197" i="105" s="1"/>
  <c r="O152" i="105"/>
  <c r="O214" i="105" s="1"/>
  <c r="P291" i="105"/>
  <c r="Q269" i="105"/>
  <c r="P292" i="105"/>
  <c r="Q270" i="105"/>
  <c r="P289" i="105"/>
  <c r="Q267" i="105"/>
  <c r="P155" i="105"/>
  <c r="P217" i="105" s="1"/>
  <c r="Q268" i="105"/>
  <c r="P290" i="105"/>
  <c r="P295" i="105"/>
  <c r="Q273" i="105"/>
  <c r="E16" i="42" l="1"/>
  <c r="T15" i="42"/>
  <c r="E97" i="42"/>
  <c r="T96" i="42"/>
  <c r="T66" i="42"/>
  <c r="E67" i="42"/>
  <c r="Q272" i="105"/>
  <c r="R272" i="105" s="1"/>
  <c r="R148" i="105"/>
  <c r="Q138" i="105"/>
  <c r="Q200" i="105" s="1"/>
  <c r="R269" i="105"/>
  <c r="Q291" i="105"/>
  <c r="Q288" i="105"/>
  <c r="Q290" i="105"/>
  <c r="R268" i="105"/>
  <c r="Q151" i="105"/>
  <c r="Q213" i="105" s="1"/>
  <c r="R287" i="105"/>
  <c r="Q286" i="105"/>
  <c r="P152" i="105"/>
  <c r="P214" i="105" s="1"/>
  <c r="Q157" i="105"/>
  <c r="Q219" i="105" s="1"/>
  <c r="Q131" i="105"/>
  <c r="Q193" i="105" s="1"/>
  <c r="R141" i="105"/>
  <c r="R149" i="105"/>
  <c r="Q139" i="105"/>
  <c r="Q201" i="105" s="1"/>
  <c r="Q159" i="105"/>
  <c r="Q221" i="105" s="1"/>
  <c r="Q133" i="105"/>
  <c r="Q195" i="105" s="1"/>
  <c r="R143" i="105"/>
  <c r="Q292" i="105"/>
  <c r="R270" i="105"/>
  <c r="P154" i="105"/>
  <c r="P216" i="105" s="1"/>
  <c r="R147" i="105"/>
  <c r="Q137" i="105"/>
  <c r="Q199" i="105" s="1"/>
  <c r="Q158" i="105"/>
  <c r="Q220" i="105" s="1"/>
  <c r="Q134" i="105"/>
  <c r="Q196" i="105" s="1"/>
  <c r="R144" i="105"/>
  <c r="P293" i="105"/>
  <c r="Q271" i="105"/>
  <c r="Q150" i="105"/>
  <c r="Q212" i="105" s="1"/>
  <c r="Q296" i="105"/>
  <c r="R274" i="105"/>
  <c r="Q155" i="105"/>
  <c r="Q217" i="105" s="1"/>
  <c r="Q156" i="105"/>
  <c r="Q218" i="105" s="1"/>
  <c r="R146" i="105"/>
  <c r="Q136" i="105"/>
  <c r="Q198" i="105" s="1"/>
  <c r="Q289" i="105"/>
  <c r="R267" i="105"/>
  <c r="Q297" i="105"/>
  <c r="R275" i="105"/>
  <c r="Q153" i="105"/>
  <c r="Q215" i="105" s="1"/>
  <c r="R273" i="105"/>
  <c r="Q295" i="105"/>
  <c r="Q135" i="105"/>
  <c r="Q197" i="105" s="1"/>
  <c r="R145" i="105"/>
  <c r="Q130" i="105"/>
  <c r="Q192" i="105" s="1"/>
  <c r="Q132" i="105"/>
  <c r="Q194" i="105" s="1"/>
  <c r="R142" i="105"/>
  <c r="T16" i="42" l="1"/>
  <c r="E17" i="42"/>
  <c r="E68" i="42"/>
  <c r="T67" i="42"/>
  <c r="E98" i="42"/>
  <c r="T97" i="42"/>
  <c r="Q294" i="105"/>
  <c r="R138" i="105"/>
  <c r="R200" i="105" s="1"/>
  <c r="S148" i="105"/>
  <c r="R156" i="105"/>
  <c r="R218" i="105" s="1"/>
  <c r="R297" i="105"/>
  <c r="S275" i="105"/>
  <c r="R286" i="105"/>
  <c r="R295" i="105"/>
  <c r="S273" i="105"/>
  <c r="R291" i="105"/>
  <c r="S269" i="105"/>
  <c r="R132" i="105"/>
  <c r="R194" i="105" s="1"/>
  <c r="S142" i="105"/>
  <c r="R135" i="105"/>
  <c r="R197" i="105" s="1"/>
  <c r="S145" i="105"/>
  <c r="S270" i="105"/>
  <c r="R292" i="105"/>
  <c r="R153" i="105"/>
  <c r="R215" i="105" s="1"/>
  <c r="R136" i="105"/>
  <c r="R198" i="105" s="1"/>
  <c r="S146" i="105"/>
  <c r="R150" i="105"/>
  <c r="R212" i="105" s="1"/>
  <c r="S147" i="105"/>
  <c r="R137" i="105"/>
  <c r="R199" i="105" s="1"/>
  <c r="R159" i="105"/>
  <c r="R221" i="105" s="1"/>
  <c r="R157" i="105"/>
  <c r="R219" i="105" s="1"/>
  <c r="R151" i="105"/>
  <c r="R213" i="105" s="1"/>
  <c r="R155" i="105"/>
  <c r="R217" i="105" s="1"/>
  <c r="R158" i="105"/>
  <c r="R220" i="105" s="1"/>
  <c r="R130" i="105"/>
  <c r="R192" i="105" s="1"/>
  <c r="R294" i="105"/>
  <c r="S272" i="105"/>
  <c r="Q293" i="105"/>
  <c r="R271" i="105"/>
  <c r="R290" i="105"/>
  <c r="S268" i="105"/>
  <c r="Q152" i="105"/>
  <c r="Q214" i="105" s="1"/>
  <c r="R288" i="105"/>
  <c r="Q154" i="105"/>
  <c r="Q216" i="105" s="1"/>
  <c r="R134" i="105"/>
  <c r="R196" i="105" s="1"/>
  <c r="S144" i="105"/>
  <c r="R289" i="105"/>
  <c r="S267" i="105"/>
  <c r="S274" i="105"/>
  <c r="R296" i="105"/>
  <c r="R133" i="105"/>
  <c r="R195" i="105" s="1"/>
  <c r="S143" i="105"/>
  <c r="R131" i="105"/>
  <c r="R193" i="105" s="1"/>
  <c r="S141" i="105"/>
  <c r="S287" i="105"/>
  <c r="R139" i="105"/>
  <c r="R201" i="105" s="1"/>
  <c r="S149" i="105"/>
  <c r="T17" i="42" l="1"/>
  <c r="E18" i="42"/>
  <c r="E69" i="42"/>
  <c r="T68" i="42"/>
  <c r="E99" i="42"/>
  <c r="T98" i="42"/>
  <c r="T148" i="105"/>
  <c r="S138" i="105"/>
  <c r="S200" i="105" s="1"/>
  <c r="T267" i="105"/>
  <c r="S289" i="105"/>
  <c r="S130" i="105"/>
  <c r="S192" i="105" s="1"/>
  <c r="S150" i="105"/>
  <c r="S212" i="105" s="1"/>
  <c r="S286" i="105"/>
  <c r="R152" i="105"/>
  <c r="R214" i="105" s="1"/>
  <c r="S151" i="105"/>
  <c r="S213" i="105" s="1"/>
  <c r="S134" i="105"/>
  <c r="S196" i="105" s="1"/>
  <c r="T144" i="105"/>
  <c r="S158" i="105"/>
  <c r="S220" i="105" s="1"/>
  <c r="S136" i="105"/>
  <c r="S198" i="105" s="1"/>
  <c r="T146" i="105"/>
  <c r="T275" i="105"/>
  <c r="S297" i="105"/>
  <c r="S155" i="105"/>
  <c r="S217" i="105" s="1"/>
  <c r="S291" i="105"/>
  <c r="T269" i="105"/>
  <c r="S159" i="105"/>
  <c r="S221" i="105" s="1"/>
  <c r="S156" i="105"/>
  <c r="S218" i="105" s="1"/>
  <c r="T149" i="105"/>
  <c r="S139" i="105"/>
  <c r="S201" i="105" s="1"/>
  <c r="S294" i="105"/>
  <c r="T272" i="105"/>
  <c r="S295" i="105"/>
  <c r="T273" i="105"/>
  <c r="T287" i="105"/>
  <c r="U287" i="105"/>
  <c r="S135" i="105"/>
  <c r="S197" i="105" s="1"/>
  <c r="T145" i="105"/>
  <c r="T141" i="105"/>
  <c r="S131" i="105"/>
  <c r="S193" i="105" s="1"/>
  <c r="S290" i="105"/>
  <c r="T268" i="105"/>
  <c r="S157" i="105"/>
  <c r="S219" i="105" s="1"/>
  <c r="S132" i="105"/>
  <c r="S194" i="105" s="1"/>
  <c r="T142" i="105"/>
  <c r="S133" i="105"/>
  <c r="S195" i="105" s="1"/>
  <c r="T143" i="105"/>
  <c r="R293" i="105"/>
  <c r="S271" i="105"/>
  <c r="R154" i="105"/>
  <c r="R216" i="105" s="1"/>
  <c r="S153" i="105"/>
  <c r="S215" i="105" s="1"/>
  <c r="T274" i="105"/>
  <c r="S296" i="105"/>
  <c r="S288" i="105"/>
  <c r="T147" i="105"/>
  <c r="S137" i="105"/>
  <c r="S199" i="105" s="1"/>
  <c r="S292" i="105"/>
  <c r="T270" i="105"/>
  <c r="E19" i="42" l="1"/>
  <c r="T18" i="42"/>
  <c r="E100" i="42"/>
  <c r="T99" i="42"/>
  <c r="E70" i="42"/>
  <c r="T69" i="42"/>
  <c r="U148" i="105"/>
  <c r="U138" i="105" s="1"/>
  <c r="U200" i="105" s="1"/>
  <c r="T138" i="105"/>
  <c r="T200" i="105" s="1"/>
  <c r="U143" i="105"/>
  <c r="U133" i="105" s="1"/>
  <c r="U195" i="105" s="1"/>
  <c r="T133" i="105"/>
  <c r="T195" i="105" s="1"/>
  <c r="U272" i="105"/>
  <c r="U294" i="105" s="1"/>
  <c r="T294" i="105"/>
  <c r="T291" i="105"/>
  <c r="U269" i="105"/>
  <c r="U291" i="105" s="1"/>
  <c r="U158" i="105"/>
  <c r="U220" i="105" s="1"/>
  <c r="T158" i="105"/>
  <c r="T220" i="105" s="1"/>
  <c r="U286" i="105"/>
  <c r="T286" i="105"/>
  <c r="T296" i="105"/>
  <c r="U274" i="105"/>
  <c r="U296" i="105" s="1"/>
  <c r="U141" i="105"/>
  <c r="U131" i="105" s="1"/>
  <c r="U193" i="105" s="1"/>
  <c r="T131" i="105"/>
  <c r="T193" i="105" s="1"/>
  <c r="T292" i="105"/>
  <c r="U270" i="105"/>
  <c r="U292" i="105" s="1"/>
  <c r="U153" i="105"/>
  <c r="U215" i="105" s="1"/>
  <c r="T153" i="105"/>
  <c r="T215" i="105" s="1"/>
  <c r="U142" i="105"/>
  <c r="U132" i="105" s="1"/>
  <c r="U194" i="105" s="1"/>
  <c r="T132" i="105"/>
  <c r="T194" i="105" s="1"/>
  <c r="T135" i="105"/>
  <c r="T197" i="105" s="1"/>
  <c r="U145" i="105"/>
  <c r="U135" i="105" s="1"/>
  <c r="U197" i="105" s="1"/>
  <c r="U144" i="105"/>
  <c r="U134" i="105" s="1"/>
  <c r="U196" i="105" s="1"/>
  <c r="T134" i="105"/>
  <c r="T196" i="105" s="1"/>
  <c r="U150" i="105"/>
  <c r="U212" i="105" s="1"/>
  <c r="T150" i="105"/>
  <c r="T212" i="105" s="1"/>
  <c r="T139" i="105"/>
  <c r="T201" i="105" s="1"/>
  <c r="U149" i="105"/>
  <c r="U139" i="105" s="1"/>
  <c r="U201" i="105" s="1"/>
  <c r="T155" i="105"/>
  <c r="T217" i="105" s="1"/>
  <c r="U155" i="105"/>
  <c r="U217" i="105" s="1"/>
  <c r="S154" i="105"/>
  <c r="S216" i="105" s="1"/>
  <c r="T151" i="105"/>
  <c r="T213" i="105" s="1"/>
  <c r="U151" i="105"/>
  <c r="U213" i="105" s="1"/>
  <c r="U130" i="105"/>
  <c r="U192" i="105" s="1"/>
  <c r="T130" i="105"/>
  <c r="T192" i="105" s="1"/>
  <c r="T137" i="105"/>
  <c r="T199" i="105" s="1"/>
  <c r="U147" i="105"/>
  <c r="U137" i="105" s="1"/>
  <c r="U199" i="105" s="1"/>
  <c r="T157" i="105"/>
  <c r="T219" i="105" s="1"/>
  <c r="U157" i="105"/>
  <c r="U219" i="105" s="1"/>
  <c r="T156" i="105"/>
  <c r="T218" i="105" s="1"/>
  <c r="U156" i="105"/>
  <c r="U218" i="105" s="1"/>
  <c r="U275" i="105"/>
  <c r="U297" i="105" s="1"/>
  <c r="T297" i="105"/>
  <c r="T288" i="105"/>
  <c r="U288" i="105"/>
  <c r="T271" i="105"/>
  <c r="S293" i="105"/>
  <c r="U268" i="105"/>
  <c r="U290" i="105" s="1"/>
  <c r="T290" i="105"/>
  <c r="T295" i="105"/>
  <c r="U273" i="105"/>
  <c r="U295" i="105" s="1"/>
  <c r="T159" i="105"/>
  <c r="T221" i="105" s="1"/>
  <c r="U159" i="105"/>
  <c r="U221" i="105" s="1"/>
  <c r="T136" i="105"/>
  <c r="T198" i="105" s="1"/>
  <c r="U146" i="105"/>
  <c r="U136" i="105" s="1"/>
  <c r="U198" i="105" s="1"/>
  <c r="S152" i="105"/>
  <c r="S214" i="105" s="1"/>
  <c r="T289" i="105"/>
  <c r="U267" i="105"/>
  <c r="U289" i="105" s="1"/>
  <c r="T19" i="42" l="1"/>
  <c r="E20" i="42"/>
  <c r="T70" i="42"/>
  <c r="E71" i="42"/>
  <c r="E101" i="42"/>
  <c r="T100" i="42"/>
  <c r="T293" i="105"/>
  <c r="U271" i="105"/>
  <c r="U293" i="105" s="1"/>
  <c r="U154" i="105"/>
  <c r="U216" i="105" s="1"/>
  <c r="T154" i="105"/>
  <c r="T216" i="105" s="1"/>
  <c r="T152" i="105"/>
  <c r="T214" i="105" s="1"/>
  <c r="U152" i="105"/>
  <c r="U214" i="105" s="1"/>
  <c r="T20" i="42" l="1"/>
  <c r="E21" i="42"/>
  <c r="E72" i="42"/>
  <c r="T71" i="42"/>
  <c r="T101" i="42"/>
  <c r="E102" i="42"/>
  <c r="T102" i="42" s="1"/>
  <c r="E22" i="42" l="1"/>
  <c r="T21" i="42"/>
  <c r="E73" i="42"/>
  <c r="T72" i="42"/>
  <c r="E23" i="42" l="1"/>
  <c r="T22" i="42"/>
  <c r="E74" i="42"/>
  <c r="T73" i="42"/>
  <c r="E24" i="42" l="1"/>
  <c r="T23" i="42"/>
  <c r="T74" i="42"/>
  <c r="E75" i="42"/>
  <c r="E25" i="42" l="1"/>
  <c r="T24" i="42"/>
  <c r="E76" i="42"/>
  <c r="T75" i="42"/>
  <c r="T25" i="42" l="1"/>
  <c r="E26" i="42"/>
  <c r="E77" i="42"/>
  <c r="T76" i="42"/>
  <c r="E27" i="42" l="1"/>
  <c r="T26" i="42"/>
  <c r="E78" i="42"/>
  <c r="T77" i="42"/>
  <c r="E28" i="42" l="1"/>
  <c r="T27" i="42"/>
  <c r="T78" i="42"/>
  <c r="E79" i="42"/>
  <c r="E29" i="42" l="1"/>
  <c r="T28" i="42"/>
  <c r="E80" i="42"/>
  <c r="T79" i="42"/>
  <c r="T29" i="42" l="1"/>
  <c r="E30" i="42"/>
  <c r="E81" i="42"/>
  <c r="T80" i="42"/>
  <c r="E31" i="42" l="1"/>
  <c r="T30" i="42"/>
  <c r="E82" i="42"/>
  <c r="T81" i="42"/>
  <c r="E32" i="42" l="1"/>
  <c r="T31" i="42"/>
  <c r="T82" i="42"/>
  <c r="E83" i="42"/>
  <c r="E33" i="42" l="1"/>
  <c r="T32" i="42"/>
  <c r="E84" i="42"/>
  <c r="T83" i="42"/>
  <c r="T33" i="42" l="1"/>
  <c r="E34" i="42"/>
  <c r="E85" i="42"/>
  <c r="T84" i="42"/>
  <c r="E35" i="42" l="1"/>
  <c r="T34" i="42"/>
  <c r="E86" i="42"/>
  <c r="T85" i="42"/>
  <c r="E36" i="42" l="1"/>
  <c r="T35" i="42"/>
  <c r="T86" i="42"/>
  <c r="E87" i="42"/>
  <c r="T36" i="42" l="1"/>
  <c r="E37" i="42"/>
  <c r="E88" i="42"/>
  <c r="T87" i="42"/>
  <c r="T37" i="42" l="1"/>
  <c r="E38" i="42"/>
  <c r="E89" i="42"/>
  <c r="T88" i="42"/>
  <c r="E39" i="42" l="1"/>
  <c r="T38" i="42"/>
  <c r="E90" i="42"/>
  <c r="T90" i="42" s="1"/>
  <c r="T89" i="42"/>
  <c r="T39" i="42" l="1"/>
  <c r="E40" i="42"/>
  <c r="E41" i="42" l="1"/>
  <c r="T40" i="42"/>
  <c r="T41" i="42" l="1"/>
  <c r="E42" i="42"/>
  <c r="E43" i="42" l="1"/>
  <c r="T42" i="42"/>
  <c r="E44" i="42" l="1"/>
  <c r="T43" i="42"/>
  <c r="E45" i="42" l="1"/>
  <c r="T44" i="42"/>
  <c r="E46" i="42" l="1"/>
  <c r="T45" i="42"/>
  <c r="E47" i="42" l="1"/>
  <c r="T46" i="42"/>
  <c r="E48" i="42" l="1"/>
  <c r="T47" i="42"/>
  <c r="E49" i="42" l="1"/>
  <c r="T48" i="42"/>
  <c r="T49" i="42" l="1"/>
  <c r="E50" i="42"/>
  <c r="E51" i="42" l="1"/>
  <c r="T50" i="42"/>
  <c r="T51" i="42" l="1"/>
  <c r="E52" i="42"/>
  <c r="E53" i="42" l="1"/>
  <c r="T53" i="42" s="1"/>
  <c r="T52" i="4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<sst xmlns="http://schemas.openxmlformats.org/spreadsheetml/2006/main" count="10572" uniqueCount="570">
  <si>
    <t>Program Life</t>
  </si>
  <si>
    <t>Incentives</t>
  </si>
  <si>
    <t>All</t>
  </si>
  <si>
    <t>Unit Impact</t>
  </si>
  <si>
    <t>Program Delivery Costs</t>
  </si>
  <si>
    <t>Participant Cost</t>
  </si>
  <si>
    <t>Global Parameters</t>
  </si>
  <si>
    <t>Units:</t>
  </si>
  <si>
    <t>%</t>
  </si>
  <si>
    <t>Utility ↓</t>
  </si>
  <si>
    <t>Other Global Parameters ↓</t>
  </si>
  <si>
    <t>Data Value</t>
  </si>
  <si>
    <t>Source/Assumptions</t>
  </si>
  <si>
    <t>ENS</t>
  </si>
  <si>
    <t>Inflation Rate</t>
  </si>
  <si>
    <t>TRC Discount Rate</t>
  </si>
  <si>
    <t>PAC Discount Rate</t>
  </si>
  <si>
    <t>PCT Discount Rate</t>
  </si>
  <si>
    <t>RIM Discount Rate</t>
  </si>
  <si>
    <t>SCT Discount Rate</t>
  </si>
  <si>
    <t>NSP</t>
  </si>
  <si>
    <t>0 = event duration not needed</t>
  </si>
  <si>
    <t>hours</t>
  </si>
  <si>
    <t>Utility</t>
  </si>
  <si>
    <t>DR Options</t>
  </si>
  <si>
    <t>Hours</t>
  </si>
  <si>
    <t>Assumptions Documentation</t>
  </si>
  <si>
    <t xml:space="preserve">Based on conservative assumption that top 35 hours in the winter will account for 95% of system peak load. </t>
  </si>
  <si>
    <t>0 = lifetime not applicable</t>
  </si>
  <si>
    <t>years</t>
  </si>
  <si>
    <t>Technology Life</t>
  </si>
  <si>
    <t>Various</t>
  </si>
  <si>
    <t xml:space="preserve"> Forecast Year →                                    Avoided Cost Type ↓</t>
  </si>
  <si>
    <t>T&amp;D Capacity ($/kW-yr)</t>
  </si>
  <si>
    <t>43.4 in 2021 escalated by 2% per year (per Nov 4 email)</t>
  </si>
  <si>
    <t>Generation Capacity ($/kW-yr)</t>
  </si>
  <si>
    <t>2023-2045: PRM Adjusted Fitted Series - "AVC 2.0C NPV 2023" provided August 20, 2021
2021-2022: levelized cost of capacity, Base Scenario  from 2014 IRP. (per Nov 4 email)</t>
  </si>
  <si>
    <r>
      <rPr>
        <b/>
        <sz val="11"/>
        <color theme="1"/>
        <rFont val="Calibri"/>
        <family val="2"/>
      </rPr>
      <t xml:space="preserve">
</t>
    </r>
    <r>
      <rPr>
        <b/>
        <sz val="11"/>
        <color theme="1"/>
        <rFont val="Arial"/>
        <family val="2"/>
        <scheme val="minor"/>
      </rPr>
      <t xml:space="preserve">Utility </t>
    </r>
    <r>
      <rPr>
        <b/>
        <sz val="11"/>
        <color theme="1"/>
        <rFont val="Calibri"/>
        <family val="2"/>
      </rPr>
      <t>↓</t>
    </r>
  </si>
  <si>
    <r>
      <t xml:space="preserve">Customer Class </t>
    </r>
    <r>
      <rPr>
        <b/>
        <sz val="11"/>
        <color theme="1"/>
        <rFont val="Calibri"/>
        <family val="2"/>
      </rPr>
      <t>↓</t>
    </r>
  </si>
  <si>
    <t>Line Loss %</t>
  </si>
  <si>
    <t>Small Commercial</t>
  </si>
  <si>
    <t>Large Commercial</t>
  </si>
  <si>
    <t>Small Industrial</t>
  </si>
  <si>
    <t>Large Industrial</t>
  </si>
  <si>
    <t>Interruptible Rider</t>
  </si>
  <si>
    <t>Residential</t>
  </si>
  <si>
    <t>EV</t>
  </si>
  <si>
    <t>One-time $</t>
  </si>
  <si>
    <r>
      <t xml:space="preserve">DR Option </t>
    </r>
    <r>
      <rPr>
        <b/>
        <sz val="11"/>
        <color theme="1"/>
        <rFont val="Calibri"/>
        <family val="2"/>
      </rPr>
      <t>↓</t>
    </r>
  </si>
  <si>
    <t>Program Development Cost (one-time $)</t>
  </si>
  <si>
    <t>DLC</t>
  </si>
  <si>
    <t>Provided in the "Program Dev Costs-assumptions" tab</t>
  </si>
  <si>
    <t>C&amp;I Curtailment</t>
  </si>
  <si>
    <t>Dynamic Pricing</t>
  </si>
  <si>
    <t>BTM Battery Control</t>
  </si>
  <si>
    <t>EV Charging Control</t>
  </si>
  <si>
    <t>Time-of-Use Rates (TOU)</t>
  </si>
  <si>
    <t>Behavioral DR</t>
  </si>
  <si>
    <t>FTE cost</t>
  </si>
  <si>
    <t>E1 share in FTE costs</t>
  </si>
  <si>
    <t>NSP share in FTE costs</t>
  </si>
  <si>
    <t>DERMS Integration Costs</t>
  </si>
  <si>
    <t>E1 share in DERMS Integration Costs</t>
  </si>
  <si>
    <t>NSP share in DERMS Integration Costs</t>
  </si>
  <si>
    <t>-Assumed 1.5 FTE @$202,000 is required for offering this rate to all customer classes.
-Devices are not directly controlled during DR events; DERMS used for event calling and viewing/verification of impacts; enabling tech is smart thermostats, so assumed same device integration costs as for DLC-thermostats.</t>
  </si>
  <si>
    <t>-Assumed 1 FTE @202,000 is required for program set up. 
-Assumed $6,000 one-time DERMS integration costs.</t>
  </si>
  <si>
    <t>Did not characterize TOU costs</t>
  </si>
  <si>
    <t>See column D</t>
  </si>
  <si>
    <r>
      <rPr>
        <b/>
        <sz val="11"/>
        <color theme="1"/>
        <rFont val="Calibri"/>
        <family val="2"/>
      </rPr>
      <t xml:space="preserve">
</t>
    </r>
    <r>
      <rPr>
        <b/>
        <sz val="11"/>
        <color theme="1"/>
        <rFont val="Arial"/>
        <family val="2"/>
        <scheme val="minor"/>
      </rPr>
      <t xml:space="preserve">DR Option </t>
    </r>
    <r>
      <rPr>
        <b/>
        <sz val="11"/>
        <color theme="1"/>
        <rFont val="Calibri"/>
        <family val="2"/>
      </rPr>
      <t>↓</t>
    </r>
  </si>
  <si>
    <t xml:space="preserve">Program Admin Costs </t>
  </si>
  <si>
    <r>
      <t xml:space="preserve">Cost Units </t>
    </r>
    <r>
      <rPr>
        <b/>
        <sz val="11"/>
        <color theme="1"/>
        <rFont val="Calibri"/>
        <family val="2"/>
      </rPr>
      <t>↓</t>
    </r>
  </si>
  <si>
    <t>$/yr</t>
  </si>
  <si>
    <t>Provided in the "Program Admin Costs-assumptions" tab</t>
  </si>
  <si>
    <t>Non-FTE costs (IT costs)</t>
  </si>
  <si>
    <t>E1 share in non-FTE costs</t>
  </si>
  <si>
    <t>NSP share in non-FTE costs</t>
  </si>
  <si>
    <t xml:space="preserve">-Assumed 1 FTE @$202,000 is required to annually administer the CPP rate. 
</t>
  </si>
  <si>
    <t>$/new participant</t>
  </si>
  <si>
    <r>
      <rPr>
        <b/>
        <sz val="11"/>
        <color theme="1"/>
        <rFont val="Calibri"/>
        <family val="2"/>
      </rPr>
      <t xml:space="preserve">
</t>
    </r>
    <r>
      <rPr>
        <b/>
        <sz val="11"/>
        <color theme="1"/>
        <rFont val="Arial"/>
        <family val="2"/>
        <scheme val="minor"/>
      </rPr>
      <t xml:space="preserve">DR Sub Option </t>
    </r>
    <r>
      <rPr>
        <b/>
        <sz val="11"/>
        <color theme="1"/>
        <rFont val="Calibri"/>
        <family val="2"/>
      </rPr>
      <t>↓</t>
    </r>
  </si>
  <si>
    <r>
      <t xml:space="preserve">Cost Units </t>
    </r>
    <r>
      <rPr>
        <b/>
        <sz val="11"/>
        <color theme="1"/>
        <rFont val="Calibri"/>
        <family val="2"/>
      </rPr>
      <t xml:space="preserve">↓
Scenario  → </t>
    </r>
  </si>
  <si>
    <t>DLC-Switch-Water Heating</t>
  </si>
  <si>
    <t>DLC-BYOD-Water Heating</t>
  </si>
  <si>
    <t>DLC-Thermostat-DI-Central Heat Pump</t>
  </si>
  <si>
    <t>DLC-Thermostat-BYOT-Central Heat Pump</t>
  </si>
  <si>
    <t>DLC-Thermostat-DI-Baseboard Heating</t>
  </si>
  <si>
    <t>DLC-Thermostat-BYOT-Baseboard Heating</t>
  </si>
  <si>
    <t>DLC-Thermostat-DI-MSHP</t>
  </si>
  <si>
    <t>DLC-Thermostat-BYOT-MSHP</t>
  </si>
  <si>
    <t>DLC-Thermostat-HVAC</t>
  </si>
  <si>
    <t>C&amp;I Curtailment-Turnkey-Manual HVAC Control</t>
  </si>
  <si>
    <t>C&amp;I Curtailment-Turnkey-Auto-DR HVAC Control</t>
  </si>
  <si>
    <t>C&amp;I Curtailment-Turnkey-Standard Lighting Control</t>
  </si>
  <si>
    <t>C&amp;I Curtailment-Turnkey-Advanced Lighting Control</t>
  </si>
  <si>
    <t>C&amp;I Curtailment-Turnkey-Water Heating Control</t>
  </si>
  <si>
    <t>C&amp;I Curtailment-Turnkey-Industrial</t>
  </si>
  <si>
    <t>C&amp;I Curtailment-Enabling Tech-Manual HVAC Control</t>
  </si>
  <si>
    <t>C&amp;I Curtailment-Enabling Tech-Auto-DR HVAC Control</t>
  </si>
  <si>
    <t>C&amp;I Curtailment-Enabling Tech-Standard Lighting Control</t>
  </si>
  <si>
    <t>C&amp;I Curtailment-Enabling Tech-Advanced Lighting Control</t>
  </si>
  <si>
    <t>C&amp;I Curtailment-Enabling Tech-Water Heating Control</t>
  </si>
  <si>
    <t>C&amp;I Curtailment-Enabling Tech-Industrial</t>
  </si>
  <si>
    <t>Dynamic Pricing with enabling tech.</t>
  </si>
  <si>
    <t>Dynamic Pricing w/o enabling tech.</t>
  </si>
  <si>
    <t>Total Costs</t>
  </si>
  <si>
    <t>Annual Marketing Costs</t>
  </si>
  <si>
    <t>E1 share in marketing costs</t>
  </si>
  <si>
    <t>NSP share in marketing costs</t>
  </si>
  <si>
    <t>Upfront Enrollment Incentives</t>
  </si>
  <si>
    <t>-Assumed $5 marketing and recruitment costs for WH control
-No separate sign-up incentive for DI-WH control (participant gets free installed equipment)</t>
  </si>
  <si>
    <t>-Assumed $5 marketing and recruitment costs for WH control
-$5 sign-up incentive</t>
  </si>
  <si>
    <t>-Assumed $25 marketing costs, no DR sign-up incentive to customer under a DI approach since customer gets installed equipment for free</t>
  </si>
  <si>
    <t>-Assumed $25 marketing costs, plus $25 sign-up incentive to customer under BYOT</t>
  </si>
  <si>
    <t>-Assumed $5 marketing and recruitment costs; no sign-up incentives.</t>
  </si>
  <si>
    <t>-Assumed $5 marketing and recruitment costs and $5 sign-up incentives.</t>
  </si>
  <si>
    <t>-Assumed $10 marketing and recruitment costs for WH control
-No separate sign-up incentive for WH control.</t>
  </si>
  <si>
    <t>-Assumed $10 marketing and recruitment costs for WH control
-$10 sign-up incentive for WH control.</t>
  </si>
  <si>
    <t>-Assumed $50 marketing costs, plus $50 sign-up incentive to customer</t>
  </si>
  <si>
    <t>Assumed to be double of residential</t>
  </si>
  <si>
    <t>Same assumption as dynamic pricing.</t>
  </si>
  <si>
    <t>C&amp;I Curtailment- Manual HVAC Control</t>
  </si>
  <si>
    <t>C&amp;I Curtailment- Auto-DR HVAC Control</t>
  </si>
  <si>
    <t>C&amp;I Curtailment- Standard Lighting Control</t>
  </si>
  <si>
    <t>C&amp;I Curtailment- Advanced Lighting Control</t>
  </si>
  <si>
    <t>C&amp;I Curtailment- Water Heating Control</t>
  </si>
  <si>
    <t>C&amp;I Curtailment- Other</t>
  </si>
  <si>
    <t>C&amp;I Curtailment- Industrial</t>
  </si>
  <si>
    <t xml:space="preserve">Based on industry experience; costs increase with customer size, with increasing need for one-on-one marketing approaches, development of customized load reduction strategies, etc. </t>
  </si>
  <si>
    <t xml:space="preserve">Assumed $50 recruitment cost per EV for charging control. </t>
  </si>
  <si>
    <t>In this delivery type, ENS and NSP are jointly responsible for customer recruitment</t>
  </si>
  <si>
    <t>C&amp;I Curtailment-Enabling Tech-Other</t>
  </si>
  <si>
    <t>See column E</t>
  </si>
  <si>
    <r>
      <rPr>
        <b/>
        <sz val="11"/>
        <color theme="1"/>
        <rFont val="Calibri"/>
        <family val="2"/>
      </rPr>
      <t xml:space="preserve">
</t>
    </r>
    <r>
      <rPr>
        <b/>
        <sz val="11"/>
        <color theme="1"/>
        <rFont val="Arial"/>
        <family val="2"/>
        <scheme val="minor"/>
      </rPr>
      <t xml:space="preserve">Customer Class </t>
    </r>
    <r>
      <rPr>
        <b/>
        <sz val="11"/>
        <color theme="1"/>
        <rFont val="Calibri"/>
        <family val="2"/>
      </rPr>
      <t>↓</t>
    </r>
  </si>
  <si>
    <t>Cost Units</t>
  </si>
  <si>
    <t>Technology Enablement Costs</t>
  </si>
  <si>
    <t>LU</t>
  </si>
  <si>
    <t>No enabling tech costs for BYO approach; customer brings the smart technology</t>
  </si>
  <si>
    <t>Incremental costs are split between DR and EE based on PV of lifetime measure benefits</t>
  </si>
  <si>
    <t>$/new kW</t>
  </si>
  <si>
    <t>20% of battery stack cost at $2200/kW provided as incentive to the customer. The $2200/kW cost is based on data from Guidehouse Insights reports.</t>
  </si>
  <si>
    <t xml:space="preserve">No Auto-DR incentives provided to customers in the turnkey type of delivery where NSP contracts with an aggregator.
</t>
  </si>
  <si>
    <t xml:space="preserve">No Auto-DR enablement costs; this is manual HVAC control. </t>
  </si>
  <si>
    <t>No Auto-DR enablement costs for this type of sub-option.</t>
  </si>
  <si>
    <t>No separate Auto-DR enablement costs for WH control for Large C&amp;I</t>
  </si>
  <si>
    <t>Assumed industrial customers do primarily manual DR. So no Auto-DR enablement costs.</t>
  </si>
  <si>
    <t>No technology enablement.</t>
  </si>
  <si>
    <t>NSP does not bear any enabling tech costs in this type of delivery.</t>
  </si>
  <si>
    <t>No Auto-DR enablement assumed.</t>
  </si>
  <si>
    <t>C&amp;I Curtailment-Turnkey-Other</t>
  </si>
  <si>
    <t>Measure Characteristics</t>
  </si>
  <si>
    <t>Unique Measure Names</t>
  </si>
  <si>
    <t>Measure Life</t>
  </si>
  <si>
    <t>NTG</t>
  </si>
  <si>
    <t>Incremental Cost</t>
  </si>
  <si>
    <t>Programmable thermostat | Instant Savings</t>
  </si>
  <si>
    <t>Programmable Thermostats | First Nations Home Retrofits</t>
  </si>
  <si>
    <t>Smart thermostats for electric baseboards | Efficient Products Installation</t>
  </si>
  <si>
    <t>Smart thermostats for mini-split heat pumps | Efficient Products Installation</t>
  </si>
  <si>
    <t>Thermostatic Shower Valves -2.5gpm - MURB | Efficient Products Installation</t>
  </si>
  <si>
    <t>Thermostatic Shower Valves -2.5gpm | Efficient Products Installation</t>
  </si>
  <si>
    <t>Smart thermostats for electric baseboards | Instant Savings</t>
  </si>
  <si>
    <t>Smart thermostats for mini-split heat pumps | Instant Savings</t>
  </si>
  <si>
    <t>Smart thermostats for electric baseboards | Small Business Energy Solutions</t>
  </si>
  <si>
    <t>Smart thermostats for mini-split heat pumps | Small Business Energy Solutions</t>
  </si>
  <si>
    <t>Smart thermostats for central air source heat pump  | Small Business Energy Solutions</t>
  </si>
  <si>
    <t>Smart thermostats for electric baseboards | Business Energy Rebates</t>
  </si>
  <si>
    <t>Smart thermostats for mini-split heat pumps | Business Energy Rebates</t>
  </si>
  <si>
    <t>Smart thermostats for central air source heat pump  | Business Energy Rebates</t>
  </si>
  <si>
    <t>Smart thermostats for central air source heat pump  | Efficient Products Installation</t>
  </si>
  <si>
    <t>Smart Tstat All</t>
  </si>
  <si>
    <t>EE Lifetime Benefits</t>
  </si>
  <si>
    <t>DR Lifetime Benefits</t>
  </si>
  <si>
    <t>Per Unit Avoided Cost Benefits by Year</t>
  </si>
  <si>
    <t>Year 10</t>
  </si>
  <si>
    <t>Per Unit PV Avoided Cost Gross Benefits for EE/DR Measures by Installation Year and Avoided Cost Vintage</t>
  </si>
  <si>
    <t>DR Sub Option ↓</t>
  </si>
  <si>
    <t>Customer Class ↓</t>
  </si>
  <si>
    <t>Unit Basis</t>
  </si>
  <si>
    <t># Units/Participant</t>
  </si>
  <si>
    <t>Opt Out</t>
  </si>
  <si>
    <t>Total Peak (kW)</t>
  </si>
  <si>
    <t>Total Customer Count</t>
  </si>
  <si>
    <t>PV DR Benefits</t>
  </si>
  <si>
    <t>Sector1</t>
  </si>
  <si>
    <t>EE Measure Name</t>
  </si>
  <si>
    <t>PV EE Benefits (no Carbon)</t>
  </si>
  <si>
    <t>DR Portion of Benefits (no carbon)</t>
  </si>
  <si>
    <t>DR Portion of Benefits (with carbon)</t>
  </si>
  <si>
    <t>Measure Name | Program Component</t>
  </si>
  <si>
    <t>Installation Year</t>
  </si>
  <si>
    <t>2025 Units</t>
  </si>
  <si>
    <t>Res</t>
  </si>
  <si>
    <t>C&amp;I</t>
  </si>
  <si>
    <t>No Carbon</t>
  </si>
  <si>
    <t>With Carbon</t>
  </si>
  <si>
    <t>Smart Tstat Res | CPP</t>
  </si>
  <si>
    <t>Smart Tstat C&amp;I | CPP</t>
  </si>
  <si>
    <t>DR EE Measure Map</t>
  </si>
  <si>
    <t>DR Measure</t>
  </si>
  <si>
    <t>EE Measure</t>
  </si>
  <si>
    <t>Energy Management Information Systems  | EMIS</t>
  </si>
  <si>
    <t>Large</t>
  </si>
  <si>
    <t>CPP: DLC-Thermostat-DI-Baseboard Heating</t>
  </si>
  <si>
    <t>CPP: DLC-Thermostat-DI-MSHP</t>
  </si>
  <si>
    <t>Small</t>
  </si>
  <si>
    <t>CPP: DLC-Thermostat-DI-Central Heat Pump</t>
  </si>
  <si>
    <t>EE Participation</t>
  </si>
  <si>
    <t>Selected_Vintages</t>
  </si>
  <si>
    <t>Select_Meas_Outputs</t>
  </si>
  <si>
    <t>MeasureNames</t>
  </si>
  <si>
    <t>Export_Cost_Test</t>
  </si>
  <si>
    <t>Participation (units)</t>
  </si>
  <si>
    <t>TRC</t>
  </si>
  <si>
    <t>varies</t>
  </si>
  <si>
    <r>
      <t xml:space="preserve">DR SubOption </t>
    </r>
    <r>
      <rPr>
        <b/>
        <sz val="11"/>
        <rFont val="Calibri"/>
        <family val="2"/>
      </rPr>
      <t>↓</t>
    </r>
  </si>
  <si>
    <r>
      <t xml:space="preserve">Scenario </t>
    </r>
    <r>
      <rPr>
        <b/>
        <sz val="11"/>
        <color theme="1"/>
        <rFont val="Calibri"/>
        <family val="2"/>
      </rPr>
      <t>→                              Incentive Unit ↓</t>
    </r>
  </si>
  <si>
    <t>$/participant/yr</t>
  </si>
  <si>
    <t>Same assumption as potential study</t>
  </si>
  <si>
    <t>Same assumption as Direct Install.</t>
  </si>
  <si>
    <t>Will not be offered</t>
  </si>
  <si>
    <t>Per participants impacts are almost the same as for WH control; so assumed incentives to be at par with WH control.</t>
  </si>
  <si>
    <t>scaled up w.r.t. residential based on number of units per customer</t>
  </si>
  <si>
    <t>$/kW-yr</t>
  </si>
  <si>
    <t>Assumed double of residential (average two units per customer)</t>
  </si>
  <si>
    <t>double of residential</t>
  </si>
  <si>
    <t>same as potential study assumptions</t>
  </si>
  <si>
    <t>Same as potential study assumptions</t>
  </si>
  <si>
    <t>$/kWh</t>
  </si>
  <si>
    <t>$/new participant/yr</t>
  </si>
  <si>
    <t xml:space="preserve">Assumed sign-up incentive of $5. </t>
  </si>
  <si>
    <t>Assumed sign-up incentive</t>
  </si>
  <si>
    <t>Double of residential</t>
  </si>
  <si>
    <t>assumed sign-up incentive</t>
  </si>
  <si>
    <t>$/new kW-yr</t>
  </si>
  <si>
    <r>
      <rPr>
        <b/>
        <sz val="11"/>
        <rFont val="Calibri"/>
        <family val="2"/>
      </rPr>
      <t xml:space="preserve">
</t>
    </r>
    <r>
      <rPr>
        <b/>
        <sz val="11"/>
        <rFont val="Arial"/>
        <family val="2"/>
        <scheme val="minor"/>
      </rPr>
      <t xml:space="preserve">DR Option </t>
    </r>
    <r>
      <rPr>
        <b/>
        <sz val="11"/>
        <rFont val="Calibri"/>
        <family val="2"/>
      </rPr>
      <t>↓</t>
    </r>
  </si>
  <si>
    <r>
      <rPr>
        <b/>
        <sz val="11"/>
        <rFont val="Calibri"/>
        <family val="2"/>
      </rPr>
      <t xml:space="preserve">
</t>
    </r>
    <r>
      <rPr>
        <b/>
        <sz val="11"/>
        <rFont val="Arial"/>
        <family val="2"/>
        <scheme val="minor"/>
      </rPr>
      <t xml:space="preserve">Customer Class </t>
    </r>
    <r>
      <rPr>
        <b/>
        <sz val="11"/>
        <rFont val="Calibri"/>
        <family val="2"/>
      </rPr>
      <t>↓</t>
    </r>
  </si>
  <si>
    <t>Per device fees under O&amp;M; delivery costs do not apply.</t>
  </si>
  <si>
    <t>Developed itemized program costs; therefore did not consider roll up of costs into a single delivery charge; assumed DRMS fees of $3/kW-yr.</t>
  </si>
  <si>
    <t xml:space="preserve">Reference: "Putting More Energy into Peak Savings: Integrating Demand Response and Energy Efficiency Programs in the Northeast and Mid-Atlantic"; by Brian Buckley, Northeast Energy Efficiency Partnerships (NEEP); 2016 ACEEE Summer Study on Energy Efficiency in Buildings; Information in the report for MetEd's Behavioral DR program indicates $4 per customer cost. This is halved based on the assumption that EE and DR will have the same vendor and platform for administering HER and BDR. </t>
  </si>
  <si>
    <t>$/participant</t>
  </si>
  <si>
    <t>O&amp;M Costs ($/participant)</t>
  </si>
  <si>
    <t>Assumed to be half of thermostats</t>
  </si>
  <si>
    <t>CA DR Potential Study, Phase II Appendix, LBNL, 2016;  $10 fixed O&amp;M cost per thermostat @1 thermostats per customer</t>
  </si>
  <si>
    <t>same scaling factor as unit impacts w.r.t. residential</t>
  </si>
  <si>
    <t>CA DR Potential Study, Phase II Appendix, LBNL, 2016.</t>
  </si>
  <si>
    <t>Not applicable</t>
  </si>
  <si>
    <t>No O&amp;M costs.</t>
  </si>
  <si>
    <t>assumed double of residential</t>
  </si>
  <si>
    <t>UCT</t>
  </si>
  <si>
    <t>PCT</t>
  </si>
  <si>
    <t>RIM</t>
  </si>
  <si>
    <t>SCT</t>
  </si>
  <si>
    <t>Program Development Cost</t>
  </si>
  <si>
    <t>Cost</t>
  </si>
  <si>
    <t>N/A</t>
  </si>
  <si>
    <t>Program Administrative Cost</t>
  </si>
  <si>
    <t>Program Delivery Cost</t>
  </si>
  <si>
    <t>Marketing &amp; Recruitment Cost</t>
  </si>
  <si>
    <t>Technology Enablement Cost</t>
  </si>
  <si>
    <t>O&amp;M Cost</t>
  </si>
  <si>
    <t>Transfer</t>
  </si>
  <si>
    <t>Benefit</t>
  </si>
  <si>
    <t>Avoided Generation Capacity Costs</t>
  </si>
  <si>
    <t>Avoided T&amp;D Capacity Costs</t>
  </si>
  <si>
    <t>Avoided Energy Purchases</t>
  </si>
  <si>
    <t>Steady State participation (%)</t>
  </si>
  <si>
    <r>
      <t xml:space="preserve">DR Sub Option </t>
    </r>
    <r>
      <rPr>
        <b/>
        <sz val="11"/>
        <rFont val="Calibri"/>
        <family val="2"/>
      </rPr>
      <t>↓</t>
    </r>
  </si>
  <si>
    <r>
      <t xml:space="preserve">Customer Class </t>
    </r>
    <r>
      <rPr>
        <b/>
        <sz val="11"/>
        <rFont val="Calibri"/>
        <family val="2"/>
      </rPr>
      <t>↓</t>
    </r>
  </si>
  <si>
    <r>
      <t xml:space="preserve">Building Type </t>
    </r>
    <r>
      <rPr>
        <b/>
        <sz val="11"/>
        <color theme="1"/>
        <rFont val="Calibri"/>
        <family val="2"/>
      </rPr>
      <t xml:space="preserve">↓
 Scenario →     </t>
    </r>
  </si>
  <si>
    <r>
      <t xml:space="preserve">Unit </t>
    </r>
    <r>
      <rPr>
        <b/>
        <sz val="11"/>
        <color theme="1"/>
        <rFont val="Calibri"/>
        <family val="2"/>
      </rPr>
      <t xml:space="preserve">↓
</t>
    </r>
    <r>
      <rPr>
        <b/>
        <sz val="11"/>
        <color theme="1"/>
        <rFont val="Arial"/>
        <family val="2"/>
        <scheme val="minor"/>
      </rPr>
      <t xml:space="preserve">        </t>
    </r>
  </si>
  <si>
    <t>Residential LI</t>
  </si>
  <si>
    <t>lower participation than for market rate</t>
  </si>
  <si>
    <t>% of eligible customers</t>
  </si>
  <si>
    <t>Residential Market Rate</t>
  </si>
  <si>
    <t>Assumed higher participation than thermostats since less impact on customers.</t>
  </si>
  <si>
    <t>Assumed lower participation than Market Rate customers</t>
  </si>
  <si>
    <t>Assumed 50% of customers receiving the free thermostat enroll in DR</t>
  </si>
  <si>
    <t>Manufacturing</t>
  </si>
  <si>
    <t>Greater likelihood of participation in WH control than SH control.</t>
  </si>
  <si>
    <t>% of total customers</t>
  </si>
  <si>
    <t>Miscellaneous</t>
  </si>
  <si>
    <t>Offices</t>
  </si>
  <si>
    <t>Retail Trade</t>
  </si>
  <si>
    <t>Services</t>
  </si>
  <si>
    <t xml:space="preserve">Assumed 25% participation from eligible customers. </t>
  </si>
  <si>
    <t>Lower participation than market rate</t>
  </si>
  <si>
    <t xml:space="preserve">No longer applicable; sub-options are split by equipment type. </t>
  </si>
  <si>
    <t>Assumed 25% of customers receiving the free thermostat enroll in DR.</t>
  </si>
  <si>
    <t>Hard to target- assumed low participation levels.</t>
  </si>
  <si>
    <t xml:space="preserve">Assumed 50% of the customers with batteries use it for dispatch during DR events. </t>
  </si>
  <si>
    <t>Large offices are suitable candidates for DR participation.</t>
  </si>
  <si>
    <t>Lower likelihood of participation than offices.</t>
  </si>
  <si>
    <t>Program information from other jurisdictions indicate that manufacturing is a significant contributor to DR.</t>
  </si>
  <si>
    <t>Assumed participation for miscellaneous facility types.</t>
  </si>
  <si>
    <t>Retail facilities are good candidates for DR; therefore assumed relatively high participation.</t>
  </si>
  <si>
    <t>Not applicable to this customer class</t>
  </si>
  <si>
    <t>19479 NSP Utility and Review Board Time Varying Pricing Project Submission; assumed 15% participation of res in CPP. Same assumption applied to all customer classes.</t>
  </si>
  <si>
    <t>Not applicable.</t>
  </si>
  <si>
    <t>Same assumption as dynamic pricing</t>
  </si>
  <si>
    <t>DR SubOption ↓</t>
  </si>
  <si>
    <t>Forecast Year →                           Building Type ↓</t>
  </si>
  <si>
    <t>From Process?</t>
  </si>
  <si>
    <t>1- Smart WH</t>
  </si>
  <si>
    <t>Smart WH from 2019 GH Baseline study</t>
  </si>
  <si>
    <t>% of electric heating households with smart thermostats from NSP 2020 Res End Use survey</t>
  </si>
  <si>
    <t>1 - Percentage of respondents with smart WH from 2019 GH baseline study</t>
  </si>
  <si>
    <t>Percentage of respondents with smart WH from 2019 GH baseline study</t>
  </si>
  <si>
    <t>Electric heating for BNI from EE globals</t>
  </si>
  <si>
    <t>This is the 1-saturation for EMS in the C&amp;I sector. Multiplied by 50% to account for Turnkey vs Enabling Tech options</t>
  </si>
  <si>
    <t>Customers from ProCESS model, Energy Management Information Systems  | EMIS.  Multiplied by 50% to account for Turnkey vs Enabling Tech options</t>
  </si>
  <si>
    <t>This is the 1-saturation for advanced lighting controls in the C&amp;I sector. Placeholder value for base year in the EE potential study. Take saturation from EE potential study. Multiplied by 50% to account for Turnkey vs Enabling Tech options</t>
  </si>
  <si>
    <t>Customers from ProCESS model, Business Energy Rebates. Multiplied by 50% to account for Turnkey vs Enabling Tech options</t>
  </si>
  <si>
    <t>Multiplied by 50% to account for Turnkey vs Enabling Tech options</t>
  </si>
  <si>
    <t>From ProCESS Exports; participants split between DLC DI and CPP</t>
  </si>
  <si>
    <t>1-eligible customers for pricing with enabling tech</t>
  </si>
  <si>
    <t>Sector</t>
  </si>
  <si>
    <t>Scenario</t>
  </si>
  <si>
    <t>End Use</t>
  </si>
  <si>
    <t>Units</t>
  </si>
  <si>
    <t>Eligible Customers</t>
  </si>
  <si>
    <t>% of Customers with End use and Installed EE</t>
  </si>
  <si>
    <t>% of Customers with End use Eligible for program</t>
  </si>
  <si>
    <t>Source</t>
  </si>
  <si>
    <t>Large C&amp;I</t>
  </si>
  <si>
    <t>ENS_ProcessModel_Outputs_Scen_1.5B-5.xlsx</t>
  </si>
  <si>
    <t xml:space="preserve">Per Gross GWh </t>
  </si>
  <si>
    <t>N/ALarge C&amp;I</t>
  </si>
  <si>
    <t>Baseboard Heating</t>
  </si>
  <si>
    <t>Per Thermostat</t>
  </si>
  <si>
    <t>1- % of electric heating households with smart thermostats from NSP 2020 Res End Use survey</t>
  </si>
  <si>
    <t>Baseboard HeatingResidential</t>
  </si>
  <si>
    <t>Ductless Mini Split</t>
  </si>
  <si>
    <t>Ductless Mini SplitResidential</t>
  </si>
  <si>
    <t>Luminaire Level Lighting Control (LLLC) - High Impact Application | Business Energy Rebates</t>
  </si>
  <si>
    <t>Per fixture</t>
  </si>
  <si>
    <t>Luminaire Level Lighting Control (LLLC) - Low Impact Application | Business Energy Rebates</t>
  </si>
  <si>
    <t>Small C&amp;I</t>
  </si>
  <si>
    <t>Heat Pump Heating</t>
  </si>
  <si>
    <t>Heat Pump HeatingSmall C&amp;I</t>
  </si>
  <si>
    <t>Heat Pump HeatingResidential</t>
  </si>
  <si>
    <t>Baseboard HeatingSmall C&amp;I</t>
  </si>
  <si>
    <t>Ductless Mini SplitSmall C&amp;I</t>
  </si>
  <si>
    <t>% of Full Participation</t>
  </si>
  <si>
    <t>Assumed program ramps up using a S-shaped curve. This is a standard assumption used in similar potential studies based on program experience and discussions with DR service providers. Replaced 2017 start-year with 2021.</t>
  </si>
  <si>
    <t>2021-2023 % based on pilot participation (125 participants between water heaters and thermostats) and number of units from E1 reporting (609 households with thermostats, 49 with water heaters). See "DR Part and Unit Impacts Info_June 24_updated.docx" and "TVP Rates Application notes.docx"). BYO activities to start 2022</t>
  </si>
  <si>
    <t xml:space="preserve">Assumed program ramps up using a S-shaped curve. This is a standard assumption used in similar potential studies based on program experience and discussions with DR service providers. </t>
  </si>
  <si>
    <t xml:space="preserve">Assumed program ramps up over a 5-year period using a S-shaped curve. This is a standard assumption used in similar potential studies based on program experience and discussions with DR service providers. </t>
  </si>
  <si>
    <t>Full AMI deployment in ENS's service territory expected by 2021. The analysis includes marketing expenditures to enroll roughly 15 percent of residential customers onto a CPP tariff by 2022 and to maintain enrollment over time.</t>
  </si>
  <si>
    <t>Calibrated to TVP pilot</t>
  </si>
  <si>
    <t>Ramp is accounted for in Battery Saturation and Load Forecast</t>
  </si>
  <si>
    <t>% of Participating Customers</t>
  </si>
  <si>
    <t>Forecast Year --&gt; 
DR Suboption↓</t>
  </si>
  <si>
    <t>Rate Class</t>
  </si>
  <si>
    <t>Other</t>
  </si>
  <si>
    <t>Hot Water</t>
  </si>
  <si>
    <t>HVAC</t>
  </si>
  <si>
    <t>Winter</t>
  </si>
  <si>
    <t>Forecast Year →                   Customer Class ↓</t>
  </si>
  <si>
    <t xml:space="preserve"> Unit ↓</t>
  </si>
  <si>
    <t>Assumptions Basis</t>
  </si>
  <si>
    <t>Assumes water heater is completely turned off during the DR event. This translates into approximately 0.5 kW reduction per unit. 
Additionally, the "ENSC Demand Management Program Options 2014 05-31 FINAL with other programs info.doc" indicates 0.5 kW reduction per water heater.</t>
  </si>
  <si>
    <t>Same as DLC assumption</t>
  </si>
  <si>
    <t>Assumed per unit impacts to be same as residential. Used 2019 baseline study to estimate penetration.</t>
  </si>
  <si>
    <t>Zeroed out HVAC impacts because thermostat impacts are already represented separately</t>
  </si>
  <si>
    <t>Double of Res based on assumption that on an average customers have two units of equipment</t>
  </si>
  <si>
    <t xml:space="preserve">"2019 Residential Energy Storage Demand Response Demonstration Evaluation- Summer Season"; prepared for National Grid and Unitil; Feb 10,2020; The average size of participating batteries was 6.5 kW in terms of max. discharge capacity; batteries saved on an average 5.5 kW per unit, which implies 85% savings of the max. discharge capacity of batteries. </t>
  </si>
  <si>
    <t>Based on California Demand Response Potential Study Final Report, Phase 2 Results' Table G-17, HVAC End-use shed filters.</t>
  </si>
  <si>
    <t>California Demand Response Potential Study Final Report, Phase 2 Results' Table G-17, HVAC End-use shed filters. This is the average 4-hr. shed fraction from a portion of the HVAC load that can be curtailed through Auto-DR. The shed estimates are based off the Lawrence Berkeley National Lab's extensive Auto-DR field experience.</t>
  </si>
  <si>
    <t>California Demand Response Potential Study Final Report, Phase 2 Results' Table G-29, Commercial Lighting End-use shed filters.</t>
  </si>
  <si>
    <t>California Demand Response Potential Study Final Report, Phase 2 Results' Table G-29, Commercial Lighting End-use shed filters; advanced lighting controls refer to zonal and luminaire controls.</t>
  </si>
  <si>
    <t>Grid Integration of Aggregate Demand Response, Part I: Load Availability Profiles and Constraints for the Western Interconnection; September 2013;</t>
  </si>
  <si>
    <t xml:space="preserve">Miscellaneous industry types; assumed approximately 5% of the load could be reduced. </t>
  </si>
  <si>
    <t>Reference: "Assessment of Industrial Load for Demand Response", Oak Ridge National Lab, 2013. This is primarily thermal load and therefore curtailment capability is highly dependent on the type of process. Assumed relatively conservative 10% load reduction estimate.</t>
  </si>
  <si>
    <t>19479 NSP Utility and Review Board Time Varying Pricing Project Submission (Based on 150 cents/kWh CPP rate)</t>
  </si>
  <si>
    <t xml:space="preserve">CA DR Potential Study Phase II Appendix; </t>
  </si>
  <si>
    <t>Navigant Behavioral DR benchmarking study, 2017. Evaluation of PG&amp;E's Two-Year Behavioral Demand Response Study; Presented at 35th PLMA conference; April 4, 2017.</t>
  </si>
  <si>
    <t>Event Opt Out Rate</t>
  </si>
  <si>
    <t>This requires mandatory participation with firm capacity commitment; therefore zero opt-out.</t>
  </si>
  <si>
    <t>Customers are enrolled in the rate; event-based opt-out not separately considered.</t>
  </si>
  <si>
    <t>Assumed to be the same as batteries</t>
  </si>
  <si>
    <t>Assumed 0% opt-out for DR events</t>
  </si>
  <si>
    <t>kW per participant</t>
  </si>
  <si>
    <t>% of enduse load</t>
  </si>
  <si>
    <t>% of battery load</t>
  </si>
  <si>
    <r>
      <t xml:space="preserve">Utility </t>
    </r>
    <r>
      <rPr>
        <b/>
        <sz val="11"/>
        <color theme="1"/>
        <rFont val="Calibri"/>
        <family val="2"/>
      </rPr>
      <t>↓</t>
    </r>
  </si>
  <si>
    <r>
      <rPr>
        <b/>
        <sz val="11"/>
        <color theme="1"/>
        <rFont val="Calibri"/>
        <family val="2"/>
      </rPr>
      <t xml:space="preserve"> Curtailment End Use</t>
    </r>
    <r>
      <rPr>
        <b/>
        <sz val="11"/>
        <color theme="1"/>
        <rFont val="Arial"/>
        <family val="2"/>
        <scheme val="minor"/>
      </rPr>
      <t xml:space="preserve"> </t>
    </r>
    <r>
      <rPr>
        <b/>
        <sz val="11"/>
        <color theme="1"/>
        <rFont val="Calibri"/>
        <family val="2"/>
      </rPr>
      <t>↓</t>
    </r>
  </si>
  <si>
    <r>
      <rPr>
        <b/>
        <sz val="11"/>
        <color theme="1"/>
        <rFont val="Calibri"/>
        <family val="2"/>
      </rPr>
      <t>Customer Class</t>
    </r>
    <r>
      <rPr>
        <b/>
        <sz val="11"/>
        <color theme="1"/>
        <rFont val="Arial"/>
        <family val="2"/>
        <scheme val="minor"/>
      </rPr>
      <t xml:space="preserve"> </t>
    </r>
    <r>
      <rPr>
        <b/>
        <sz val="11"/>
        <color theme="1"/>
        <rFont val="Calibri"/>
        <family val="2"/>
      </rPr>
      <t>↓</t>
    </r>
  </si>
  <si>
    <t xml:space="preserve">                              Building Type ↓</t>
  </si>
  <si>
    <t>Forecast Year →                     
Scenario↓</t>
  </si>
  <si>
    <t>Heat pumps + geothermal heat pump + other unspecified in NSP survey. For Res market rate, we created a weighted average across middle-income and high-income customer classes according to NSP End Use Customer Survey. Forecast is taken from shape of heat pump forecast in the 2020 load forecast report "20200506 M09707 NSPI to NSUARB 2020 Load Forecast Report REDACTED REVISED.pdf" page 28</t>
  </si>
  <si>
    <t>previous input</t>
  </si>
  <si>
    <t>Electric Furnace</t>
  </si>
  <si>
    <t>2021 number is a weighted average from "NSP End Use Customer Load Survey.xlxs", forecast from the shape of electric furnaces end use saturation in 2019 study. Note that there is a decline - may not be the correct forecast shape for baseboards</t>
  </si>
  <si>
    <t>From "NSP End Use Customer Load Survey.xlxs"</t>
  </si>
  <si>
    <t>Weighted average of 2021 from "NSP End Use Customer Load Survey.xlxs" middle- and high-income customers, Forecast is taken from shape of heat pump forecast in the 2020 load forecast report "20200506 M09707 NSPI to NSUARB 2020 Load Forecast Report REDACTED REVISED.pdf" page 28</t>
  </si>
  <si>
    <t>From "NSP End Use Customer Load Survey.xlxs", forecasted using shape from 2020 load forecast report</t>
  </si>
  <si>
    <t>From NSP 2020 Res End Use survey, 67% respondents had electric WH (weighted). Escalated with WH saturation shape from NSP 2021 LFR
----
Benchmark:From "Baseline Study revised June 18.docx", page 9. 77% total respondants have WH, 29% are non-electric, and 23% are in MF buildings likely using gas boilers</t>
  </si>
  <si>
    <t xml:space="preserve">From 2019 Baseline Study, 100% less non-electric WH and HPWH to obtain electric resistance WH.  Escalated with WH saturation shape from NSP 2021 LFR
</t>
  </si>
  <si>
    <t>Scenario 2</t>
  </si>
  <si>
    <t>PAC</t>
  </si>
  <si>
    <t>Building Type</t>
  </si>
  <si>
    <t xml:space="preserve">Unit </t>
  </si>
  <si>
    <t>Dispatchable Load (MW) from battery technologies</t>
  </si>
  <si>
    <r>
      <t xml:space="preserve">Building Type </t>
    </r>
    <r>
      <rPr>
        <b/>
        <sz val="11"/>
        <color theme="1"/>
        <rFont val="Calibri"/>
        <family val="2"/>
      </rPr>
      <t>↓</t>
    </r>
  </si>
  <si>
    <t>S-Curve Parameters for a 10 year ramp up</t>
  </si>
  <si>
    <t>b</t>
  </si>
  <si>
    <t>Average battery capacity (kW/unit)</t>
  </si>
  <si>
    <t>Steady-State Saturation</t>
  </si>
  <si>
    <t>Multiplier</t>
  </si>
  <si>
    <t>Steady-State Saturation (old)</t>
  </si>
  <si>
    <t>c</t>
  </si>
  <si>
    <t>Interior Lighting</t>
  </si>
  <si>
    <t>Total Facility</t>
  </si>
  <si>
    <t>Batteries</t>
  </si>
  <si>
    <t>Industrial</t>
  </si>
  <si>
    <t>Average Demand</t>
  </si>
  <si>
    <t>Study Segments</t>
  </si>
  <si>
    <t>Customer Classes</t>
  </si>
  <si>
    <t>Forecast Years</t>
  </si>
  <si>
    <t>DR Sub Options</t>
  </si>
  <si>
    <t>Peak Period</t>
  </si>
  <si>
    <t>Cost Unit</t>
  </si>
  <si>
    <t>Incentive Unit</t>
  </si>
  <si>
    <t>Avoided Cost Types</t>
  </si>
  <si>
    <t>Potential Levels</t>
  </si>
  <si>
    <t>Cost Tests</t>
  </si>
  <si>
    <t>Impact Unit</t>
  </si>
  <si>
    <t>End Uses</t>
  </si>
  <si>
    <t>Potential Calculation Basis</t>
  </si>
  <si>
    <t>&lt;50kW</t>
  </si>
  <si>
    <t>Small General</t>
  </si>
  <si>
    <t>% of annual program cost</t>
  </si>
  <si>
    <t>Technical Potential</t>
  </si>
  <si>
    <t>50 kW</t>
  </si>
  <si>
    <t>General Demand</t>
  </si>
  <si>
    <t>Market Potential (Standalone)</t>
  </si>
  <si>
    <t>Scenario 1</t>
  </si>
  <si>
    <t>Biggest category</t>
  </si>
  <si>
    <t>Energy Purchase ($/kWh)</t>
  </si>
  <si>
    <t>Market Potential (Integrated)</t>
  </si>
  <si>
    <t>Hybrid</t>
  </si>
  <si>
    <t>Scenario 3</t>
  </si>
  <si>
    <t>Scenario 4</t>
  </si>
  <si>
    <t>4 MW</t>
  </si>
  <si>
    <t>Large General</t>
  </si>
  <si>
    <t>$/existing participant/yr</t>
  </si>
  <si>
    <t>Scenario 5</t>
  </si>
  <si>
    <t>7 MW</t>
  </si>
  <si>
    <t>Municipal</t>
  </si>
  <si>
    <t>Institutional</t>
  </si>
  <si>
    <t>Healthcare, university</t>
  </si>
  <si>
    <t>Would be parsed out from one of the demand rates</t>
  </si>
  <si>
    <t>Would be nice; Kristine to check if data is available to separate it out</t>
  </si>
  <si>
    <t>40 kW</t>
  </si>
  <si>
    <t>800 kw</t>
  </si>
  <si>
    <t>Medium Industrial</t>
  </si>
  <si>
    <t>5 Mw</t>
  </si>
  <si>
    <t>Customers</t>
  </si>
  <si>
    <r>
      <rPr>
        <b/>
        <sz val="11"/>
        <color theme="1"/>
        <rFont val="Calibri"/>
        <family val="2"/>
      </rPr>
      <t xml:space="preserve">
</t>
    </r>
    <r>
      <rPr>
        <b/>
        <sz val="11"/>
        <color theme="1"/>
        <rFont val="Arial"/>
        <family val="2"/>
        <scheme val="minor"/>
      </rPr>
      <t xml:space="preserve">Customer Segment </t>
    </r>
    <r>
      <rPr>
        <b/>
        <sz val="11"/>
        <color theme="1"/>
        <rFont val="Calibri"/>
        <family val="2"/>
      </rPr>
      <t>↓</t>
    </r>
  </si>
  <si>
    <t>CAGR</t>
  </si>
  <si>
    <t>Market characterization</t>
  </si>
  <si>
    <t>NSP 2021 LFR</t>
  </si>
  <si>
    <t>MW of end use load</t>
  </si>
  <si>
    <t>Customer Segment↓</t>
  </si>
  <si>
    <r>
      <t xml:space="preserve">Forecast Year → </t>
    </r>
    <r>
      <rPr>
        <b/>
        <sz val="11"/>
        <color theme="1"/>
        <rFont val="Calibri"/>
        <family val="2"/>
      </rPr>
      <t xml:space="preserve">
</t>
    </r>
    <r>
      <rPr>
        <b/>
        <sz val="11"/>
        <color theme="1"/>
        <rFont val="Arial"/>
        <family val="2"/>
        <scheme val="minor"/>
      </rPr>
      <t xml:space="preserve">Customer Class </t>
    </r>
    <r>
      <rPr>
        <b/>
        <sz val="11"/>
        <color theme="1"/>
        <rFont val="Calibri"/>
        <family val="2"/>
      </rPr>
      <t>↓</t>
    </r>
  </si>
  <si>
    <t>Updated participation per E1's comment that residential TOD customers should be included. Bumped up participation by 2.5% to reflect that.</t>
  </si>
  <si>
    <t>"2019 Residential Energy Storage Demand Response Demonstration Evaluation- Summer Season"; prepared for National Grid and Unitil; Feb 10,2020; The average size of participating batteries was 6.5 kW in terms of max. discharge capacity; batteries saved on an average 5.5 kW per unit, which implies 85% savings of the max. discharge capacity of batteries. Note that unit impacts from Interruptible Customers are derated by 50% to reflect that a portion of the demand may already be reduced as part of their baseline load on the tariff.</t>
  </si>
  <si>
    <t>Grid Integration of Aggregate Demand Response, Part I: Load Availability Profiles and Constraints for the Western Interconnection; September 2013;Note that unit impacts from Interruptible Customers are derated by 50% to reflect that a portion of the demand may already be reduced as part of their baseline load on the tariff.</t>
  </si>
  <si>
    <t>Miscellaneous industry types; assumed approximately 5% of the load could be reduced. Note that unit impacts from Interruptible Customers are derated by 50% to reflect that a portion of the demand may already be reduced as part of their baseline load on the tariff.</t>
  </si>
  <si>
    <t>10% of battery stack cost at $2200/kW provided as incentive to the customer. The $2200/kW cost is based on data from Guidehouse Insights reports.</t>
  </si>
  <si>
    <t xml:space="preserve">Assumed $25,000 annual software licensing fee, plus 1.5 FTE cost @$202,000 for program administration.  </t>
  </si>
  <si>
    <t xml:space="preserve">Assumed $25000 annual software licensing fee for a 10-year contract period; plus 1 FTE cost @$202,000 for program administration.  </t>
  </si>
  <si>
    <t>Aligned with EE assumptions (updated 1/26/2022)</t>
  </si>
  <si>
    <t>DLC-Switch-Water HeatingResidential</t>
  </si>
  <si>
    <t>DLC-BYOD-Water HeatingResidential</t>
  </si>
  <si>
    <t>DLC-Thermostat-DI-Central Heat PumpResidential</t>
  </si>
  <si>
    <t>DLC-Thermostat-BYOT-Central Heat PumpResidential</t>
  </si>
  <si>
    <t>DLC-Switch-Water HeatingSmall</t>
  </si>
  <si>
    <t>DLC-BYOD-Water HeatingSmall</t>
  </si>
  <si>
    <t>DLC-Thermostat-DI-Baseboard HeatingResidential</t>
  </si>
  <si>
    <t>DLC-Thermostat-BYOT-Baseboard HeatingResidential</t>
  </si>
  <si>
    <t>DLC-Thermostat-DI-MSHPResidential</t>
  </si>
  <si>
    <t>DLC-Thermostat-BYOT-MSHPResidential</t>
  </si>
  <si>
    <t>DLC-Thermostat-HVACSmall</t>
  </si>
  <si>
    <t>DLC-Thermostat-DI-Central Heat PumpSmall</t>
  </si>
  <si>
    <t>DLC-Thermostat-BYOT-Central Heat PumpSmall</t>
  </si>
  <si>
    <t>DLC-Thermostat-DI-Baseboard HeatingSmall</t>
  </si>
  <si>
    <t>DLC-Thermostat-BYOT-Baseboard HeatingSmall</t>
  </si>
  <si>
    <t>DLC-Thermostat-DI-MSHPSmall</t>
  </si>
  <si>
    <t>DLC-Thermostat-BYOT-MSHPSmall</t>
  </si>
  <si>
    <t>BTM Battery ControlLarge</t>
  </si>
  <si>
    <t>BTM Battery ControlSmall</t>
  </si>
  <si>
    <t>C&amp;I Curtailment-Turnkey-Manual HVAC ControlLarge</t>
  </si>
  <si>
    <t>C&amp;I Curtailment-Turnkey-Auto-DR HVAC ControlLarge</t>
  </si>
  <si>
    <t>C&amp;I Curtailment-Turnkey-Standard Lighting ControlLarge</t>
  </si>
  <si>
    <t>C&amp;I Curtailment-Turnkey-Advanced Lighting ControlLarge</t>
  </si>
  <si>
    <t>C&amp;I Curtailment-Turnkey-Water Heating ControlLarge</t>
  </si>
  <si>
    <t>C&amp;I Curtailment-Turnkey-OtherLarge</t>
  </si>
  <si>
    <t>C&amp;I Curtailment-Turnkey-IndustrialLarge</t>
  </si>
  <si>
    <t>C&amp;I Curtailment-Enabling Tech-Manual HVAC ControlLarge</t>
  </si>
  <si>
    <t>C&amp;I Curtailment-Enabling Tech-Auto-DR HVAC ControlLarge</t>
  </si>
  <si>
    <t>C&amp;I Curtailment-Enabling Tech-Standard Lighting ControlLarge</t>
  </si>
  <si>
    <t>C&amp;I Curtailment-Enabling Tech-Advanced Lighting ControlLarge</t>
  </si>
  <si>
    <t>C&amp;I Curtailment-Enabling Tech-Water Heating ControlLarge</t>
  </si>
  <si>
    <t>C&amp;I Curtailment-Enabling Tech-OtherLarge</t>
  </si>
  <si>
    <t>C&amp;I Curtailment-Enabling Tech-IndustrialLarge</t>
  </si>
  <si>
    <t>Dynamic Pricing with enabling tech.Large</t>
  </si>
  <si>
    <t>Dynamic Pricing with enabling tech.Residential</t>
  </si>
  <si>
    <t>Dynamic Pricing with enabling tech.Small</t>
  </si>
  <si>
    <t>Dynamic Pricing w/o enabling tech.Large</t>
  </si>
  <si>
    <t>Dynamic Pricing w/o enabling tech.Residential</t>
  </si>
  <si>
    <t>Dynamic Pricing w/o enabling tech.Small</t>
  </si>
  <si>
    <t>EV Charging ControlEV</t>
  </si>
  <si>
    <t>BTM Battery ControlResidential</t>
  </si>
  <si>
    <t>Behavioral DRResidential</t>
  </si>
  <si>
    <t>Time-of-Use Rates (TOU)Large</t>
  </si>
  <si>
    <t>Time-of-Use Rates (TOU)Residential</t>
  </si>
  <si>
    <t>Time-of-Use Rates (TOU)Small</t>
  </si>
  <si>
    <t>-Assumed 3.5 FTE @$202,000 per FTE required for program development/mobilization for the DLC program which targets residential, small commercial/industrial customers for space heating and WH control. 
-Additional DERMS integration cost @$10,000 for thermostats and @$6,000 for connected water heaters (Source: E1 provided WH pilot information which indicated $6,000 DERMS integration costs; assumed higher costs for thermostats at $10,000)</t>
  </si>
  <si>
    <t>-Assumed 3 FTE @$202,000 is required for program set up. 
-E1 and NSP assume a two-pronged approach for this; one in which there is a turnkey contract with the aggregator, whereas in the other E1 and NSP administer the program and integrate it with NSP DERMS</t>
  </si>
  <si>
    <t>1.5C Scenario</t>
  </si>
  <si>
    <t>2C Scenario</t>
  </si>
  <si>
    <t>Inc Cost</t>
  </si>
  <si>
    <t>UPDATE (2/4)</t>
  </si>
  <si>
    <t>Not split with EE</t>
  </si>
  <si>
    <t>Calibrated to TVP pilot; added 2.5% to ramp to reflect existing participants</t>
  </si>
  <si>
    <t>Same as Res; zero participation in 2021</t>
  </si>
  <si>
    <t>WACC reference: 6.33%. WACC and AFUDC Rates Application for 2022, effective January 1, 2022. M10355</t>
  </si>
  <si>
    <t>TOU costs are not characterized</t>
  </si>
  <si>
    <r>
      <rPr>
        <b/>
        <sz val="11"/>
        <rFont val="Calibri"/>
        <family val="2"/>
      </rPr>
      <t xml:space="preserve">
</t>
    </r>
    <r>
      <rPr>
        <b/>
        <sz val="11"/>
        <rFont val="Arial"/>
        <family val="2"/>
        <scheme val="minor"/>
      </rPr>
      <t xml:space="preserve">DR Sub Option </t>
    </r>
    <r>
      <rPr>
        <b/>
        <sz val="11"/>
        <rFont val="Calibri"/>
        <family val="2"/>
      </rPr>
      <t>↓</t>
    </r>
  </si>
  <si>
    <r>
      <t xml:space="preserve">Cost Units </t>
    </r>
    <r>
      <rPr>
        <b/>
        <sz val="11"/>
        <rFont val="Calibri"/>
        <family val="2"/>
      </rPr>
      <t xml:space="preserve">↓
Scenario  → </t>
    </r>
  </si>
  <si>
    <t>-Assumed to be delivered by a third-party/DR aggregator, who is responsible for customer recruitment.  NS Power and E1 account managers assumed to be involved in recruitment efforts, so costs associated with that.
-No upfront enrollment incentives provided to the customer; customer provided Auto-DR enablement incentives, which is represented under tech enablement costs.</t>
  </si>
  <si>
    <t xml:space="preserve">TOU costs not assessed as part of this analysis. </t>
  </si>
  <si>
    <t xml:space="preserve">Assumed $50 marketing and recruitment costs for residential customers with BTM batteries. </t>
  </si>
  <si>
    <t xml:space="preserve">Based on average of vendor costs from Water Heater Project Plan provided by E1, total hardware plus add-ons costs is $200. Assumed additional $175 installation costs. (based on information provided by E1 in 11/4/2021 email). </t>
  </si>
  <si>
    <t>scaled up w.r.t. residential costs in proportion to the number of WH units per customer</t>
  </si>
  <si>
    <t xml:space="preserve">"Demand Response Advanced Controls Framework and Assessment of Enabling Technology Costs"; LBNL, Aug, 2017. </t>
  </si>
  <si>
    <t>E1 share in upfront enrolment costs</t>
  </si>
  <si>
    <t>NSP share in upfront enrolment costs</t>
  </si>
  <si>
    <t>In the turnkey type of delivery, all costs are borne by the aggregator, which in turn is passed on to NSP; so ENS costs are zero.</t>
  </si>
  <si>
    <t>-NSP and E1 expecting to follow a two-pronged approach- a)aggregator delivery with turnkey contract; b) NSP and E1 administered using NSP DERMS for dispatch.
-Assumed 1 FTE @$202,000 to annually administer the program.
-Assumed annual IT costs (software licensing fee) for NSP-E1 administered program branch to be $25,000</t>
  </si>
  <si>
    <t xml:space="preserve">Assumed average $25,000 annual software licensing fee for a 10-year contract period; plus 0.5 FTE cost @$202,000 for program administration.  </t>
  </si>
  <si>
    <t>Basis for assumptions (for Preferred Scenario)</t>
  </si>
  <si>
    <t>double of residential based on the assumption that these customers have two units instead of one for residential</t>
  </si>
  <si>
    <t>All costs borne by E1.</t>
  </si>
  <si>
    <t>Aggregator payment for EV Charging control borne by E1; cost assumption is based on vendor-provided information in similar programs offered at other utilities.</t>
  </si>
  <si>
    <t>-This is the third-party delivery cost, excluding customer incentives. Customer incentives are assumed to be half of the total delivery costs. Assumption is based on Navigant team's industry experience. Turnkey program delivery is for half of the participants, so costs are halved.
-For the NSP administered portion, assumed annual DERMS licensing fees under Program Admin.</t>
  </si>
  <si>
    <t>ENS does not plan to target this market since majority of the heating systems are expected to be fossil based</t>
  </si>
  <si>
    <t>Greater likelihood of participation in WH control than space heating control.</t>
  </si>
  <si>
    <t>Assumed average Peak Time Rebate (PTR) opt-in enrollment rate for BDR, since PTR too can be considered similar to Behavioural DR.</t>
  </si>
  <si>
    <t>Assumed 50% participation from customers on Interruptible Riders.</t>
  </si>
  <si>
    <t>Customers from ProCESS model, Efficient Product Installation. DI portion</t>
  </si>
  <si>
    <t xml:space="preserve">      Scenario 2</t>
  </si>
  <si>
    <t>BYOT option for central HPs not considered since E1 would not incentivize central HPs due to a large fraction of this applying to gas heating.</t>
  </si>
  <si>
    <t>Assumed a unit energy consumption of 2500 kWh of heating energy use per DSMSHP unit, based on measure characterization for a U.S. northeastern utility.  Average coincident peak demand based on heating energy use is 0.4 kW. 50% reduction in demand from DR, which translates to 0.2 kW reduction per unit; also assumed on an average 2.5 MSHPs per home based on data E1 provided in the "DR Participation and Unit Impacts" word file.</t>
  </si>
  <si>
    <t>Based on California Demand Response Potential Study Final Report, Phase 2 Results' Table G-17, HVAC End-use shed filters. Note that unit impacts from Interruptible Customers are derated by 50% to reflect that a portion of the demand may already be reduced as part of their baseline load on the tariff.</t>
  </si>
  <si>
    <t>California Demand Response Potential Study Final Report, Phase 2 Results' Table G-17, HVAC End-use shed filters. This is the average 4-hr. shed fraction from a portion of the HVAC load that can be curtailed through Auto-DR. The shed estimates are based off the Lawrence Berkeley National Lab's extensive Auto-DR field experience. Note that unit impacts from Interruptible Customers are derated by 50% to reflect that a portion of the demand may already be reduced as part of their baseline load on the tariff.</t>
  </si>
  <si>
    <t>California Demand Response Potential Study Final Report, Phase 2 Results' Table G-29, Commercial Lighting End-use shed filters. Note that unit impacts from Interruptible Customers are derated by 50% to reflect that a portion of the demand may already be reduced as part of their baseline load on the tariff.</t>
  </si>
  <si>
    <t>California Demand Response Potential Study Final Report, Phase 2 Results' Table G-29, Commercial Lighting End-use shed filters; advanced lighting controls refer to zonal and luminaire controls. Note that unit impacts from Interruptible Customers are derated by 50% to reflect that a portion of the demand may already be reduced as part of their baseline load on the tariff.</t>
  </si>
  <si>
    <t>Reference: "Assessment of Industrial Load for Demand Response", Oak Ridge National Lab, 2013. This is primarily thermal load and therefore curtailment capability is highly dependent on the type of process. Assumed relatively conservative 10% load reduction estimate. Note that unit impacts from Interruptible Customers are derated by 50% to reflect that a portion of the demand may already be reduced as part of their baseline load on the tariff.</t>
  </si>
  <si>
    <t xml:space="preserve">Dynamic pricing with enabling tech. refers to customers with smart thermostats who are able to provide additional impacts over customers that do not have thermostats. Impact estimates are per The Brattle Group's pricing program database (Based on Demand Response Market Research for Portland General Electric, 2016-2035; prepared by The Brattle Group, January 2016). </t>
  </si>
  <si>
    <t xml:space="preserve">Dynamic pricing with enabling tech. refers to customers with Auto-DR who are able to provide additional impacts over customers that do not have Auto-DR. Per the Brattle Group's pricing program database, impacts with enabling tech. are estimated to be on an average 90% higher than impacts without enabling technology. (Based on Demand Response Market Research for Portland General Electric, 2016-2035; prepared by The Brattle Group, January 2016). </t>
  </si>
  <si>
    <t xml:space="preserve">Dynamic pricing with enabling tech. refers to customers with smart thermostats who are able to provide additional impacts over customers that do not have thermostats. Per The Brattle Group's pricing program database, impacts with enabling tech. are estimated to be on an average 90% higher than impacts without enabling technology. (Based on Demand Response Market Research for Portland General Electric, 2016-2035; prepared by The Brattle Group, January 2016). </t>
  </si>
  <si>
    <t>Assumed impacts are the same as as General Service (Source: 19479 NSP Utility and Review Board Time Varying Pricing Project Submission)</t>
  </si>
  <si>
    <t>Assumed impacts are the same as as General Service (Source: 19479 NSP Utility and Review Board Time Varying Pricing Project Submission)Note that unit impacts from Interruptible Customers are derated by 50% to reflect that a portion of the demand may already be reduced as part of their baseline load on the tariff.</t>
  </si>
  <si>
    <t>Based on benchmarking data.</t>
  </si>
  <si>
    <t>BC Hydro study "10956_000 2017 06 16 JM RPT - PCT DR Pilot Field Trial - Draft Submitted…pdf" This information is from a BC Hydro Pilot; this pilot installed up to 5 PCTs and the average demand reduction per household was ~1 kW; assumed an average 2.5 thermostats per home based on information in "DR Participation and Unit Impacts" tab that E1 provided.</t>
  </si>
  <si>
    <t>Inflation rate after 2022 is 2% per E1 11/4 email. Discount rate is nominal</t>
  </si>
  <si>
    <t>Inflation rate after 2022 is 2% per E1 11/4 email. Discount rate is nominal.</t>
  </si>
  <si>
    <r>
      <t xml:space="preserve">DR Option </t>
    </r>
    <r>
      <rPr>
        <b/>
        <sz val="11"/>
        <rFont val="Calibri"/>
        <family val="2"/>
      </rPr>
      <t>↓</t>
    </r>
  </si>
  <si>
    <t>Non-Energy Impact, N/A to E1's application of the TRC.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</si>
</sst>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quot;$&quot;#,##0_);[Red]\(&quot;$&quot;#,##0\)"/>
    <numFmt numFmtId="165" formatCode="&quot;$&quot;#,##0.00_);[Red]\(&quot;$&quot;#,##0.00\)"/>
    <numFmt numFmtId="166" formatCode="_(&quot;$&quot;* #,##0.00_);_(&quot;$&quot;* \(#,##0.00\);_(&quot;$&quot;* &quot;-&quot;??_);_(@_)"/>
    <numFmt numFmtId="167" formatCode="_(* #,##0.00_);_(* \(#,##0.00\);_(* &quot;-&quot;??_);_(@_)"/>
    <numFmt numFmtId="168" formatCode="#,##0.000000"/>
    <numFmt numFmtId="169" formatCode="_(&quot;$&quot;* #,##0_);_(&quot;$&quot;* \(#,##0\);_(&quot;$&quot;* &quot;-&quot;??_);_(@_)"/>
    <numFmt numFmtId="170" formatCode="0.0"/>
    <numFmt numFmtId="171" formatCode="_(* #,##0_);_(* \(#,##0\);_(* &quot;-&quot;??_);_(@_)"/>
    <numFmt numFmtId="172" formatCode="0.0%"/>
    <numFmt numFmtId="173" formatCode="0.00000000000000%"/>
    <numFmt numFmtId="174" formatCode="&quot;$&quot;#,##0.00"/>
    <numFmt numFmtId="175" formatCode="&quot;$&quot;#,##0"/>
    <numFmt numFmtId="176" formatCode="0.000%"/>
    <numFmt numFmtId="177" formatCode="_([$€-2]* #,##0.00_);_([$€-2]* \(#,##0.00\);_([$€-2]* &quot;-&quot;??_)"/>
    <numFmt numFmtId="178" formatCode="&quot;$&quot;#,##0.0"/>
    <numFmt numFmtId="179" formatCode="0.0000%"/>
    <numFmt numFmtId="180" formatCode="0.000"/>
  </numFmts>
  <fonts count="36" x14ac:knownFonts="1">
    <font>
      <sz val="11"/>
      <color theme="1"/>
      <name val="Arial"/>
      <family val="2"/>
      <scheme val="minor"/>
    </font>
    <font>
      <sz val="11"/>
      <color theme="1"/>
      <name val="Arial"/>
      <family val="2"/>
      <scheme val="minor"/>
    </font>
    <font>
      <b/>
      <sz val="11"/>
      <color theme="3"/>
      <name val="Arial"/>
      <family val="2"/>
      <scheme val="minor"/>
    </font>
    <font>
      <b/>
      <sz val="11"/>
      <color theme="1"/>
      <name val="Arial"/>
      <family val="2"/>
      <scheme val="minor"/>
    </font>
    <font>
      <sz val="11"/>
      <color theme="0" tint="-0.34998626667073579"/>
      <name val="Arial"/>
      <family val="2"/>
      <scheme val="minor"/>
    </font>
    <font>
      <sz val="11"/>
      <color theme="3"/>
      <name val="Arial"/>
      <family val="2"/>
      <scheme val="minor"/>
    </font>
    <font>
      <b/>
      <sz val="11"/>
      <name val="Arial"/>
      <family val="2"/>
      <scheme val="minor"/>
    </font>
    <font>
      <sz val="11"/>
      <name val="Arial"/>
      <family val="2"/>
      <scheme val="minor"/>
    </font>
    <font>
      <b/>
      <sz val="11"/>
      <name val="Calibri"/>
      <family val="2"/>
    </font>
    <font>
      <b/>
      <sz val="11"/>
      <color theme="1"/>
      <name val="Calibri"/>
      <family val="2"/>
    </font>
    <font>
      <sz val="11"/>
      <color rgb="FF000000"/>
      <name val="Calibri"/>
      <family val="2"/>
    </font>
    <font>
      <b/>
      <sz val="11"/>
      <color rgb="FF000000"/>
      <name val="Calibri"/>
      <family val="2"/>
    </font>
    <font>
      <sz val="10"/>
      <color theme="1"/>
      <name val="Times New Roman"/>
      <family val="1"/>
    </font>
    <font>
      <b/>
      <sz val="11"/>
      <color rgb="FFFF0000"/>
      <name val="Arial"/>
      <family val="2"/>
      <scheme val="minor"/>
    </font>
    <font>
      <sz val="11"/>
      <color rgb="FFFF0000"/>
      <name val="Arial"/>
      <family val="2"/>
      <scheme val="minor"/>
    </font>
    <font>
      <sz val="11"/>
      <color theme="1"/>
      <name val="Calibri"/>
      <family val="2"/>
    </font>
    <font>
      <sz val="11"/>
      <color theme="1"/>
      <name val="Arial"/>
      <family val="2"/>
    </font>
    <font>
      <sz val="11"/>
      <color theme="9"/>
      <name val="Arial"/>
      <family val="2"/>
      <scheme val="minor"/>
    </font>
    <font>
      <sz val="10"/>
      <name val="Arial"/>
      <family val="2"/>
    </font>
    <font>
      <b/>
      <sz val="10"/>
      <name val="Arial"/>
      <family val="2"/>
    </font>
    <font>
      <sz val="11"/>
      <name val="Calibri"/>
      <family val="2"/>
    </font>
    <font>
      <sz val="10"/>
      <color theme="1"/>
      <name val="Arial"/>
      <family val="2"/>
    </font>
    <font>
      <b/>
      <sz val="11"/>
      <color theme="1"/>
      <name val="Arial"/>
      <family val="2"/>
    </font>
    <font>
      <sz val="11"/>
      <color rgb="FF000000"/>
      <name val="Arial"/>
      <family val="2"/>
    </font>
    <font>
      <strike/>
      <sz val="11"/>
      <color theme="1"/>
      <name val="Arial"/>
      <family val="2"/>
    </font>
    <font>
      <sz val="11"/>
      <color indexed="8"/>
      <name val="Calibri"/>
      <family val="2"/>
    </font>
    <font>
      <sz val="10"/>
      <name val="Arial"/>
      <family val="2"/>
    </font>
    <font>
      <sz val="8"/>
      <name val="Arial"/>
      <family val="2"/>
    </font>
    <font>
      <sz val="8"/>
      <name val="Arial"/>
      <family val="2"/>
      <scheme val="minor"/>
    </font>
    <font>
      <sz val="18"/>
      <color theme="3"/>
      <name val="Arial"/>
      <family val="2"/>
      <scheme val="major"/>
    </font>
    <font>
      <b/>
      <sz val="15"/>
      <color theme="3"/>
      <name val="Arial"/>
      <family val="2"/>
      <scheme val="minor"/>
    </font>
    <font>
      <b/>
      <sz val="13"/>
      <color theme="3"/>
      <name val="Arial"/>
      <family val="2"/>
      <scheme val="minor"/>
    </font>
    <font>
      <sz val="11"/>
      <color rgb="FF000000"/>
      <name val="Calibri"/>
      <family val="2"/>
    </font>
    <font>
      <b/>
      <sz val="8"/>
      <color rgb="FFFFFFFF"/>
      <name val="Arial"/>
      <family val="2"/>
    </font>
    <font>
      <b/>
      <sz val="10"/>
      <color rgb="FFFFFFFF"/>
      <name val="Arial"/>
      <family val="2"/>
    </font>
    <font>
      <sz val="11"/>
      <name val="Calibri"/>
      <family val="2"/>
    </font>
  </fonts>
  <fills count="10">
    <fill>
      <patternFill patternType="none"/>
    </fill>
    <fill>
      <patternFill patternType="gray125"/>
    </fill>
    <fill>
      <patternFill patternType="solid">
        <fgColor theme="0" tint="-0.34998626667073579"/>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FFFFFF"/>
        <bgColor indexed="64"/>
      </patternFill>
    </fill>
    <fill>
      <patternFill patternType="solid">
        <fgColor rgb="FF555759"/>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6" tint="0.79998168889431442"/>
        <bgColor indexed="64"/>
      </patternFill>
    </fill>
  </fills>
  <borders count="42">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5"/>
      </left>
      <right style="thin">
        <color theme="5"/>
      </right>
      <top style="thin">
        <color theme="5"/>
      </top>
      <bottom style="thin">
        <color theme="5"/>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rgb="FFA3A3A3"/>
      </left>
      <right style="medium">
        <color rgb="FFA3A3A3"/>
      </right>
      <top style="medium">
        <color rgb="FFA3A3A3"/>
      </top>
      <bottom style="medium">
        <color rgb="FFA3A3A3"/>
      </bottom>
      <diagonal/>
    </border>
    <border>
      <left style="medium">
        <color rgb="FFA3A3A3"/>
      </left>
      <right style="medium">
        <color rgb="FFA3A3A3"/>
      </right>
      <top style="medium">
        <color rgb="FFA3A3A3"/>
      </top>
      <bottom/>
      <diagonal/>
    </border>
    <border>
      <left style="medium">
        <color rgb="FFA3A3A3"/>
      </left>
      <right style="medium">
        <color rgb="FFA3A3A3"/>
      </right>
      <top/>
      <bottom/>
      <diagonal/>
    </border>
    <border>
      <left style="medium">
        <color rgb="FFA3A3A3"/>
      </left>
      <right style="medium">
        <color rgb="FFA3A3A3"/>
      </right>
      <top/>
      <bottom style="medium">
        <color rgb="FFA3A3A3"/>
      </bottom>
      <diagonal/>
    </border>
    <border>
      <left style="thin">
        <color indexed="64"/>
      </left>
      <right/>
      <top/>
      <bottom style="thin">
        <color indexed="64"/>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indexed="64"/>
      </right>
      <top/>
      <bottom/>
      <diagonal/>
    </border>
    <border>
      <left/>
      <right/>
      <top/>
      <bottom style="thick">
        <color theme="4"/>
      </bottom>
      <diagonal/>
    </border>
    <border>
      <left/>
      <right/>
      <top/>
      <bottom style="thick">
        <color theme="4" tint="0.499984740745262"/>
      </bottom>
      <diagonal/>
    </border>
    <border>
      <left/>
      <right style="thin">
        <color indexed="64"/>
      </right>
      <top/>
      <bottom style="thin">
        <color indexed="64"/>
      </bottom>
      <diagonal/>
    </border>
    <border>
      <left/>
      <right/>
      <top/>
      <bottom style="medium">
        <color rgb="FF95D600"/>
      </bottom>
      <diagonal/>
    </border>
    <border>
      <left style="hair">
        <color rgb="FFB9BBBD"/>
      </left>
      <right style="hair">
        <color rgb="FFB9BBBD"/>
      </right>
      <top style="hair">
        <color rgb="FFB9BBBD"/>
      </top>
      <bottom style="hair">
        <color rgb="FFB9BBBD"/>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top style="thin">
        <color auto="1"/>
      </top>
      <bottom/>
      <diagonal/>
    </border>
    <border>
      <left/>
      <right style="medium">
        <color indexed="64"/>
      </right>
      <top/>
      <bottom/>
      <diagonal/>
    </border>
  </borders>
  <cellStyleXfs count="19">
    <xf numFmtId="0" fontId="0" fillId="0" borderId="0"/>
    <xf numFmtId="167" fontId="1" fillId="0" borderId="0" applyFont="0" applyFill="0" applyBorder="0" applyAlignment="0" applyProtection="0"/>
    <xf numFmtId="166" fontId="1" fillId="0" borderId="0" applyFont="0" applyFill="0" applyBorder="0" applyAlignment="0" applyProtection="0"/>
    <xf numFmtId="9" fontId="1" fillId="0" borderId="0" applyFont="0" applyFill="0" applyBorder="0" applyAlignment="0" applyProtection="0"/>
    <xf numFmtId="168" fontId="3" fillId="3" borderId="3" applyNumberFormat="0">
      <protection locked="0"/>
    </xf>
    <xf numFmtId="0" fontId="16" fillId="0" borderId="0"/>
    <xf numFmtId="0" fontId="1" fillId="0" borderId="0"/>
    <xf numFmtId="0" fontId="18" fillId="0" borderId="0"/>
    <xf numFmtId="0" fontId="21" fillId="0" borderId="0"/>
    <xf numFmtId="0" fontId="26" fillId="0" borderId="0"/>
    <xf numFmtId="167" fontId="18" fillId="0" borderId="0" applyFont="0" applyFill="0" applyBorder="0" applyAlignment="0" applyProtection="0"/>
    <xf numFmtId="167" fontId="18" fillId="0" borderId="0" applyFont="0" applyFill="0" applyBorder="0" applyAlignment="0" applyProtection="0"/>
    <xf numFmtId="9" fontId="18" fillId="0" borderId="0" applyFont="0" applyFill="0" applyBorder="0" applyAlignment="0" applyProtection="0"/>
    <xf numFmtId="0" fontId="29" fillId="0" borderId="0" applyNumberFormat="0" applyFill="0" applyBorder="0" applyAlignment="0" applyProtection="0"/>
    <xf numFmtId="0" fontId="30" fillId="0" borderId="21" applyNumberFormat="0" applyFill="0" applyAlignment="0" applyProtection="0"/>
    <xf numFmtId="0" fontId="31" fillId="0" borderId="22" applyNumberFormat="0" applyFill="0" applyAlignment="0" applyProtection="0"/>
    <xf numFmtId="0" fontId="33" fillId="6" borderId="24" applyNumberFormat="0">
      <alignment vertical="center" wrapText="1"/>
    </xf>
    <xf numFmtId="0" fontId="34" fillId="6" borderId="24" applyNumberFormat="0"/>
    <xf numFmtId="0" fontId="27" fillId="0" borderId="25" applyNumberFormat="0" applyFill="0"/>
  </cellStyleXfs>
  <cellXfs count="468">
    <xf numFmtId="0" fontId="0" fillId="0" borderId="0" xfId="0"/>
    <xf numFmtId="2" fontId="0" fillId="0" borderId="0" xfId="0" applyNumberFormat="1" applyAlignment="1">
      <alignment horizontal="center"/>
    </xf>
    <xf numFmtId="0" fontId="5" fillId="0" borderId="0" xfId="0" applyFont="1"/>
    <xf numFmtId="0" fontId="0" fillId="0" borderId="0" xfId="0" applyAlignment="1">
      <alignment horizontal="left"/>
    </xf>
    <xf numFmtId="0" fontId="6" fillId="0" borderId="0" xfId="0" applyFont="1" applyAlignment="1">
      <alignment horizontal="center"/>
    </xf>
    <xf numFmtId="0" fontId="0" fillId="0" borderId="1" xfId="0" applyBorder="1" applyAlignment="1">
      <alignment horizontal="center"/>
    </xf>
    <xf numFmtId="0" fontId="3" fillId="0" borderId="1" xfId="0" applyFont="1" applyBorder="1" applyAlignment="1">
      <alignment horizontal="right"/>
    </xf>
    <xf numFmtId="0" fontId="0" fillId="0" borderId="0" xfId="0" applyAlignment="1">
      <alignment horizontal="center" vertical="center"/>
    </xf>
    <xf numFmtId="0" fontId="5" fillId="0" borderId="0" xfId="0" applyFont="1" applyAlignment="1">
      <alignment horizontal="center"/>
    </xf>
    <xf numFmtId="0" fontId="2" fillId="0" borderId="0" xfId="0" applyFont="1" applyAlignment="1">
      <alignment horizontal="center" vertical="center"/>
    </xf>
    <xf numFmtId="0" fontId="0" fillId="0" borderId="0" xfId="0" applyAlignment="1">
      <alignment horizontal="center"/>
    </xf>
    <xf numFmtId="170" fontId="0" fillId="0" borderId="0" xfId="0" applyNumberFormat="1"/>
    <xf numFmtId="2" fontId="0" fillId="0" borderId="0" xfId="0" applyNumberFormat="1"/>
    <xf numFmtId="171" fontId="0" fillId="0" borderId="0" xfId="1" applyNumberFormat="1" applyFont="1"/>
    <xf numFmtId="0" fontId="5" fillId="0" borderId="0" xfId="0" applyFont="1" applyAlignment="1">
      <alignment horizontal="center" vertical="center"/>
    </xf>
    <xf numFmtId="1" fontId="0" fillId="0" borderId="0" xfId="0" applyNumberFormat="1" applyAlignment="1">
      <alignment horizontal="center"/>
    </xf>
    <xf numFmtId="0" fontId="10" fillId="0" borderId="4" xfId="0" applyFont="1" applyBorder="1" applyAlignment="1">
      <alignment vertical="center"/>
    </xf>
    <xf numFmtId="0" fontId="11" fillId="0" borderId="5" xfId="0" applyFont="1" applyBorder="1" applyAlignment="1">
      <alignment horizontal="center" vertical="center"/>
    </xf>
    <xf numFmtId="0" fontId="3" fillId="0" borderId="0" xfId="0" applyFont="1"/>
    <xf numFmtId="0" fontId="7" fillId="0" borderId="0" xfId="0" applyFont="1"/>
    <xf numFmtId="9" fontId="7" fillId="0" borderId="0" xfId="0" applyNumberFormat="1" applyFont="1"/>
    <xf numFmtId="0" fontId="3" fillId="0" borderId="1" xfId="0" applyFont="1" applyBorder="1" applyAlignment="1">
      <alignment horizontal="left" indent="1"/>
    </xf>
    <xf numFmtId="10" fontId="0" fillId="0" borderId="0" xfId="0" applyNumberFormat="1"/>
    <xf numFmtId="1" fontId="7" fillId="0" borderId="0" xfId="0" applyNumberFormat="1" applyFont="1" applyAlignment="1">
      <alignment horizontal="center"/>
    </xf>
    <xf numFmtId="2" fontId="7" fillId="0" borderId="0" xfId="0" applyNumberFormat="1" applyFont="1"/>
    <xf numFmtId="170" fontId="7" fillId="0" borderId="0" xfId="0" applyNumberFormat="1" applyFont="1"/>
    <xf numFmtId="0" fontId="0" fillId="0" borderId="0" xfId="0" applyAlignment="1">
      <alignment vertical="center"/>
    </xf>
    <xf numFmtId="0" fontId="5" fillId="0" borderId="0" xfId="0" applyFont="1" applyAlignment="1">
      <alignment horizontal="left"/>
    </xf>
    <xf numFmtId="0" fontId="2" fillId="0" borderId="0" xfId="0" applyFont="1"/>
    <xf numFmtId="0" fontId="0" fillId="0" borderId="0" xfId="0" applyAlignment="1">
      <alignment horizontal="left" vertical="center"/>
    </xf>
    <xf numFmtId="0" fontId="3" fillId="0" borderId="0" xfId="0" applyFont="1" applyAlignment="1">
      <alignment horizontal="center"/>
    </xf>
    <xf numFmtId="0" fontId="0" fillId="0" borderId="0" xfId="0" applyAlignment="1">
      <alignment wrapText="1"/>
    </xf>
    <xf numFmtId="0" fontId="0" fillId="0" borderId="0" xfId="4" applyNumberFormat="1" applyFont="1" applyFill="1" applyBorder="1">
      <protection locked="0"/>
    </xf>
    <xf numFmtId="0" fontId="6" fillId="0" borderId="0" xfId="0" applyFont="1" applyAlignment="1">
      <alignment wrapText="1"/>
    </xf>
    <xf numFmtId="0" fontId="0" fillId="0" borderId="0" xfId="0" applyAlignment="1">
      <alignment horizontal="center" wrapText="1"/>
    </xf>
    <xf numFmtId="0" fontId="6" fillId="0" borderId="0" xfId="0" applyFont="1"/>
    <xf numFmtId="167" fontId="0" fillId="0" borderId="0" xfId="1" applyFont="1"/>
    <xf numFmtId="11" fontId="0" fillId="0" borderId="0" xfId="0" applyNumberFormat="1"/>
    <xf numFmtId="0" fontId="7" fillId="0" borderId="0" xfId="0" applyFont="1" applyAlignment="1">
      <alignment horizontal="left" vertical="center"/>
    </xf>
    <xf numFmtId="0" fontId="14" fillId="0" borderId="0" xfId="0" applyFont="1"/>
    <xf numFmtId="0" fontId="17" fillId="0" borderId="0" xfId="0" applyFont="1"/>
    <xf numFmtId="0" fontId="5" fillId="0" borderId="0" xfId="0" applyFont="1" applyAlignment="1">
      <alignment vertical="center"/>
    </xf>
    <xf numFmtId="172" fontId="0" fillId="0" borderId="0" xfId="3" applyNumberFormat="1" applyFont="1"/>
    <xf numFmtId="9" fontId="0" fillId="0" borderId="0" xfId="3" applyFont="1"/>
    <xf numFmtId="1" fontId="0" fillId="0" borderId="0" xfId="3" applyNumberFormat="1" applyFont="1"/>
    <xf numFmtId="9" fontId="0" fillId="0" borderId="0" xfId="0" applyNumberFormat="1"/>
    <xf numFmtId="10" fontId="0" fillId="0" borderId="0" xfId="3" applyNumberFormat="1" applyFont="1"/>
    <xf numFmtId="0" fontId="0" fillId="0" borderId="8" xfId="0" applyBorder="1" applyAlignment="1">
      <alignment vertical="center" wrapText="1"/>
    </xf>
    <xf numFmtId="0" fontId="3" fillId="5" borderId="8" xfId="0" applyFont="1" applyFill="1" applyBorder="1" applyAlignment="1">
      <alignment vertical="center" wrapText="1"/>
    </xf>
    <xf numFmtId="0" fontId="22" fillId="0" borderId="8" xfId="0" applyFont="1" applyBorder="1" applyAlignment="1">
      <alignment vertical="center" wrapText="1"/>
    </xf>
    <xf numFmtId="0" fontId="16" fillId="0" borderId="8" xfId="0" applyFont="1" applyBorder="1" applyAlignment="1">
      <alignment vertical="center" wrapText="1"/>
    </xf>
    <xf numFmtId="0" fontId="16" fillId="5" borderId="9" xfId="0" applyFont="1" applyFill="1" applyBorder="1" applyAlignment="1">
      <alignment vertical="center" wrapText="1"/>
    </xf>
    <xf numFmtId="0" fontId="16" fillId="5" borderId="8" xfId="0" applyFont="1" applyFill="1" applyBorder="1" applyAlignment="1">
      <alignment vertical="center" wrapText="1"/>
    </xf>
    <xf numFmtId="0" fontId="0" fillId="0" borderId="0" xfId="4" applyNumberFormat="1" applyFont="1" applyFill="1" applyBorder="1" applyAlignment="1">
      <alignment vertical="center"/>
      <protection locked="0"/>
    </xf>
    <xf numFmtId="0" fontId="0" fillId="4" borderId="0" xfId="0" applyFill="1"/>
    <xf numFmtId="177" fontId="25" fillId="0" borderId="0" xfId="0" applyNumberFormat="1" applyFont="1"/>
    <xf numFmtId="0" fontId="18" fillId="0" borderId="0" xfId="0" applyFont="1"/>
    <xf numFmtId="177" fontId="18" fillId="0" borderId="0" xfId="0" applyNumberFormat="1" applyFont="1"/>
    <xf numFmtId="9" fontId="0" fillId="0" borderId="0" xfId="3" applyFont="1" applyFill="1" applyBorder="1"/>
    <xf numFmtId="0" fontId="3" fillId="0" borderId="19" xfId="0" applyFont="1" applyBorder="1" applyAlignment="1">
      <alignment horizontal="center" wrapText="1"/>
    </xf>
    <xf numFmtId="9" fontId="25" fillId="0" borderId="19" xfId="0" applyNumberFormat="1" applyFont="1" applyBorder="1" applyAlignment="1">
      <alignment horizontal="center"/>
    </xf>
    <xf numFmtId="0" fontId="0" fillId="0" borderId="19" xfId="0" applyBorder="1" applyAlignment="1">
      <alignment horizontal="center" vertical="center" wrapText="1"/>
    </xf>
    <xf numFmtId="0" fontId="15" fillId="0" borderId="19" xfId="0" applyFont="1" applyBorder="1" applyAlignment="1">
      <alignment horizontal="center"/>
    </xf>
    <xf numFmtId="0" fontId="0" fillId="0" borderId="19" xfId="0" applyBorder="1" applyAlignment="1">
      <alignment horizontal="center"/>
    </xf>
    <xf numFmtId="0" fontId="0" fillId="0" borderId="19" xfId="0" applyBorder="1" applyAlignment="1">
      <alignment horizontal="left"/>
    </xf>
    <xf numFmtId="0" fontId="3" fillId="0" borderId="19" xfId="0" applyFont="1" applyBorder="1" applyAlignment="1">
      <alignment horizontal="left" indent="1"/>
    </xf>
    <xf numFmtId="0" fontId="3" fillId="0" borderId="19" xfId="0" applyFont="1" applyBorder="1" applyAlignment="1">
      <alignment horizontal="center"/>
    </xf>
    <xf numFmtId="0" fontId="7" fillId="0" borderId="19" xfId="0" applyFont="1" applyBorder="1"/>
    <xf numFmtId="0" fontId="0" fillId="0" borderId="19" xfId="0" applyBorder="1"/>
    <xf numFmtId="0" fontId="0" fillId="0" borderId="19" xfId="0" applyBorder="1" applyAlignment="1">
      <alignment horizontal="left" vertical="center"/>
    </xf>
    <xf numFmtId="0" fontId="7" fillId="0" borderId="19" xfId="0" applyFont="1" applyBorder="1" applyAlignment="1">
      <alignment horizontal="left" vertical="center" wrapText="1"/>
    </xf>
    <xf numFmtId="10" fontId="0" fillId="0" borderId="19" xfId="3" applyNumberFormat="1" applyFont="1" applyBorder="1" applyAlignment="1" applyProtection="1">
      <alignment horizontal="center"/>
      <protection locked="0"/>
    </xf>
    <xf numFmtId="0" fontId="7" fillId="0" borderId="19" xfId="0" applyFont="1" applyBorder="1" applyAlignment="1">
      <alignment horizontal="center" vertical="center" wrapText="1"/>
    </xf>
    <xf numFmtId="0" fontId="7" fillId="0" borderId="19" xfId="0" applyFont="1" applyBorder="1" applyAlignment="1">
      <alignment horizontal="left" vertical="center"/>
    </xf>
    <xf numFmtId="9" fontId="0" fillId="0" borderId="19" xfId="3" applyFont="1" applyBorder="1" applyAlignment="1" applyProtection="1">
      <alignment horizontal="center"/>
      <protection locked="0"/>
    </xf>
    <xf numFmtId="175" fontId="7" fillId="0" borderId="19" xfId="2" applyNumberFormat="1" applyFont="1" applyFill="1" applyBorder="1" applyAlignment="1">
      <alignment vertical="center" wrapText="1"/>
    </xf>
    <xf numFmtId="0" fontId="3" fillId="0" borderId="19" xfId="0" applyFont="1" applyBorder="1" applyAlignment="1">
      <alignment horizontal="center" vertical="center" wrapText="1"/>
    </xf>
    <xf numFmtId="0" fontId="7" fillId="0" borderId="19" xfId="0" applyFont="1" applyBorder="1" applyAlignment="1">
      <alignment horizontal="center"/>
    </xf>
    <xf numFmtId="164" fontId="5" fillId="0" borderId="0" xfId="0" applyNumberFormat="1" applyFont="1" applyAlignment="1">
      <alignment horizontal="center"/>
    </xf>
    <xf numFmtId="164" fontId="0" fillId="0" borderId="0" xfId="0" applyNumberFormat="1"/>
    <xf numFmtId="0" fontId="7" fillId="0" borderId="19" xfId="0" applyFont="1" applyBorder="1" applyAlignment="1">
      <alignment vertical="center" wrapText="1"/>
    </xf>
    <xf numFmtId="9" fontId="1" fillId="0" borderId="19" xfId="3" applyFont="1" applyFill="1" applyBorder="1" applyAlignment="1" applyProtection="1">
      <alignment horizontal="center"/>
      <protection locked="0"/>
    </xf>
    <xf numFmtId="167" fontId="0" fillId="0" borderId="20" xfId="1" applyFont="1" applyFill="1" applyBorder="1" applyAlignment="1">
      <alignment horizontal="center"/>
    </xf>
    <xf numFmtId="167" fontId="0" fillId="0" borderId="0" xfId="1" applyFont="1" applyFill="1" applyBorder="1" applyAlignment="1">
      <alignment horizontal="center"/>
    </xf>
    <xf numFmtId="0" fontId="3" fillId="0" borderId="0" xfId="0" applyFont="1" applyAlignment="1">
      <alignment wrapText="1"/>
    </xf>
    <xf numFmtId="0" fontId="3" fillId="3" borderId="0" xfId="0" applyFont="1" applyFill="1" applyAlignment="1">
      <alignment wrapText="1"/>
    </xf>
    <xf numFmtId="0" fontId="3" fillId="3" borderId="0" xfId="0" applyFont="1" applyFill="1"/>
    <xf numFmtId="0" fontId="3" fillId="8" borderId="0" xfId="0" applyFont="1" applyFill="1" applyAlignment="1">
      <alignment wrapText="1"/>
    </xf>
    <xf numFmtId="0" fontId="0" fillId="3" borderId="0" xfId="0" applyFill="1"/>
    <xf numFmtId="9" fontId="0" fillId="8" borderId="0" xfId="3" applyFont="1" applyFill="1"/>
    <xf numFmtId="0" fontId="0" fillId="9" borderId="0" xfId="0" applyFill="1" applyAlignment="1">
      <alignment wrapText="1"/>
    </xf>
    <xf numFmtId="0" fontId="0" fillId="9" borderId="0" xfId="0" applyFill="1"/>
    <xf numFmtId="9" fontId="0" fillId="9" borderId="0" xfId="3" applyFont="1" applyFill="1"/>
    <xf numFmtId="10" fontId="0" fillId="9" borderId="0" xfId="3" applyNumberFormat="1" applyFont="1" applyFill="1"/>
    <xf numFmtId="10" fontId="0" fillId="8" borderId="0" xfId="3" applyNumberFormat="1" applyFont="1" applyFill="1"/>
    <xf numFmtId="9" fontId="3" fillId="8" borderId="0" xfId="3" applyFont="1" applyFill="1" applyAlignment="1">
      <alignment wrapText="1"/>
    </xf>
    <xf numFmtId="9" fontId="0" fillId="0" borderId="0" xfId="3" applyFont="1" applyAlignment="1">
      <alignment wrapText="1"/>
    </xf>
    <xf numFmtId="171" fontId="3" fillId="8" borderId="0" xfId="1" applyNumberFormat="1" applyFont="1" applyFill="1"/>
    <xf numFmtId="173" fontId="0" fillId="0" borderId="0" xfId="0" applyNumberFormat="1" applyAlignment="1">
      <alignment wrapText="1"/>
    </xf>
    <xf numFmtId="167" fontId="7" fillId="0" borderId="19" xfId="1" applyFont="1" applyFill="1" applyBorder="1" applyAlignment="1" applyProtection="1">
      <alignment vertical="center"/>
      <protection locked="0"/>
    </xf>
    <xf numFmtId="10" fontId="25" fillId="0" borderId="19" xfId="0" applyNumberFormat="1" applyFont="1" applyBorder="1" applyAlignment="1">
      <alignment horizontal="center"/>
    </xf>
    <xf numFmtId="175" fontId="0" fillId="0" borderId="0" xfId="0" applyNumberFormat="1"/>
    <xf numFmtId="172" fontId="0" fillId="0" borderId="0" xfId="0" applyNumberFormat="1"/>
    <xf numFmtId="0" fontId="9" fillId="0" borderId="19" xfId="0" applyFont="1" applyBorder="1" applyAlignment="1">
      <alignment horizontal="center" vertical="center" wrapText="1"/>
    </xf>
    <xf numFmtId="0" fontId="9" fillId="0" borderId="19" xfId="0" applyFont="1" applyBorder="1" applyAlignment="1">
      <alignment wrapText="1"/>
    </xf>
    <xf numFmtId="0" fontId="3" fillId="0" borderId="19" xfId="0" applyFont="1" applyBorder="1"/>
    <xf numFmtId="0" fontId="0" fillId="0" borderId="19" xfId="0" applyBorder="1" applyAlignment="1">
      <alignment horizontal="center" wrapText="1"/>
    </xf>
    <xf numFmtId="179" fontId="25" fillId="0" borderId="19" xfId="0" applyNumberFormat="1" applyFont="1" applyBorder="1" applyAlignment="1">
      <alignment horizontal="center"/>
    </xf>
    <xf numFmtId="9" fontId="7" fillId="0" borderId="19" xfId="0" applyNumberFormat="1" applyFont="1" applyBorder="1" applyAlignment="1">
      <alignment vertical="center"/>
    </xf>
    <xf numFmtId="172" fontId="25" fillId="0" borderId="19" xfId="0" applyNumberFormat="1" applyFont="1" applyBorder="1" applyAlignment="1">
      <alignment horizontal="center"/>
    </xf>
    <xf numFmtId="172" fontId="0" fillId="0" borderId="19" xfId="3" applyNumberFormat="1" applyFont="1" applyBorder="1" applyAlignment="1" applyProtection="1">
      <alignment horizontal="center"/>
      <protection locked="0"/>
    </xf>
    <xf numFmtId="172" fontId="1" fillId="0" borderId="19" xfId="3" applyNumberFormat="1" applyFont="1" applyFill="1" applyBorder="1" applyAlignment="1" applyProtection="1">
      <alignment horizontal="center"/>
      <protection locked="0"/>
    </xf>
    <xf numFmtId="10" fontId="1" fillId="0" borderId="19" xfId="3" applyNumberFormat="1" applyFont="1" applyFill="1" applyBorder="1" applyAlignment="1" applyProtection="1">
      <alignment horizontal="center"/>
      <protection locked="0"/>
    </xf>
    <xf numFmtId="0" fontId="30" fillId="0" borderId="21" xfId="14"/>
    <xf numFmtId="0" fontId="19" fillId="0" borderId="0" xfId="13" applyFont="1"/>
    <xf numFmtId="0" fontId="33" fillId="6" borderId="24" xfId="16">
      <alignment vertical="center" wrapText="1"/>
    </xf>
    <xf numFmtId="0" fontId="27" fillId="0" borderId="25" xfId="18" applyFill="1"/>
    <xf numFmtId="174" fontId="27" fillId="0" borderId="25" xfId="18" applyNumberFormat="1" applyFill="1" applyAlignment="1">
      <alignment horizontal="center"/>
    </xf>
    <xf numFmtId="9" fontId="3" fillId="0" borderId="0" xfId="3" applyFont="1"/>
    <xf numFmtId="165" fontId="0" fillId="0" borderId="0" xfId="0" applyNumberFormat="1"/>
    <xf numFmtId="165" fontId="5" fillId="0" borderId="0" xfId="0" applyNumberFormat="1" applyFont="1"/>
    <xf numFmtId="166" fontId="0" fillId="0" borderId="0" xfId="0" applyNumberFormat="1"/>
    <xf numFmtId="0" fontId="31" fillId="0" borderId="22" xfId="15"/>
    <xf numFmtId="165" fontId="0" fillId="0" borderId="0" xfId="0" applyNumberFormat="1" applyAlignment="1">
      <alignment wrapText="1"/>
    </xf>
    <xf numFmtId="174" fontId="0" fillId="0" borderId="0" xfId="0" applyNumberFormat="1"/>
    <xf numFmtId="0" fontId="0" fillId="0" borderId="19" xfId="2" applyNumberFormat="1" applyFont="1" applyFill="1" applyBorder="1" applyAlignment="1">
      <alignment horizontal="center"/>
    </xf>
    <xf numFmtId="0" fontId="6" fillId="0" borderId="19" xfId="0" applyFont="1" applyBorder="1" applyAlignment="1">
      <alignment horizontal="center" wrapText="1"/>
    </xf>
    <xf numFmtId="0" fontId="6" fillId="0" borderId="19" xfId="0" applyFont="1" applyBorder="1" applyAlignment="1">
      <alignment vertical="center" wrapText="1"/>
    </xf>
    <xf numFmtId="175" fontId="7" fillId="0" borderId="19" xfId="0" applyNumberFormat="1" applyFont="1" applyBorder="1" applyAlignment="1">
      <alignment horizontal="right" vertical="center" wrapText="1"/>
    </xf>
    <xf numFmtId="0" fontId="12" fillId="0" borderId="13" xfId="0" applyFont="1" applyBorder="1"/>
    <xf numFmtId="0" fontId="10" fillId="0" borderId="14" xfId="0" applyFont="1" applyBorder="1" applyAlignment="1">
      <alignment vertical="center"/>
    </xf>
    <xf numFmtId="9" fontId="0" fillId="0" borderId="19" xfId="3" applyFont="1" applyFill="1" applyBorder="1" applyAlignment="1">
      <alignment horizontal="center"/>
    </xf>
    <xf numFmtId="179" fontId="1" fillId="0" borderId="19" xfId="3" applyNumberFormat="1" applyFont="1" applyFill="1" applyBorder="1" applyAlignment="1" applyProtection="1">
      <alignment horizontal="center"/>
      <protection locked="0"/>
    </xf>
    <xf numFmtId="9" fontId="7" fillId="0" borderId="19" xfId="3" applyFont="1" applyFill="1" applyBorder="1" applyAlignment="1" applyProtection="1">
      <alignment vertical="center"/>
      <protection locked="0"/>
    </xf>
    <xf numFmtId="10" fontId="20" fillId="0" borderId="19" xfId="0" applyNumberFormat="1" applyFont="1" applyBorder="1" applyAlignment="1" applyProtection="1">
      <alignment vertical="center"/>
      <protection locked="0"/>
    </xf>
    <xf numFmtId="0" fontId="9" fillId="0" borderId="26" xfId="0" applyFont="1" applyBorder="1" applyAlignment="1">
      <alignment horizontal="center" wrapText="1"/>
    </xf>
    <xf numFmtId="0" fontId="3" fillId="0" borderId="26" xfId="0" applyFont="1" applyBorder="1" applyAlignment="1">
      <alignment horizontal="center"/>
    </xf>
    <xf numFmtId="0" fontId="7" fillId="0" borderId="26" xfId="0" applyFont="1" applyBorder="1" applyAlignment="1">
      <alignment horizontal="left"/>
    </xf>
    <xf numFmtId="0" fontId="7" fillId="0" borderId="26" xfId="0" applyFont="1" applyBorder="1"/>
    <xf numFmtId="0" fontId="0" fillId="0" borderId="26" xfId="0" applyBorder="1"/>
    <xf numFmtId="0" fontId="3" fillId="0" borderId="26" xfId="0" applyFont="1" applyBorder="1" applyAlignment="1">
      <alignment horizontal="left" indent="1"/>
    </xf>
    <xf numFmtId="0" fontId="0" fillId="0" borderId="26" xfId="0" applyBorder="1" applyAlignment="1">
      <alignment horizontal="center"/>
    </xf>
    <xf numFmtId="0" fontId="3" fillId="0" borderId="26" xfId="0" applyFont="1" applyBorder="1" applyAlignment="1">
      <alignment horizontal="center" wrapText="1"/>
    </xf>
    <xf numFmtId="167" fontId="0" fillId="0" borderId="26" xfId="1" applyFont="1" applyBorder="1"/>
    <xf numFmtId="0" fontId="0" fillId="0" borderId="26" xfId="0" applyBorder="1" applyAlignment="1">
      <alignment horizontal="center" wrapText="1"/>
    </xf>
    <xf numFmtId="10" fontId="0" fillId="0" borderId="26" xfId="3" applyNumberFormat="1" applyFont="1" applyBorder="1" applyAlignment="1">
      <alignment horizontal="center"/>
    </xf>
    <xf numFmtId="0" fontId="6" fillId="0" borderId="26" xfId="0" applyFont="1" applyBorder="1" applyAlignment="1">
      <alignment horizontal="center"/>
    </xf>
    <xf numFmtId="0" fontId="6" fillId="0" borderId="26" xfId="0" applyFont="1" applyBorder="1" applyAlignment="1">
      <alignment horizontal="center" vertical="center" wrapText="1"/>
    </xf>
    <xf numFmtId="0" fontId="3" fillId="0" borderId="26" xfId="0" applyFont="1" applyBorder="1" applyAlignment="1">
      <alignment horizontal="center" vertical="center" wrapText="1"/>
    </xf>
    <xf numFmtId="10" fontId="0" fillId="0" borderId="26" xfId="3" applyNumberFormat="1" applyFont="1" applyFill="1" applyBorder="1" applyAlignment="1">
      <alignment horizontal="center"/>
    </xf>
    <xf numFmtId="0" fontId="0" fillId="0" borderId="26" xfId="0" applyBorder="1" applyAlignment="1">
      <alignment horizontal="left"/>
    </xf>
    <xf numFmtId="10" fontId="0" fillId="0" borderId="26" xfId="3" applyNumberFormat="1" applyFont="1" applyFill="1" applyBorder="1" applyAlignment="1">
      <alignment horizontal="left"/>
    </xf>
    <xf numFmtId="0" fontId="20" fillId="0" borderId="26" xfId="0" applyFont="1" applyBorder="1"/>
    <xf numFmtId="0" fontId="7" fillId="0" borderId="26" xfId="0" applyFont="1" applyBorder="1" applyAlignment="1">
      <alignment horizontal="center"/>
    </xf>
    <xf numFmtId="0" fontId="0" fillId="0" borderId="26" xfId="0" applyBorder="1" applyAlignment="1">
      <alignment horizontal="center" vertical="center" wrapText="1"/>
    </xf>
    <xf numFmtId="0" fontId="0" fillId="0" borderId="26" xfId="0" applyBorder="1" applyAlignment="1">
      <alignment horizontal="left" vertical="center"/>
    </xf>
    <xf numFmtId="0" fontId="0" fillId="0" borderId="0" xfId="0" applyAlignment="1">
      <alignment horizontal="center"/>
    </xf>
    <xf numFmtId="0" fontId="0" fillId="0" borderId="0" xfId="0" applyFill="1"/>
    <xf numFmtId="1" fontId="0" fillId="0" borderId="0" xfId="0" applyNumberFormat="1" applyAlignment="1">
      <alignment horizontal="left"/>
    </xf>
    <xf numFmtId="180" fontId="0" fillId="0" borderId="0" xfId="0" applyNumberFormat="1"/>
    <xf numFmtId="0" fontId="7" fillId="0" borderId="18" xfId="0" applyFont="1" applyBorder="1" applyAlignment="1">
      <alignment vertical="center" wrapText="1"/>
    </xf>
    <xf numFmtId="0" fontId="7" fillId="0" borderId="26" xfId="0" applyFont="1" applyBorder="1" applyAlignment="1">
      <alignment horizontal="left" vertical="center"/>
    </xf>
    <xf numFmtId="0" fontId="7" fillId="0" borderId="0" xfId="0" applyFont="1" applyFill="1"/>
    <xf numFmtId="0" fontId="0" fillId="0" borderId="0" xfId="0" applyAlignment="1">
      <alignment wrapText="1"/>
    </xf>
    <xf numFmtId="0" fontId="27" fillId="0" borderId="25" xfId="18"/>
    <xf numFmtId="174" fontId="27" fillId="0" borderId="25" xfId="18" applyNumberFormat="1" applyAlignment="1">
      <alignment horizontal="center"/>
    </xf>
    <xf numFmtId="0" fontId="0" fillId="0" borderId="0" xfId="0" applyAlignment="1">
      <alignment wrapText="1"/>
    </xf>
    <xf numFmtId="0" fontId="3" fillId="0" borderId="0" xfId="0" applyFont="1" applyAlignment="1">
      <alignment horizontal="center"/>
    </xf>
    <xf numFmtId="0" fontId="35" fillId="0" borderId="19" xfId="0" applyFont="1" applyBorder="1"/>
    <xf numFmtId="0" fontId="35" fillId="9" borderId="19" xfId="0" applyFont="1" applyFill="1" applyBorder="1"/>
    <xf numFmtId="176" fontId="1" fillId="0" borderId="19" xfId="3" applyNumberFormat="1" applyFont="1" applyFill="1" applyBorder="1" applyAlignment="1" applyProtection="1">
      <alignment horizontal="center"/>
      <protection locked="0"/>
    </xf>
    <xf numFmtId="176" fontId="25" fillId="0" borderId="19" xfId="0" applyNumberFormat="1" applyFont="1" applyBorder="1" applyAlignment="1">
      <alignment horizontal="center"/>
    </xf>
    <xf numFmtId="0" fontId="0" fillId="0" borderId="0" xfId="0" applyAlignment="1">
      <alignment wrapText="1"/>
    </xf>
    <xf numFmtId="0" fontId="0" fillId="0" borderId="28" xfId="0" applyBorder="1" applyAlignment="1">
      <alignment horizontal="center"/>
    </xf>
    <xf numFmtId="0" fontId="7" fillId="0" borderId="19" xfId="0" applyFont="1" applyBorder="1" applyAlignment="1">
      <alignment vertical="center" wrapText="1"/>
    </xf>
    <xf numFmtId="0" fontId="0" fillId="0" borderId="0" xfId="0" applyAlignment="1">
      <alignment horizontal="left"/>
    </xf>
    <xf numFmtId="0" fontId="16" fillId="0" borderId="9" xfId="0" applyFont="1" applyBorder="1" applyAlignment="1">
      <alignment vertical="center" wrapText="1"/>
    </xf>
    <xf numFmtId="0" fontId="16" fillId="0" borderId="10" xfId="0" applyFont="1" applyBorder="1" applyAlignment="1">
      <alignment vertical="center" wrapText="1"/>
    </xf>
    <xf numFmtId="0" fontId="16" fillId="0" borderId="11" xfId="0" applyFont="1" applyBorder="1" applyAlignment="1">
      <alignment vertical="center" wrapText="1"/>
    </xf>
    <xf numFmtId="0" fontId="3" fillId="0" borderId="26" xfId="0" applyFont="1" applyBorder="1" applyAlignment="1">
      <alignment horizontal="left" vertical="center" wrapText="1"/>
    </xf>
    <xf numFmtId="169" fontId="32" fillId="0" borderId="19" xfId="0" applyNumberFormat="1" applyFont="1" applyBorder="1"/>
    <xf numFmtId="169" fontId="32" fillId="0" borderId="18" xfId="0" applyNumberFormat="1" applyFont="1" applyBorder="1"/>
    <xf numFmtId="169" fontId="32" fillId="0" borderId="2" xfId="0" applyNumberFormat="1" applyFont="1" applyBorder="1"/>
    <xf numFmtId="169" fontId="32" fillId="0" borderId="23" xfId="0" applyNumberFormat="1" applyFont="1" applyBorder="1"/>
    <xf numFmtId="0" fontId="8" fillId="0" borderId="26" xfId="0" applyFont="1" applyBorder="1" applyAlignment="1">
      <alignment horizontal="center" vertical="center" wrapText="1"/>
    </xf>
    <xf numFmtId="0" fontId="8" fillId="0" borderId="26" xfId="0" applyFont="1" applyBorder="1" applyAlignment="1">
      <alignment horizontal="center" wrapText="1"/>
    </xf>
    <xf numFmtId="10" fontId="7" fillId="0" borderId="26" xfId="3" applyNumberFormat="1" applyFont="1" applyFill="1" applyBorder="1" applyAlignment="1">
      <alignment horizontal="center" vertical="center"/>
    </xf>
    <xf numFmtId="0" fontId="7" fillId="0" borderId="26" xfId="0" applyFont="1" applyBorder="1" applyAlignment="1">
      <alignment vertical="center" wrapText="1"/>
    </xf>
    <xf numFmtId="10" fontId="0" fillId="0" borderId="19" xfId="3" applyNumberFormat="1" applyFont="1" applyFill="1" applyBorder="1" applyAlignment="1">
      <alignment horizontal="center" vertical="center"/>
    </xf>
    <xf numFmtId="10" fontId="0" fillId="0" borderId="0" xfId="3" applyNumberFormat="1" applyFont="1" applyFill="1" applyAlignment="1">
      <alignment horizontal="center" vertical="center"/>
    </xf>
    <xf numFmtId="0" fontId="7" fillId="0" borderId="26" xfId="0" applyFont="1" applyBorder="1" applyAlignment="1">
      <alignment horizontal="center" vertical="center" wrapText="1"/>
    </xf>
    <xf numFmtId="175" fontId="7" fillId="0" borderId="26" xfId="2" applyNumberFormat="1" applyFont="1" applyFill="1" applyBorder="1" applyAlignment="1">
      <alignment vertical="center" wrapText="1"/>
    </xf>
    <xf numFmtId="9" fontId="7" fillId="0" borderId="26" xfId="2" applyNumberFormat="1" applyFont="1" applyFill="1" applyBorder="1" applyAlignment="1">
      <alignment vertical="center" wrapText="1"/>
    </xf>
    <xf numFmtId="0" fontId="7" fillId="0" borderId="26" xfId="0" quotePrefix="1" applyFont="1" applyBorder="1" applyAlignment="1">
      <alignment vertical="center" wrapText="1"/>
    </xf>
    <xf numFmtId="175" fontId="0" fillId="0" borderId="26" xfId="2" applyNumberFormat="1" applyFont="1" applyFill="1" applyBorder="1" applyAlignment="1">
      <alignment vertical="center" wrapText="1"/>
    </xf>
    <xf numFmtId="0" fontId="0" fillId="0" borderId="26" xfId="0" applyBorder="1" applyAlignment="1">
      <alignment vertical="center" wrapText="1"/>
    </xf>
    <xf numFmtId="0" fontId="0" fillId="0" borderId="26" xfId="0" applyFill="1" applyBorder="1" applyAlignment="1">
      <alignment horizontal="center" vertical="center" wrapText="1"/>
    </xf>
    <xf numFmtId="175" fontId="0" fillId="0" borderId="26" xfId="0" applyNumberFormat="1" applyBorder="1"/>
    <xf numFmtId="0" fontId="0" fillId="0" borderId="26" xfId="0" applyFill="1" applyBorder="1"/>
    <xf numFmtId="0" fontId="0" fillId="0" borderId="26" xfId="0" applyBorder="1" applyAlignment="1">
      <alignment vertical="center"/>
    </xf>
    <xf numFmtId="0" fontId="0" fillId="0" borderId="26" xfId="0" applyFill="1" applyBorder="1" applyAlignment="1">
      <alignment vertical="center" wrapText="1"/>
    </xf>
    <xf numFmtId="0" fontId="5" fillId="0" borderId="26" xfId="0" applyFont="1" applyBorder="1" applyAlignment="1">
      <alignment horizontal="left"/>
    </xf>
    <xf numFmtId="0" fontId="0" fillId="0" borderId="26" xfId="0" quotePrefix="1" applyBorder="1" applyAlignment="1">
      <alignment vertical="center" wrapText="1"/>
    </xf>
    <xf numFmtId="9" fontId="0" fillId="0" borderId="26" xfId="3" applyFont="1" applyFill="1" applyBorder="1" applyAlignment="1">
      <alignment vertical="center" wrapText="1"/>
    </xf>
    <xf numFmtId="0" fontId="7" fillId="0" borderId="26" xfId="0" applyFont="1" applyBorder="1" applyAlignment="1">
      <alignment horizontal="left" vertical="center" wrapText="1"/>
    </xf>
    <xf numFmtId="0" fontId="6" fillId="0" borderId="19" xfId="0" applyFont="1" applyBorder="1" applyAlignment="1">
      <alignment horizontal="left" vertical="center" wrapText="1"/>
    </xf>
    <xf numFmtId="0" fontId="6" fillId="0" borderId="26" xfId="0" applyFont="1" applyBorder="1" applyAlignment="1">
      <alignment horizontal="left" vertical="center" wrapText="1"/>
    </xf>
    <xf numFmtId="0" fontId="25" fillId="0" borderId="26" xfId="0" applyFont="1" applyBorder="1" applyAlignment="1">
      <alignment horizontal="left"/>
    </xf>
    <xf numFmtId="0" fontId="0" fillId="0" borderId="0" xfId="0" applyAlignment="1">
      <alignment horizontal="right" vertical="center"/>
    </xf>
    <xf numFmtId="0" fontId="6" fillId="0" borderId="26" xfId="0" applyFont="1" applyBorder="1" applyAlignment="1">
      <alignment horizontal="right" vertical="center" wrapText="1"/>
    </xf>
    <xf numFmtId="175" fontId="7" fillId="0" borderId="26" xfId="2" applyNumberFormat="1" applyFont="1" applyFill="1" applyBorder="1" applyAlignment="1">
      <alignment horizontal="right" vertical="center"/>
    </xf>
    <xf numFmtId="175" fontId="0" fillId="0" borderId="26" xfId="2" applyNumberFormat="1" applyFont="1" applyFill="1" applyBorder="1" applyAlignment="1">
      <alignment horizontal="right" vertical="center"/>
    </xf>
    <xf numFmtId="0" fontId="0" fillId="0" borderId="26" xfId="0" applyBorder="1" applyAlignment="1">
      <alignment horizontal="right"/>
    </xf>
    <xf numFmtId="0" fontId="3" fillId="0" borderId="19" xfId="0" applyFont="1" applyFill="1" applyBorder="1" applyAlignment="1">
      <alignment horizontal="left" indent="1"/>
    </xf>
    <xf numFmtId="0" fontId="0" fillId="0" borderId="19" xfId="0" applyFill="1" applyBorder="1" applyAlignment="1">
      <alignment horizontal="center"/>
    </xf>
    <xf numFmtId="0" fontId="0" fillId="0" borderId="0" xfId="0" applyFill="1" applyAlignment="1">
      <alignment horizontal="center"/>
    </xf>
    <xf numFmtId="0" fontId="0" fillId="0" borderId="0" xfId="0" applyFill="1" applyAlignment="1">
      <alignment horizontal="left" vertical="center"/>
    </xf>
    <xf numFmtId="0" fontId="7" fillId="0" borderId="19" xfId="0" applyFont="1" applyFill="1" applyBorder="1" applyAlignment="1">
      <alignment horizontal="center"/>
    </xf>
    <xf numFmtId="0" fontId="6" fillId="0" borderId="19" xfId="0" applyFont="1" applyFill="1" applyBorder="1" applyAlignment="1">
      <alignment horizontal="left" indent="1"/>
    </xf>
    <xf numFmtId="0" fontId="7" fillId="0" borderId="0" xfId="0" applyFont="1" applyFill="1" applyAlignment="1">
      <alignment horizontal="center"/>
    </xf>
    <xf numFmtId="0" fontId="6" fillId="0" borderId="19" xfId="0" applyFont="1" applyFill="1" applyBorder="1" applyAlignment="1">
      <alignment horizontal="center" vertical="center" wrapText="1"/>
    </xf>
    <xf numFmtId="0" fontId="7" fillId="0" borderId="0" xfId="0" applyFont="1" applyFill="1" applyAlignment="1">
      <alignment horizontal="center" vertical="center"/>
    </xf>
    <xf numFmtId="0" fontId="7" fillId="0" borderId="19" xfId="0" applyFont="1" applyFill="1" applyBorder="1"/>
    <xf numFmtId="0" fontId="6" fillId="0" borderId="26" xfId="0" applyFont="1" applyFill="1" applyBorder="1" applyAlignment="1">
      <alignment horizontal="center" vertical="center" wrapText="1"/>
    </xf>
    <xf numFmtId="0" fontId="7" fillId="0" borderId="26" xfId="0" applyFont="1" applyFill="1" applyBorder="1"/>
    <xf numFmtId="0" fontId="7" fillId="0" borderId="26" xfId="0" applyFont="1" applyFill="1" applyBorder="1" applyAlignment="1">
      <alignment horizontal="left" vertical="center"/>
    </xf>
    <xf numFmtId="0" fontId="7" fillId="0" borderId="26" xfId="0" applyFont="1" applyFill="1" applyBorder="1" applyAlignment="1">
      <alignment horizontal="center" vertical="center"/>
    </xf>
    <xf numFmtId="2" fontId="7" fillId="0" borderId="26" xfId="2" applyNumberFormat="1" applyFont="1" applyFill="1" applyBorder="1" applyAlignment="1">
      <alignment horizontal="center" vertical="center"/>
    </xf>
    <xf numFmtId="0" fontId="7" fillId="0" borderId="26" xfId="0" applyFont="1" applyFill="1" applyBorder="1" applyAlignment="1">
      <alignment vertical="center" wrapText="1"/>
    </xf>
    <xf numFmtId="0" fontId="7" fillId="0" borderId="26" xfId="0" applyFont="1" applyFill="1" applyBorder="1" applyAlignment="1">
      <alignment horizontal="left" vertical="center" wrapText="1"/>
    </xf>
    <xf numFmtId="2" fontId="7" fillId="0" borderId="26" xfId="2" applyNumberFormat="1" applyFont="1" applyFill="1" applyBorder="1" applyAlignment="1">
      <alignment horizontal="center"/>
    </xf>
    <xf numFmtId="169" fontId="7" fillId="0" borderId="26" xfId="2" applyNumberFormat="1" applyFont="1" applyFill="1" applyBorder="1" applyAlignment="1">
      <alignment horizontal="center" vertical="center"/>
    </xf>
    <xf numFmtId="175" fontId="7" fillId="0" borderId="26" xfId="2" applyNumberFormat="1" applyFont="1" applyFill="1" applyBorder="1" applyAlignment="1">
      <alignment horizontal="center" vertical="center"/>
    </xf>
    <xf numFmtId="0" fontId="7" fillId="0" borderId="26" xfId="0" applyFont="1" applyFill="1" applyBorder="1" applyAlignment="1">
      <alignment horizontal="center"/>
    </xf>
    <xf numFmtId="0" fontId="7" fillId="0" borderId="26" xfId="0" applyFont="1" applyFill="1" applyBorder="1" applyAlignment="1">
      <alignment vertical="center"/>
    </xf>
    <xf numFmtId="0" fontId="7" fillId="0" borderId="26" xfId="0" applyFont="1" applyBorder="1" applyAlignment="1">
      <alignment horizontal="center" vertical="center"/>
    </xf>
    <xf numFmtId="175" fontId="7" fillId="7" borderId="26" xfId="2" applyNumberFormat="1" applyFont="1" applyFill="1" applyBorder="1" applyAlignment="1">
      <alignment horizontal="center" vertical="center"/>
    </xf>
    <xf numFmtId="0" fontId="7" fillId="0" borderId="26" xfId="0" quotePrefix="1" applyFont="1" applyBorder="1" applyAlignment="1">
      <alignment horizontal="left" vertical="center" wrapText="1"/>
    </xf>
    <xf numFmtId="175" fontId="20" fillId="7" borderId="26" xfId="0" applyNumberFormat="1" applyFont="1" applyFill="1" applyBorder="1" applyAlignment="1">
      <alignment horizontal="center" vertical="center"/>
    </xf>
    <xf numFmtId="175" fontId="20" fillId="0" borderId="26" xfId="0" applyNumberFormat="1" applyFont="1" applyBorder="1" applyAlignment="1">
      <alignment horizontal="center" vertical="center"/>
    </xf>
    <xf numFmtId="0" fontId="20" fillId="0" borderId="26" xfId="0" applyFont="1" applyBorder="1" applyAlignment="1">
      <alignment horizontal="left" vertical="center" wrapText="1"/>
    </xf>
    <xf numFmtId="175" fontId="7" fillId="0" borderId="26" xfId="0" applyNumberFormat="1" applyFont="1" applyBorder="1" applyAlignment="1">
      <alignment horizontal="left" vertical="center" wrapText="1"/>
    </xf>
    <xf numFmtId="0" fontId="7" fillId="7" borderId="26" xfId="0" applyFont="1" applyFill="1" applyBorder="1"/>
    <xf numFmtId="0" fontId="7" fillId="7" borderId="26" xfId="0" applyFont="1" applyFill="1" applyBorder="1" applyAlignment="1">
      <alignment horizontal="left" vertical="center" wrapText="1"/>
    </xf>
    <xf numFmtId="178" fontId="7" fillId="0" borderId="26" xfId="2" applyNumberFormat="1" applyFont="1" applyFill="1" applyBorder="1" applyAlignment="1">
      <alignment horizontal="center" vertical="center"/>
    </xf>
    <xf numFmtId="175" fontId="7" fillId="7" borderId="26" xfId="0" applyNumberFormat="1" applyFont="1" applyFill="1" applyBorder="1" applyAlignment="1">
      <alignment horizontal="left" vertical="center" wrapText="1"/>
    </xf>
    <xf numFmtId="175" fontId="7" fillId="0" borderId="26" xfId="0" applyNumberFormat="1" applyFont="1" applyBorder="1" applyAlignment="1">
      <alignment horizontal="center" vertical="center"/>
    </xf>
    <xf numFmtId="0" fontId="7" fillId="0" borderId="26" xfId="0" applyFont="1" applyBorder="1" applyAlignment="1">
      <alignment vertical="center"/>
    </xf>
    <xf numFmtId="178" fontId="7" fillId="0" borderId="26" xfId="0" applyNumberFormat="1" applyFont="1" applyBorder="1" applyAlignment="1">
      <alignment horizontal="center" vertical="center"/>
    </xf>
    <xf numFmtId="174" fontId="7" fillId="0" borderId="26" xfId="0" applyNumberFormat="1" applyFont="1" applyBorder="1" applyAlignment="1">
      <alignment horizontal="center"/>
    </xf>
    <xf numFmtId="0" fontId="20" fillId="7" borderId="26" xfId="0" applyFont="1" applyFill="1" applyBorder="1" applyAlignment="1">
      <alignment horizontal="left" vertical="center" wrapText="1"/>
    </xf>
    <xf numFmtId="0" fontId="7" fillId="7" borderId="26" xfId="0" applyFont="1" applyFill="1" applyBorder="1" applyAlignment="1">
      <alignment horizontal="left"/>
    </xf>
    <xf numFmtId="0" fontId="7" fillId="0" borderId="0" xfId="0" applyFont="1" applyFill="1" applyAlignment="1">
      <alignment wrapText="1"/>
    </xf>
    <xf numFmtId="0" fontId="7" fillId="0" borderId="26" xfId="0" applyFont="1" applyFill="1" applyBorder="1" applyAlignment="1">
      <alignment wrapText="1"/>
    </xf>
    <xf numFmtId="175" fontId="0" fillId="0" borderId="26" xfId="0" applyNumberFormat="1" applyBorder="1" applyAlignment="1">
      <alignment horizontal="center"/>
    </xf>
    <xf numFmtId="175" fontId="7" fillId="0" borderId="26" xfId="2" applyNumberFormat="1" applyFont="1" applyFill="1" applyBorder="1" applyAlignment="1" applyProtection="1">
      <alignment horizontal="center" vertical="center"/>
      <protection locked="0"/>
    </xf>
    <xf numFmtId="175" fontId="7" fillId="0" borderId="26" xfId="0" applyNumberFormat="1" applyFont="1" applyBorder="1" applyAlignment="1">
      <alignment vertical="center"/>
    </xf>
    <xf numFmtId="0" fontId="3" fillId="0" borderId="26" xfId="0" applyFont="1" applyFill="1" applyBorder="1" applyAlignment="1">
      <alignment horizontal="center"/>
    </xf>
    <xf numFmtId="0" fontId="0" fillId="0" borderId="26" xfId="0" applyFill="1" applyBorder="1" applyAlignment="1">
      <alignment horizontal="center"/>
    </xf>
    <xf numFmtId="0" fontId="17" fillId="0" borderId="26" xfId="0" applyFont="1" applyFill="1" applyBorder="1"/>
    <xf numFmtId="0" fontId="0" fillId="0" borderId="26" xfId="0" applyFill="1" applyBorder="1" applyAlignment="1">
      <alignment wrapText="1"/>
    </xf>
    <xf numFmtId="0" fontId="3" fillId="0" borderId="26" xfId="0" applyFont="1" applyFill="1" applyBorder="1" applyAlignment="1">
      <alignment horizontal="center" vertical="center" wrapText="1"/>
    </xf>
    <xf numFmtId="0" fontId="0" fillId="0" borderId="26" xfId="0" applyFill="1" applyBorder="1" applyAlignment="1">
      <alignment horizontal="left" vertical="center"/>
    </xf>
    <xf numFmtId="175" fontId="20" fillId="0" borderId="26" xfId="0" applyNumberFormat="1" applyFont="1" applyFill="1" applyBorder="1" applyAlignment="1" applyProtection="1">
      <alignment horizontal="center" vertical="center"/>
      <protection locked="0"/>
    </xf>
    <xf numFmtId="175" fontId="0" fillId="0" borderId="26" xfId="0" applyNumberFormat="1" applyFill="1" applyBorder="1"/>
    <xf numFmtId="175" fontId="7" fillId="0" borderId="26" xfId="0" applyNumberFormat="1" applyFont="1" applyFill="1" applyBorder="1" applyAlignment="1">
      <alignment horizontal="center" vertical="center"/>
    </xf>
    <xf numFmtId="175" fontId="0" fillId="0" borderId="26" xfId="0" applyNumberFormat="1" applyFill="1" applyBorder="1" applyAlignment="1">
      <alignment horizontal="center"/>
    </xf>
    <xf numFmtId="175" fontId="7" fillId="0" borderId="26" xfId="0" applyNumberFormat="1" applyFont="1" applyFill="1" applyBorder="1"/>
    <xf numFmtId="175" fontId="7" fillId="0" borderId="26" xfId="0" applyNumberFormat="1" applyFont="1" applyFill="1" applyBorder="1" applyAlignment="1">
      <alignment horizontal="center"/>
    </xf>
    <xf numFmtId="0" fontId="0" fillId="0" borderId="26" xfId="0" applyFill="1" applyBorder="1" applyAlignment="1">
      <alignment horizontal="center" vertical="center"/>
    </xf>
    <xf numFmtId="175" fontId="0" fillId="0" borderId="26" xfId="2" applyNumberFormat="1" applyFont="1" applyFill="1" applyBorder="1" applyAlignment="1">
      <alignment horizontal="center" vertical="center"/>
    </xf>
    <xf numFmtId="164" fontId="0" fillId="0" borderId="26" xfId="0" applyNumberFormat="1" applyFill="1" applyBorder="1" applyAlignment="1">
      <alignment horizontal="center"/>
    </xf>
    <xf numFmtId="175" fontId="7" fillId="0" borderId="26" xfId="0" applyNumberFormat="1" applyFont="1" applyBorder="1" applyAlignment="1">
      <alignment vertical="center" wrapText="1"/>
    </xf>
    <xf numFmtId="178" fontId="7" fillId="0" borderId="26" xfId="0" applyNumberFormat="1" applyFont="1" applyBorder="1" applyAlignment="1">
      <alignment vertical="center" wrapText="1"/>
    </xf>
    <xf numFmtId="175" fontId="7" fillId="0" borderId="26" xfId="0" applyNumberFormat="1" applyFont="1" applyBorder="1" applyAlignment="1">
      <alignment horizontal="right" vertical="center"/>
    </xf>
    <xf numFmtId="174" fontId="0" fillId="0" borderId="26" xfId="2" applyNumberFormat="1" applyFont="1" applyFill="1" applyBorder="1" applyAlignment="1">
      <alignment horizontal="center"/>
    </xf>
    <xf numFmtId="169" fontId="0" fillId="0" borderId="26" xfId="0" applyNumberFormat="1" applyBorder="1" applyAlignment="1">
      <alignment horizontal="left" vertical="center" wrapText="1"/>
    </xf>
    <xf numFmtId="169" fontId="0" fillId="0" borderId="26" xfId="0" applyNumberFormat="1" applyBorder="1" applyAlignment="1">
      <alignment horizontal="left" vertical="center"/>
    </xf>
    <xf numFmtId="169" fontId="0" fillId="0" borderId="26" xfId="0" applyNumberFormat="1" applyBorder="1" applyAlignment="1">
      <alignment horizontal="left"/>
    </xf>
    <xf numFmtId="174" fontId="0" fillId="0" borderId="26" xfId="0" applyNumberFormat="1" applyBorder="1" applyAlignment="1">
      <alignment horizontal="center"/>
    </xf>
    <xf numFmtId="0" fontId="0" fillId="0" borderId="0" xfId="0" applyFill="1" applyAlignment="1">
      <alignment horizontal="center" vertical="center"/>
    </xf>
    <xf numFmtId="0" fontId="13" fillId="0" borderId="0" xfId="0" applyFont="1" applyFill="1" applyAlignment="1">
      <alignment vertical="center" wrapText="1"/>
    </xf>
    <xf numFmtId="0" fontId="6" fillId="0" borderId="1" xfId="0" applyFont="1" applyFill="1" applyBorder="1" applyAlignment="1">
      <alignment horizontal="left" indent="1"/>
    </xf>
    <xf numFmtId="0" fontId="0" fillId="0" borderId="0" xfId="0" applyFill="1" applyAlignment="1">
      <alignment wrapText="1"/>
    </xf>
    <xf numFmtId="0" fontId="2" fillId="0" borderId="0" xfId="0" applyFont="1" applyFill="1" applyAlignment="1">
      <alignment horizontal="center"/>
    </xf>
    <xf numFmtId="9" fontId="7" fillId="0" borderId="19" xfId="0" applyNumberFormat="1" applyFont="1" applyFill="1" applyBorder="1" applyAlignment="1">
      <alignment horizontal="center"/>
    </xf>
    <xf numFmtId="0" fontId="0" fillId="0" borderId="0" xfId="0" applyFill="1" applyAlignment="1">
      <alignment horizontal="left"/>
    </xf>
    <xf numFmtId="176" fontId="7" fillId="0" borderId="0" xfId="0" applyNumberFormat="1" applyFont="1" applyFill="1"/>
    <xf numFmtId="0" fontId="6" fillId="0" borderId="26" xfId="0" applyFont="1" applyFill="1" applyBorder="1" applyAlignment="1">
      <alignment horizontal="center" vertical="center"/>
    </xf>
    <xf numFmtId="0" fontId="6" fillId="0" borderId="26" xfId="0" applyFont="1" applyFill="1" applyBorder="1" applyAlignment="1">
      <alignment vertical="center" wrapText="1"/>
    </xf>
    <xf numFmtId="9" fontId="7" fillId="0" borderId="26" xfId="0" applyNumberFormat="1" applyFont="1" applyFill="1" applyBorder="1" applyAlignment="1">
      <alignment horizontal="center" vertical="center"/>
    </xf>
    <xf numFmtId="0" fontId="7" fillId="0" borderId="26" xfId="0" applyFont="1" applyFill="1" applyBorder="1" applyAlignment="1">
      <alignment horizontal="center" vertical="center" wrapText="1"/>
    </xf>
    <xf numFmtId="9" fontId="7" fillId="0" borderId="26" xfId="0" applyNumberFormat="1" applyFont="1" applyFill="1" applyBorder="1" applyAlignment="1">
      <alignment horizontal="center"/>
    </xf>
    <xf numFmtId="9" fontId="7" fillId="0" borderId="26" xfId="0" applyNumberFormat="1" applyFont="1" applyFill="1" applyBorder="1" applyAlignment="1">
      <alignment vertical="center"/>
    </xf>
    <xf numFmtId="9" fontId="0" fillId="0" borderId="26" xfId="1" applyNumberFormat="1" applyFont="1" applyFill="1" applyBorder="1" applyAlignment="1">
      <alignment vertical="center"/>
    </xf>
    <xf numFmtId="0" fontId="0" fillId="0" borderId="26" xfId="0" applyFill="1" applyBorder="1" applyAlignment="1">
      <alignment horizontal="left"/>
    </xf>
    <xf numFmtId="9" fontId="7" fillId="0" borderId="26" xfId="1" applyNumberFormat="1" applyFont="1" applyFill="1" applyBorder="1" applyAlignment="1">
      <alignment vertical="center" wrapText="1"/>
    </xf>
    <xf numFmtId="9" fontId="0" fillId="0" borderId="26" xfId="3" applyFont="1" applyFill="1" applyBorder="1" applyAlignment="1">
      <alignment horizontal="center"/>
    </xf>
    <xf numFmtId="9" fontId="0" fillId="0" borderId="26" xfId="1" applyNumberFormat="1" applyFont="1" applyFill="1" applyBorder="1" applyAlignment="1"/>
    <xf numFmtId="9" fontId="0" fillId="0" borderId="26" xfId="1" applyNumberFormat="1" applyFont="1" applyFill="1" applyBorder="1" applyAlignment="1">
      <alignment wrapText="1"/>
    </xf>
    <xf numFmtId="9" fontId="0" fillId="0" borderId="26" xfId="3" applyFont="1" applyFill="1" applyBorder="1" applyAlignment="1">
      <alignment horizontal="center" vertical="center"/>
    </xf>
    <xf numFmtId="171" fontId="0" fillId="0" borderId="26" xfId="0" applyNumberFormat="1" applyFill="1" applyBorder="1" applyAlignment="1">
      <alignment horizontal="center"/>
    </xf>
    <xf numFmtId="9" fontId="20" fillId="0" borderId="26" xfId="0" applyNumberFormat="1" applyFont="1" applyFill="1" applyBorder="1" applyAlignment="1">
      <alignment horizontal="center"/>
    </xf>
    <xf numFmtId="172" fontId="20" fillId="0" borderId="26" xfId="0" applyNumberFormat="1" applyFont="1" applyFill="1" applyBorder="1" applyAlignment="1">
      <alignment horizontal="center"/>
    </xf>
    <xf numFmtId="0" fontId="16" fillId="0" borderId="26" xfId="0" applyFont="1" applyFill="1" applyBorder="1"/>
    <xf numFmtId="0" fontId="7" fillId="0" borderId="26" xfId="4" applyNumberFormat="1" applyFont="1" applyFill="1" applyBorder="1" applyAlignment="1">
      <alignment horizontal="center"/>
      <protection locked="0"/>
    </xf>
    <xf numFmtId="0" fontId="0" fillId="0" borderId="0" xfId="0" applyFill="1" applyAlignment="1">
      <alignment vertical="center"/>
    </xf>
    <xf numFmtId="0" fontId="7" fillId="0" borderId="1" xfId="0" applyFont="1" applyFill="1" applyBorder="1" applyAlignment="1"/>
    <xf numFmtId="0" fontId="0" fillId="0" borderId="0" xfId="0" applyFill="1" applyAlignment="1"/>
    <xf numFmtId="0" fontId="3" fillId="0" borderId="26" xfId="0" applyFont="1" applyFill="1" applyBorder="1" applyAlignment="1">
      <alignment vertical="center" wrapText="1"/>
    </xf>
    <xf numFmtId="0" fontId="0" fillId="0" borderId="26" xfId="0" applyFill="1" applyBorder="1" applyAlignment="1">
      <alignment vertical="center"/>
    </xf>
    <xf numFmtId="0" fontId="0" fillId="0" borderId="26" xfId="0" applyFill="1" applyBorder="1" applyAlignment="1"/>
    <xf numFmtId="0" fontId="25" fillId="0" borderId="26" xfId="0" applyFont="1" applyFill="1" applyBorder="1" applyAlignment="1">
      <alignment vertical="center"/>
    </xf>
    <xf numFmtId="0" fontId="7" fillId="0" borderId="26" xfId="0" applyFont="1" applyFill="1" applyBorder="1" applyAlignment="1"/>
    <xf numFmtId="171" fontId="0" fillId="0" borderId="26" xfId="0" applyNumberFormat="1" applyFill="1" applyBorder="1" applyAlignment="1"/>
    <xf numFmtId="0" fontId="7" fillId="0" borderId="0" xfId="0" applyFont="1" applyFill="1" applyAlignment="1"/>
    <xf numFmtId="0" fontId="0" fillId="0" borderId="1" xfId="0" applyFill="1" applyBorder="1" applyAlignment="1">
      <alignment horizontal="center"/>
    </xf>
    <xf numFmtId="0" fontId="3" fillId="0" borderId="0" xfId="0" applyFont="1" applyFill="1" applyAlignment="1">
      <alignment horizontal="center"/>
    </xf>
    <xf numFmtId="9" fontId="20" fillId="0" borderId="19" xfId="0" applyNumberFormat="1" applyFont="1" applyFill="1" applyBorder="1" applyAlignment="1">
      <alignment horizontal="left" vertical="center"/>
    </xf>
    <xf numFmtId="0" fontId="3" fillId="0" borderId="26" xfId="0" applyFont="1" applyFill="1" applyBorder="1" applyAlignment="1">
      <alignment horizontal="left"/>
    </xf>
    <xf numFmtId="0" fontId="3" fillId="0" borderId="19" xfId="0" applyFont="1" applyFill="1" applyBorder="1" applyAlignment="1">
      <alignment horizontal="left" wrapText="1"/>
    </xf>
    <xf numFmtId="0" fontId="0" fillId="0" borderId="19" xfId="0" applyFill="1" applyBorder="1" applyAlignment="1">
      <alignment horizontal="left" vertical="center" wrapText="1"/>
    </xf>
    <xf numFmtId="0" fontId="3" fillId="0" borderId="26" xfId="0" applyFont="1" applyFill="1" applyBorder="1"/>
    <xf numFmtId="167" fontId="0" fillId="0" borderId="26" xfId="1" applyFont="1" applyFill="1" applyBorder="1"/>
    <xf numFmtId="9" fontId="0" fillId="0" borderId="26" xfId="0" applyNumberFormat="1" applyFill="1" applyBorder="1"/>
    <xf numFmtId="0" fontId="9" fillId="0" borderId="26" xfId="0" applyFont="1" applyFill="1" applyBorder="1" applyAlignment="1">
      <alignment horizontal="left" wrapText="1"/>
    </xf>
    <xf numFmtId="0" fontId="3" fillId="0" borderId="26" xfId="0" applyFont="1" applyFill="1" applyBorder="1" applyAlignment="1">
      <alignment horizontal="center" wrapText="1"/>
    </xf>
    <xf numFmtId="0" fontId="0" fillId="0" borderId="26" xfId="0" applyFill="1" applyBorder="1" applyAlignment="1">
      <alignment horizontal="left" vertical="center" wrapText="1"/>
    </xf>
    <xf numFmtId="0" fontId="0" fillId="0" borderId="26" xfId="0" applyFill="1" applyBorder="1" applyAlignment="1">
      <alignment horizontal="left" wrapText="1"/>
    </xf>
    <xf numFmtId="9" fontId="7" fillId="0" borderId="26" xfId="3" applyFont="1" applyFill="1" applyBorder="1" applyAlignment="1">
      <alignment horizontal="center" vertical="center"/>
    </xf>
    <xf numFmtId="9" fontId="20" fillId="0" borderId="26" xfId="3" applyFont="1" applyFill="1" applyBorder="1" applyAlignment="1">
      <alignment horizontal="center" vertical="center"/>
    </xf>
    <xf numFmtId="9" fontId="1" fillId="0" borderId="26" xfId="3" applyFont="1" applyFill="1" applyBorder="1" applyAlignment="1" applyProtection="1">
      <alignment horizontal="center"/>
      <protection locked="0"/>
    </xf>
    <xf numFmtId="0" fontId="0" fillId="0" borderId="19" xfId="0" applyFill="1" applyBorder="1" applyAlignment="1">
      <alignment horizontal="left"/>
    </xf>
    <xf numFmtId="0" fontId="0" fillId="0" borderId="27" xfId="0" applyBorder="1" applyAlignment="1">
      <alignment horizontal="center" wrapText="1"/>
    </xf>
    <xf numFmtId="180" fontId="0" fillId="0" borderId="29" xfId="0" applyNumberFormat="1" applyBorder="1" applyAlignment="1">
      <alignment horizontal="center" vertical="center" wrapText="1"/>
    </xf>
    <xf numFmtId="180" fontId="0" fillId="0" borderId="30" xfId="0" applyNumberFormat="1" applyBorder="1" applyAlignment="1">
      <alignment horizontal="center" vertical="center" wrapText="1"/>
    </xf>
    <xf numFmtId="2" fontId="1" fillId="0" borderId="26" xfId="6" applyNumberFormat="1" applyBorder="1"/>
    <xf numFmtId="171" fontId="7" fillId="0" borderId="26" xfId="1" applyNumberFormat="1" applyFont="1" applyFill="1" applyBorder="1"/>
    <xf numFmtId="167" fontId="0" fillId="0" borderId="26" xfId="1" applyFont="1" applyFill="1" applyBorder="1" applyAlignment="1">
      <alignment horizontal="left"/>
    </xf>
    <xf numFmtId="167" fontId="0" fillId="0" borderId="28" xfId="1" applyFont="1" applyFill="1" applyBorder="1" applyAlignment="1">
      <alignment horizontal="left"/>
    </xf>
    <xf numFmtId="172" fontId="7" fillId="0" borderId="26" xfId="3" applyNumberFormat="1" applyFont="1" applyFill="1" applyBorder="1"/>
    <xf numFmtId="0" fontId="5" fillId="0" borderId="0" xfId="0" applyFont="1" applyFill="1"/>
    <xf numFmtId="171" fontId="0" fillId="0" borderId="26" xfId="1" applyNumberFormat="1" applyFont="1" applyBorder="1"/>
    <xf numFmtId="0" fontId="3" fillId="0" borderId="27" xfId="0" applyFont="1" applyBorder="1" applyAlignment="1">
      <alignment horizontal="center" wrapText="1"/>
    </xf>
    <xf numFmtId="0" fontId="3" fillId="0" borderId="28" xfId="0" applyFont="1" applyBorder="1" applyAlignment="1">
      <alignment horizontal="left" indent="1"/>
    </xf>
    <xf numFmtId="0" fontId="0" fillId="0" borderId="31" xfId="0" applyBorder="1"/>
    <xf numFmtId="0" fontId="0" fillId="0" borderId="29" xfId="0" applyBorder="1"/>
    <xf numFmtId="0" fontId="3" fillId="0" borderId="29" xfId="0" applyFont="1" applyBorder="1" applyAlignment="1">
      <alignment horizontal="center"/>
    </xf>
    <xf numFmtId="0" fontId="0" fillId="0" borderId="2" xfId="0" applyFill="1" applyBorder="1" applyAlignment="1">
      <alignment horizontal="center"/>
    </xf>
    <xf numFmtId="171" fontId="0" fillId="0" borderId="2" xfId="0" applyNumberFormat="1" applyFill="1" applyBorder="1" applyAlignment="1">
      <alignment horizontal="center"/>
    </xf>
    <xf numFmtId="171" fontId="7" fillId="0" borderId="2" xfId="1" applyNumberFormat="1" applyFont="1" applyFill="1" applyBorder="1"/>
    <xf numFmtId="167" fontId="0" fillId="0" borderId="2" xfId="1" applyFont="1" applyFill="1" applyBorder="1" applyAlignment="1">
      <alignment horizontal="left"/>
    </xf>
    <xf numFmtId="0" fontId="3" fillId="0" borderId="32" xfId="0" applyFont="1" applyBorder="1" applyAlignment="1">
      <alignment horizontal="center" wrapText="1"/>
    </xf>
    <xf numFmtId="0" fontId="9" fillId="0" borderId="33" xfId="0" applyFont="1" applyBorder="1" applyAlignment="1">
      <alignment horizontal="center" wrapText="1"/>
    </xf>
    <xf numFmtId="0" fontId="3" fillId="0" borderId="33" xfId="0" applyFont="1" applyBorder="1" applyAlignment="1">
      <alignment horizontal="center"/>
    </xf>
    <xf numFmtId="0" fontId="3" fillId="0" borderId="34" xfId="0" applyFont="1" applyBorder="1" applyAlignment="1">
      <alignment horizontal="center"/>
    </xf>
    <xf numFmtId="171" fontId="0" fillId="0" borderId="35" xfId="1" applyNumberFormat="1" applyFont="1" applyBorder="1"/>
    <xf numFmtId="171" fontId="0" fillId="0" borderId="36" xfId="1" applyNumberFormat="1" applyFont="1" applyBorder="1"/>
    <xf numFmtId="171" fontId="0" fillId="0" borderId="37" xfId="1" applyNumberFormat="1" applyFont="1" applyBorder="1" applyAlignment="1">
      <alignment horizontal="left"/>
    </xf>
    <xf numFmtId="171" fontId="0" fillId="0" borderId="38" xfId="1" applyNumberFormat="1" applyFont="1" applyBorder="1" applyAlignment="1">
      <alignment horizontal="left"/>
    </xf>
    <xf numFmtId="171" fontId="0" fillId="0" borderId="39" xfId="1" applyNumberFormat="1" applyFont="1" applyBorder="1" applyAlignment="1">
      <alignment horizontal="left"/>
    </xf>
    <xf numFmtId="0" fontId="7" fillId="0" borderId="19" xfId="0" applyFont="1" applyBorder="1" applyAlignment="1">
      <alignment horizontal="left"/>
    </xf>
    <xf numFmtId="0" fontId="6" fillId="0" borderId="18" xfId="0" applyFont="1" applyBorder="1" applyAlignment="1">
      <alignment vertical="center" wrapText="1"/>
    </xf>
    <xf numFmtId="0" fontId="6" fillId="0" borderId="19" xfId="0" applyFont="1" applyBorder="1" applyAlignment="1">
      <alignment horizontal="left"/>
    </xf>
    <xf numFmtId="0" fontId="7" fillId="0" borderId="19" xfId="0" applyFont="1" applyBorder="1" applyAlignment="1">
      <alignment vertical="center"/>
    </xf>
    <xf numFmtId="0" fontId="7" fillId="0" borderId="19" xfId="0" applyFont="1" applyBorder="1" applyAlignment="1">
      <alignment horizontal="center" wrapText="1"/>
    </xf>
    <xf numFmtId="173" fontId="6" fillId="0" borderId="18" xfId="0" applyNumberFormat="1" applyFont="1" applyBorder="1" applyAlignment="1">
      <alignment horizontal="center" vertical="center" wrapText="1"/>
    </xf>
    <xf numFmtId="2" fontId="7" fillId="0" borderId="19" xfId="0" applyNumberFormat="1" applyFont="1" applyBorder="1" applyAlignment="1">
      <alignment vertical="center" wrapText="1"/>
    </xf>
    <xf numFmtId="167" fontId="7" fillId="0" borderId="19" xfId="1" applyFont="1" applyFill="1" applyBorder="1" applyAlignment="1">
      <alignment vertical="center" wrapText="1"/>
    </xf>
    <xf numFmtId="9" fontId="7" fillId="0" borderId="0" xfId="0" applyNumberFormat="1" applyFont="1" applyAlignment="1">
      <alignment vertical="center"/>
    </xf>
    <xf numFmtId="9" fontId="7" fillId="0" borderId="0" xfId="0" applyNumberFormat="1" applyFont="1" applyAlignment="1">
      <alignment vertical="center" wrapText="1"/>
    </xf>
    <xf numFmtId="172" fontId="7" fillId="0" borderId="19" xfId="0" applyNumberFormat="1" applyFont="1" applyBorder="1" applyAlignment="1" applyProtection="1">
      <alignment vertical="center"/>
      <protection locked="0"/>
    </xf>
    <xf numFmtId="9" fontId="7" fillId="0" borderId="19" xfId="0" applyNumberFormat="1" applyFont="1" applyBorder="1" applyAlignment="1" applyProtection="1">
      <protection locked="0"/>
    </xf>
    <xf numFmtId="10" fontId="7" fillId="0" borderId="19" xfId="0" applyNumberFormat="1" applyFont="1" applyBorder="1" applyAlignment="1" applyProtection="1">
      <alignment vertical="center"/>
      <protection locked="0"/>
    </xf>
    <xf numFmtId="9" fontId="7" fillId="0" borderId="19" xfId="0" applyNumberFormat="1" applyFont="1" applyBorder="1" applyAlignment="1">
      <alignment vertical="center" wrapText="1"/>
    </xf>
    <xf numFmtId="172" fontId="7" fillId="0" borderId="19" xfId="0" applyNumberFormat="1" applyFont="1" applyBorder="1" applyAlignment="1" applyProtection="1">
      <protection locked="0"/>
    </xf>
    <xf numFmtId="0" fontId="3" fillId="0" borderId="1" xfId="0" applyFont="1" applyFill="1" applyBorder="1" applyAlignment="1">
      <alignment horizontal="left" indent="1"/>
    </xf>
    <xf numFmtId="9" fontId="0" fillId="0" borderId="19" xfId="0" applyNumberFormat="1" applyFill="1" applyBorder="1" applyAlignment="1">
      <alignment horizontal="center"/>
    </xf>
    <xf numFmtId="0" fontId="6" fillId="0" borderId="19" xfId="0" applyFont="1" applyFill="1" applyBorder="1" applyAlignment="1">
      <alignment horizontal="left" vertical="center" wrapText="1"/>
    </xf>
    <xf numFmtId="0" fontId="7" fillId="0" borderId="19" xfId="0" applyFont="1" applyFill="1" applyBorder="1" applyAlignment="1">
      <alignment horizontal="left"/>
    </xf>
    <xf numFmtId="0" fontId="0" fillId="0" borderId="7" xfId="0" applyFill="1" applyBorder="1" applyAlignment="1">
      <alignment horizontal="center"/>
    </xf>
    <xf numFmtId="0" fontId="3" fillId="0" borderId="6" xfId="0" applyFont="1" applyFill="1" applyBorder="1"/>
    <xf numFmtId="0" fontId="2" fillId="0" borderId="0" xfId="0" applyFont="1" applyFill="1"/>
    <xf numFmtId="10" fontId="7" fillId="0" borderId="19" xfId="0" applyNumberFormat="1" applyFont="1" applyFill="1" applyBorder="1"/>
    <xf numFmtId="0" fontId="5" fillId="0" borderId="0" xfId="0" applyFont="1" applyFill="1" applyAlignment="1">
      <alignment horizontal="left"/>
    </xf>
    <xf numFmtId="10" fontId="20" fillId="0" borderId="0" xfId="0" applyNumberFormat="1" applyFont="1" applyFill="1" applyAlignment="1">
      <alignment horizontal="left" vertical="center"/>
    </xf>
    <xf numFmtId="0" fontId="5" fillId="0" borderId="0" xfId="0" applyFont="1" applyFill="1" applyAlignment="1">
      <alignment horizontal="center"/>
    </xf>
    <xf numFmtId="0" fontId="3" fillId="0" borderId="27" xfId="0" applyFont="1" applyFill="1" applyBorder="1" applyAlignment="1">
      <alignment horizontal="left" wrapText="1"/>
    </xf>
    <xf numFmtId="0" fontId="9" fillId="0" borderId="26" xfId="0" applyFont="1" applyFill="1" applyBorder="1" applyAlignment="1">
      <alignment horizontal="center" wrapText="1"/>
    </xf>
    <xf numFmtId="0" fontId="15" fillId="0" borderId="26" xfId="0" applyFont="1" applyFill="1" applyBorder="1" applyAlignment="1">
      <alignment vertical="center"/>
    </xf>
    <xf numFmtId="10" fontId="10" fillId="0" borderId="26" xfId="0" applyNumberFormat="1" applyFont="1" applyFill="1" applyBorder="1" applyAlignment="1">
      <alignment horizontal="right" vertical="center"/>
    </xf>
    <xf numFmtId="0" fontId="20" fillId="0" borderId="26" xfId="0" applyFont="1" applyFill="1" applyBorder="1"/>
    <xf numFmtId="10" fontId="20" fillId="0" borderId="26" xfId="0" applyNumberFormat="1" applyFont="1" applyFill="1" applyBorder="1" applyAlignment="1">
      <alignment horizontal="right" vertical="center"/>
    </xf>
    <xf numFmtId="0" fontId="5" fillId="0" borderId="26" xfId="0" applyFont="1" applyFill="1" applyBorder="1" applyAlignment="1">
      <alignment horizontal="left"/>
    </xf>
    <xf numFmtId="0" fontId="5" fillId="0" borderId="26" xfId="0" applyFont="1" applyFill="1" applyBorder="1"/>
    <xf numFmtId="10" fontId="0" fillId="0" borderId="26" xfId="0" applyNumberFormat="1" applyFill="1" applyBorder="1"/>
    <xf numFmtId="0" fontId="23" fillId="5" borderId="8" xfId="0" applyFont="1" applyFill="1" applyBorder="1" applyAlignment="1">
      <alignment vertical="center" wrapText="1"/>
    </xf>
    <xf numFmtId="0" fontId="16" fillId="5" borderId="10" xfId="0" applyFont="1" applyFill="1" applyBorder="1" applyAlignment="1">
      <alignment vertical="center" wrapText="1"/>
    </xf>
    <xf numFmtId="0" fontId="16" fillId="5" borderId="11" xfId="0" applyFont="1" applyFill="1" applyBorder="1" applyAlignment="1">
      <alignment vertical="center" wrapText="1"/>
    </xf>
    <xf numFmtId="0" fontId="7" fillId="0" borderId="26" xfId="0" applyFont="1" applyFill="1" applyBorder="1" applyAlignment="1">
      <alignment horizontal="left" vertical="center" wrapText="1"/>
    </xf>
    <xf numFmtId="166" fontId="32" fillId="0" borderId="0" xfId="0" applyNumberFormat="1" applyFont="1" applyAlignment="1">
      <alignment horizontal="left" vertical="top"/>
    </xf>
    <xf numFmtId="166" fontId="32" fillId="0" borderId="0" xfId="0" applyNumberFormat="1" applyFont="1" applyAlignment="1">
      <alignment horizontal="left" vertical="top" wrapText="1"/>
    </xf>
    <xf numFmtId="0" fontId="6" fillId="0" borderId="19" xfId="0" applyFont="1" applyBorder="1" applyAlignment="1">
      <alignment horizontal="center" vertical="center" wrapText="1"/>
    </xf>
    <xf numFmtId="0" fontId="7" fillId="0" borderId="6" xfId="0" applyFont="1" applyBorder="1" applyAlignment="1">
      <alignment horizontal="center"/>
    </xf>
    <xf numFmtId="0" fontId="10" fillId="0" borderId="41" xfId="0" applyFont="1" applyFill="1" applyBorder="1" applyAlignment="1">
      <alignment vertical="center"/>
    </xf>
    <xf numFmtId="0" fontId="4" fillId="2" borderId="0" xfId="0" applyFont="1" applyFill="1" applyAlignment="1">
      <alignment horizontal="center"/>
    </xf>
    <xf numFmtId="0" fontId="7" fillId="0" borderId="26" xfId="0" applyFont="1" applyFill="1" applyBorder="1" applyAlignment="1">
      <alignment horizontal="left" vertical="center" wrapText="1"/>
    </xf>
    <xf numFmtId="0" fontId="0" fillId="0" borderId="15" xfId="0" applyBorder="1" applyAlignment="1">
      <alignment horizontal="center" vertical="center"/>
    </xf>
    <xf numFmtId="0" fontId="0" fillId="0" borderId="17" xfId="0" applyBorder="1" applyAlignment="1">
      <alignment horizontal="center" vertical="center"/>
    </xf>
    <xf numFmtId="0" fontId="7" fillId="0" borderId="15" xfId="0" applyFont="1" applyBorder="1" applyAlignment="1">
      <alignment vertical="center" wrapText="1"/>
    </xf>
    <xf numFmtId="0" fontId="0" fillId="0" borderId="17" xfId="0" applyBorder="1" applyAlignment="1">
      <alignment vertical="center" wrapText="1"/>
    </xf>
    <xf numFmtId="0" fontId="0" fillId="0" borderId="17" xfId="0" applyBorder="1" applyAlignment="1"/>
    <xf numFmtId="0" fontId="7" fillId="0" borderId="26" xfId="0" applyFont="1" applyBorder="1" applyAlignment="1">
      <alignment vertical="center" wrapText="1"/>
    </xf>
    <xf numFmtId="0" fontId="0" fillId="0" borderId="26" xfId="0" applyBorder="1" applyAlignment="1">
      <alignment vertical="center" wrapText="1"/>
    </xf>
    <xf numFmtId="0" fontId="0" fillId="0" borderId="26" xfId="0" applyBorder="1" applyAlignment="1"/>
    <xf numFmtId="0" fontId="20" fillId="7" borderId="26" xfId="0" applyFont="1" applyFill="1" applyBorder="1" applyAlignment="1">
      <alignment horizontal="left" vertical="center" wrapText="1"/>
    </xf>
    <xf numFmtId="0" fontId="7" fillId="0" borderId="26" xfId="0" applyFont="1" applyBorder="1" applyAlignment="1">
      <alignment horizontal="left" vertical="center" wrapText="1"/>
    </xf>
    <xf numFmtId="175" fontId="7" fillId="0" borderId="26" xfId="0" quotePrefix="1" applyNumberFormat="1" applyFont="1" applyBorder="1" applyAlignment="1">
      <alignment horizontal="left" vertical="center" wrapText="1"/>
    </xf>
    <xf numFmtId="175" fontId="7" fillId="0" borderId="26" xfId="0" applyNumberFormat="1" applyFont="1" applyBorder="1" applyAlignment="1">
      <alignment horizontal="left" vertical="center" wrapText="1"/>
    </xf>
    <xf numFmtId="0" fontId="20" fillId="0" borderId="26" xfId="0" applyFont="1" applyBorder="1" applyAlignment="1">
      <alignment horizontal="left" vertical="center" wrapText="1"/>
    </xf>
    <xf numFmtId="0" fontId="7" fillId="7" borderId="26" xfId="0" applyFont="1" applyFill="1" applyBorder="1" applyAlignment="1">
      <alignment horizontal="left" vertical="center" wrapText="1"/>
    </xf>
    <xf numFmtId="0" fontId="33" fillId="6" borderId="0" xfId="16" applyBorder="1" applyAlignment="1">
      <alignment horizontal="left" vertical="center" wrapText="1"/>
    </xf>
    <xf numFmtId="0" fontId="33" fillId="6" borderId="24" xfId="16" applyAlignment="1">
      <alignment horizontal="left" vertical="center" wrapText="1"/>
    </xf>
    <xf numFmtId="0" fontId="34" fillId="6" borderId="24" xfId="17" applyAlignment="1">
      <alignment horizontal="center"/>
    </xf>
    <xf numFmtId="0" fontId="33" fillId="6" borderId="24" xfId="16" applyAlignment="1">
      <alignment horizontal="center" vertical="center" wrapText="1"/>
    </xf>
    <xf numFmtId="0" fontId="33" fillId="6" borderId="24" xfId="16" applyAlignment="1">
      <alignment vertical="center" wrapText="1"/>
    </xf>
    <xf numFmtId="0" fontId="33" fillId="6" borderId="24" xfId="16">
      <alignment vertical="center" wrapText="1"/>
    </xf>
    <xf numFmtId="0" fontId="7" fillId="0" borderId="26" xfId="0" applyFont="1" applyBorder="1" applyAlignment="1">
      <alignment horizontal="center" vertical="center" wrapText="1"/>
    </xf>
    <xf numFmtId="0" fontId="7" fillId="0" borderId="26" xfId="0" applyFont="1" applyFill="1" applyBorder="1" applyAlignment="1">
      <alignment vertical="center" wrapText="1"/>
    </xf>
    <xf numFmtId="0" fontId="0" fillId="0" borderId="26" xfId="0" applyFill="1" applyBorder="1" applyAlignment="1">
      <alignment horizontal="left" wrapText="1"/>
    </xf>
    <xf numFmtId="0" fontId="0" fillId="0" borderId="26" xfId="0" applyFill="1" applyBorder="1" applyAlignment="1">
      <alignment horizontal="left" vertical="center" wrapText="1"/>
    </xf>
    <xf numFmtId="0" fontId="25" fillId="0" borderId="26" xfId="0" applyFont="1" applyFill="1" applyBorder="1" applyAlignment="1">
      <alignment horizontal="left" vertical="center" wrapText="1"/>
    </xf>
    <xf numFmtId="0" fontId="25" fillId="0" borderId="26" xfId="0" applyFont="1" applyFill="1" applyBorder="1" applyAlignment="1">
      <alignment horizontal="left"/>
    </xf>
    <xf numFmtId="0" fontId="0" fillId="0" borderId="19" xfId="0" applyFill="1" applyBorder="1" applyAlignment="1">
      <alignment horizontal="left" vertical="center" wrapText="1"/>
    </xf>
    <xf numFmtId="0" fontId="0" fillId="0" borderId="1" xfId="0" applyFill="1" applyBorder="1" applyAlignment="1">
      <alignment horizontal="left" vertical="center" wrapText="1"/>
    </xf>
    <xf numFmtId="0" fontId="0" fillId="0" borderId="20" xfId="0" applyFill="1" applyBorder="1" applyAlignment="1">
      <alignment horizontal="left" vertical="center" wrapText="1"/>
    </xf>
    <xf numFmtId="0" fontId="0" fillId="0" borderId="2" xfId="0" applyFill="1" applyBorder="1" applyAlignment="1">
      <alignment horizontal="left" vertical="center" wrapText="1"/>
    </xf>
    <xf numFmtId="0" fontId="0" fillId="0" borderId="29" xfId="0" applyBorder="1" applyAlignment="1">
      <alignment horizontal="center"/>
    </xf>
    <xf numFmtId="0" fontId="0" fillId="0" borderId="30" xfId="0" applyBorder="1" applyAlignment="1">
      <alignment horizontal="center"/>
    </xf>
    <xf numFmtId="0" fontId="0" fillId="0" borderId="23" xfId="0" applyBorder="1" applyAlignment="1">
      <alignment horizontal="center"/>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19" xfId="0" applyFont="1" applyBorder="1" applyAlignment="1">
      <alignment vertical="center" wrapText="1"/>
    </xf>
    <xf numFmtId="0" fontId="7" fillId="0" borderId="20" xfId="0" applyFont="1" applyBorder="1" applyAlignment="1">
      <alignment vertical="center" wrapText="1"/>
    </xf>
    <xf numFmtId="9" fontId="7" fillId="0" borderId="1" xfId="3" applyFont="1" applyFill="1" applyBorder="1" applyAlignment="1" applyProtection="1">
      <alignment vertical="center" wrapText="1"/>
      <protection locked="0"/>
    </xf>
    <xf numFmtId="9" fontId="7" fillId="0" borderId="20" xfId="3" applyFont="1" applyFill="1" applyBorder="1" applyAlignment="1" applyProtection="1">
      <alignment vertical="center" wrapText="1"/>
      <protection locked="0"/>
    </xf>
    <xf numFmtId="9" fontId="7" fillId="0" borderId="2" xfId="3" applyFont="1" applyFill="1" applyBorder="1" applyAlignment="1" applyProtection="1">
      <alignment vertical="center" wrapText="1"/>
      <protection locked="0"/>
    </xf>
    <xf numFmtId="0" fontId="0" fillId="0" borderId="40" xfId="0" applyFill="1" applyBorder="1" applyAlignment="1">
      <alignment horizontal="left" vertical="center" wrapText="1"/>
    </xf>
    <xf numFmtId="0" fontId="0" fillId="0" borderId="17" xfId="0" applyBorder="1" applyAlignment="1">
      <alignment horizontal="left" vertical="center" wrapText="1"/>
    </xf>
    <xf numFmtId="0" fontId="0" fillId="0" borderId="12" xfId="0" applyBorder="1" applyAlignment="1">
      <alignment horizontal="left" vertical="center" wrapText="1"/>
    </xf>
    <xf numFmtId="9" fontId="0" fillId="0" borderId="40" xfId="3" applyFont="1" applyFill="1" applyBorder="1" applyAlignment="1">
      <alignment horizontal="left" vertical="center"/>
    </xf>
    <xf numFmtId="9" fontId="0" fillId="0" borderId="17" xfId="3" applyFont="1" applyFill="1" applyBorder="1" applyAlignment="1">
      <alignment horizontal="left" vertical="center"/>
    </xf>
    <xf numFmtId="0" fontId="0" fillId="0" borderId="17" xfId="0" applyBorder="1" applyAlignment="1">
      <alignment horizontal="left" vertical="center"/>
    </xf>
    <xf numFmtId="0" fontId="0" fillId="0" borderId="12" xfId="0" applyBorder="1" applyAlignment="1">
      <alignment horizontal="left" vertical="center"/>
    </xf>
    <xf numFmtId="0" fontId="7" fillId="0" borderId="16" xfId="0" applyFont="1" applyFill="1" applyBorder="1" applyAlignment="1">
      <alignment horizontal="left" vertical="top" wrapText="1"/>
    </xf>
    <xf numFmtId="0" fontId="0" fillId="0" borderId="0" xfId="0" applyFill="1" applyAlignment="1">
      <alignment horizontal="left" vertical="top"/>
    </xf>
    <xf numFmtId="0" fontId="0" fillId="0" borderId="0" xfId="0" applyFill="1" applyAlignment="1">
      <alignment horizontal="left" wrapText="1"/>
    </xf>
    <xf numFmtId="0" fontId="0" fillId="0" borderId="0" xfId="0" applyFill="1" applyAlignment="1">
      <alignment horizontal="left"/>
    </xf>
    <xf numFmtId="0" fontId="3" fillId="0" borderId="0" xfId="0" applyFont="1" applyAlignment="1">
      <alignment horizontal="center"/>
    </xf>
    <xf numFmtId="0" fontId="0" fillId="0" borderId="9" xfId="0" applyBorder="1" applyAlignment="1">
      <alignment vertical="center" wrapText="1"/>
    </xf>
    <xf numFmtId="0" fontId="0" fillId="0" borderId="10" xfId="0" applyBorder="1" applyAlignment="1">
      <alignment vertical="center" wrapText="1"/>
    </xf>
    <xf numFmtId="0" fontId="0" fillId="0" borderId="11" xfId="0" applyBorder="1" applyAlignment="1">
      <alignment vertical="center" wrapText="1"/>
    </xf>
    <xf numFmtId="0" fontId="16" fillId="0" borderId="9" xfId="0" applyFont="1" applyBorder="1" applyAlignment="1">
      <alignment vertical="center" wrapText="1"/>
    </xf>
    <xf numFmtId="0" fontId="16" fillId="0" borderId="10" xfId="0" applyFont="1" applyBorder="1" applyAlignment="1">
      <alignment vertical="center" wrapText="1"/>
    </xf>
    <xf numFmtId="0" fontId="16" fillId="0" borderId="11" xfId="0" applyFont="1" applyBorder="1" applyAlignment="1">
      <alignment vertical="center" wrapText="1"/>
    </xf>
    <xf numFmtId="0" fontId="24" fillId="5" borderId="9" xfId="0" applyFont="1" applyFill="1" applyBorder="1" applyAlignment="1">
      <alignment vertical="center" wrapText="1"/>
    </xf>
    <xf numFmtId="0" fontId="24" fillId="5" borderId="10" xfId="0" applyFont="1" applyFill="1" applyBorder="1" applyAlignment="1">
      <alignment vertical="center" wrapText="1"/>
    </xf>
    <xf numFmtId="0" fontId="24" fillId="5" borderId="11" xfId="0" applyFont="1" applyFill="1" applyBorder="1" applyAlignment="1">
      <alignment vertical="center" wrapText="1"/>
    </xf>
  </cellXfs>
  <cellStyles count="19">
    <cellStyle name="Changed" xfId="4" xr:uid="{00000000-0005-0000-0000-000000000000}"/>
    <cellStyle name="Comma" xfId="1" builtinId="3"/>
    <cellStyle name="Comma 2" xfId="11" xr:uid="{00000000-0005-0000-0000-000002000000}"/>
    <cellStyle name="Comma 3" xfId="10" xr:uid="{00000000-0005-0000-0000-000003000000}"/>
    <cellStyle name="Currency" xfId="2" builtinId="4"/>
    <cellStyle name="Heading 1" xfId="14" builtinId="16"/>
    <cellStyle name="Heading 2" xfId="15" builtinId="17"/>
    <cellStyle name="N_Dark_H3" xfId="17" xr:uid="{334761D7-8669-4633-909B-A0F0967D2982}"/>
    <cellStyle name="N_Table0_Cell" xfId="18" xr:uid="{FD70B448-575E-446E-BCCD-9C3400949F93}"/>
    <cellStyle name="N_Table1_Header" xfId="16" xr:uid="{E67F5495-B244-4A70-B247-D31C0C961659}"/>
    <cellStyle name="Normal" xfId="0" builtinId="0"/>
    <cellStyle name="Normal 2" xfId="6" xr:uid="{00000000-0005-0000-0000-000006000000}"/>
    <cellStyle name="Normal 2 2" xfId="8" xr:uid="{00000000-0005-0000-0000-000007000000}"/>
    <cellStyle name="Normal 3" xfId="5" xr:uid="{00000000-0005-0000-0000-000008000000}"/>
    <cellStyle name="Normal 3 2" xfId="7" xr:uid="{00000000-0005-0000-0000-000009000000}"/>
    <cellStyle name="Normal 4" xfId="9" xr:uid="{00000000-0005-0000-0000-00000A000000}"/>
    <cellStyle name="Percent" xfId="3" builtinId="5"/>
    <cellStyle name="Percent 2" xfId="12" xr:uid="{00000000-0005-0000-0000-00000C000000}"/>
    <cellStyle name="Title" xfId="13"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2.xml"/><Relationship Id="rId45"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externalLink" Target="externalLinks/externalLink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1"/>
          <c:order val="1"/>
          <c:tx>
            <c:strRef>
              <c:f>'Battery Saturation &amp; Unit Load'!$A$4:$B$4</c:f>
              <c:strCache>
                <c:ptCount val="2"/>
                <c:pt idx="0">
                  <c:v>Interruptible Rider</c:v>
                </c:pt>
                <c:pt idx="1">
                  <c:v>Manufacturing</c:v>
                </c:pt>
              </c:strCache>
            </c:strRef>
          </c:tx>
          <c:spPr>
            <a:ln w="28575" cap="rnd">
              <a:solidFill>
                <a:schemeClr val="accent2"/>
              </a:solidFill>
              <a:round/>
            </a:ln>
            <a:effectLst/>
          </c:spPr>
          <c:marker>
            <c:symbol val="none"/>
          </c:marker>
          <c:cat>
            <c:numRef>
              <c:f>'Battery Saturation &amp; Unit Load'!$C$3:$S$3</c:f>
              <c:numCache>
                <c:formatCode>General</c:formatCode>
                <c:ptCount val="17"/>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numCache>
            </c:numRef>
          </c:cat>
          <c:val>
            <c:numRef>
              <c:f>'Battery Saturation &amp; Unit Load'!$C$4:$S$4</c:f>
              <c:numCache>
                <c:formatCode>0.00%</c:formatCode>
                <c:ptCount val="17"/>
                <c:pt idx="0">
                  <c:v>5.3081973554861814E-2</c:v>
                </c:pt>
                <c:pt idx="1">
                  <c:v>7.1498168461650607E-2</c:v>
                </c:pt>
                <c:pt idx="2">
                  <c:v>9.3010891715598579E-2</c:v>
                </c:pt>
                <c:pt idx="3">
                  <c:v>0.11634941805013994</c:v>
                </c:pt>
                <c:pt idx="4">
                  <c:v>0.13972241783569242</c:v>
                </c:pt>
                <c:pt idx="5">
                  <c:v>0.16132815839925599</c:v>
                </c:pt>
                <c:pt idx="6">
                  <c:v>0.17987084129999445</c:v>
                </c:pt>
                <c:pt idx="7">
                  <c:v>0.19479719896412337</c:v>
                </c:pt>
                <c:pt idx="8">
                  <c:v>0.2062049742136304</c:v>
                </c:pt>
                <c:pt idx="9">
                  <c:v>0.21458261074662377</c:v>
                </c:pt>
                <c:pt idx="10">
                  <c:v>0.22055641251388211</c:v>
                </c:pt>
                <c:pt idx="11">
                  <c:v>0.22472722546073853</c:v>
                </c:pt>
                <c:pt idx="12">
                  <c:v>0.22759652167523214</c:v>
                </c:pt>
                <c:pt idx="13">
                  <c:v>0.22955044072608838</c:v>
                </c:pt>
                <c:pt idx="14">
                  <c:v>0.2308717989582488</c:v>
                </c:pt>
                <c:pt idx="15">
                  <c:v>0.23176118824458197</c:v>
                </c:pt>
                <c:pt idx="16">
                  <c:v>0.23235793112807065</c:v>
                </c:pt>
              </c:numCache>
            </c:numRef>
          </c:val>
          <c:smooth val="0"/>
          <c:extLst>
            <c:ext xmlns:c16="http://schemas.microsoft.com/office/drawing/2014/chart" uri="{C3380CC4-5D6E-409C-BE32-E72D297353CC}">
              <c16:uniqueId val="{00000001-AC52-4C16-94C4-754204896DBD}"/>
            </c:ext>
          </c:extLst>
        </c:ser>
        <c:ser>
          <c:idx val="2"/>
          <c:order val="2"/>
          <c:tx>
            <c:strRef>
              <c:f>'Battery Saturation &amp; Unit Load'!$A$5:$B$5</c:f>
              <c:strCache>
                <c:ptCount val="2"/>
                <c:pt idx="0">
                  <c:v>Large Industrial</c:v>
                </c:pt>
                <c:pt idx="1">
                  <c:v>Manufacturing</c:v>
                </c:pt>
              </c:strCache>
            </c:strRef>
          </c:tx>
          <c:spPr>
            <a:ln w="28575" cap="rnd">
              <a:solidFill>
                <a:schemeClr val="accent3"/>
              </a:solidFill>
              <a:round/>
            </a:ln>
            <a:effectLst/>
          </c:spPr>
          <c:marker>
            <c:symbol val="none"/>
          </c:marker>
          <c:cat>
            <c:numRef>
              <c:f>'Battery Saturation &amp; Unit Load'!$C$3:$S$3</c:f>
              <c:numCache>
                <c:formatCode>General</c:formatCode>
                <c:ptCount val="17"/>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numCache>
            </c:numRef>
          </c:cat>
          <c:val>
            <c:numRef>
              <c:f>'Battery Saturation &amp; Unit Load'!$C$5:$S$5</c:f>
              <c:numCache>
                <c:formatCode>0.00%</c:formatCode>
                <c:ptCount val="17"/>
                <c:pt idx="0">
                  <c:v>5.2561185398211918E-2</c:v>
                </c:pt>
                <c:pt idx="1">
                  <c:v>7.0796698699632385E-2</c:v>
                </c:pt>
                <c:pt idx="2">
                  <c:v>9.2098360255273987E-2</c:v>
                </c:pt>
                <c:pt idx="3">
                  <c:v>0.11520791190604386</c:v>
                </c:pt>
                <c:pt idx="4">
                  <c:v>0.13835159878820333</c:v>
                </c:pt>
                <c:pt idx="5">
                  <c:v>0.15974536505903408</c:v>
                </c:pt>
                <c:pt idx="6">
                  <c:v>0.17810612537851739</c:v>
                </c:pt>
                <c:pt idx="7">
                  <c:v>0.19288604029056278</c:v>
                </c:pt>
                <c:pt idx="8">
                  <c:v>0.20418189366064823</c:v>
                </c:pt>
                <c:pt idx="9">
                  <c:v>0.21247733705734853</c:v>
                </c:pt>
                <c:pt idx="10">
                  <c:v>0.21839252975259588</c:v>
                </c:pt>
                <c:pt idx="11">
                  <c:v>0.22252242278180681</c:v>
                </c:pt>
                <c:pt idx="12">
                  <c:v>0.22536356828172902</c:v>
                </c:pt>
                <c:pt idx="13">
                  <c:v>0.22729831739912967</c:v>
                </c:pt>
                <c:pt idx="14">
                  <c:v>0.2286067117629198</c:v>
                </c:pt>
                <c:pt idx="15">
                  <c:v>0.22948737523564894</c:v>
                </c:pt>
                <c:pt idx="16">
                  <c:v>0.23007826346443144</c:v>
                </c:pt>
              </c:numCache>
            </c:numRef>
          </c:val>
          <c:smooth val="0"/>
          <c:extLst>
            <c:ext xmlns:c16="http://schemas.microsoft.com/office/drawing/2014/chart" uri="{C3380CC4-5D6E-409C-BE32-E72D297353CC}">
              <c16:uniqueId val="{00000002-AC52-4C16-94C4-754204896DBD}"/>
            </c:ext>
          </c:extLst>
        </c:ser>
        <c:ser>
          <c:idx val="3"/>
          <c:order val="3"/>
          <c:tx>
            <c:strRef>
              <c:f>'Battery Saturation &amp; Unit Load'!$A$6:$B$6</c:f>
              <c:strCache>
                <c:ptCount val="2"/>
                <c:pt idx="0">
                  <c:v>Small Commercial</c:v>
                </c:pt>
                <c:pt idx="1">
                  <c:v>Manufacturing</c:v>
                </c:pt>
              </c:strCache>
            </c:strRef>
          </c:tx>
          <c:spPr>
            <a:ln w="28575" cap="rnd">
              <a:solidFill>
                <a:schemeClr val="accent4"/>
              </a:solidFill>
              <a:round/>
            </a:ln>
            <a:effectLst/>
          </c:spPr>
          <c:marker>
            <c:symbol val="none"/>
          </c:marker>
          <c:cat>
            <c:numRef>
              <c:f>'Battery Saturation &amp; Unit Load'!$C$3:$S$3</c:f>
              <c:numCache>
                <c:formatCode>General</c:formatCode>
                <c:ptCount val="17"/>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numCache>
            </c:numRef>
          </c:cat>
          <c:val>
            <c:numRef>
              <c:f>'Battery Saturation &amp; Unit Load'!$C$6:$S$6</c:f>
              <c:numCache>
                <c:formatCode>0.00%</c:formatCode>
                <c:ptCount val="17"/>
                <c:pt idx="0">
                  <c:v>1.0956627172869616E-2</c:v>
                </c:pt>
                <c:pt idx="1">
                  <c:v>1.4757905987946832E-2</c:v>
                </c:pt>
                <c:pt idx="2">
                  <c:v>1.9198337878125527E-2</c:v>
                </c:pt>
                <c:pt idx="3">
                  <c:v>2.4015632991455919E-2</c:v>
                </c:pt>
                <c:pt idx="4">
                  <c:v>2.8840043754879852E-2</c:v>
                </c:pt>
                <c:pt idx="5">
                  <c:v>3.3299675307652626E-2</c:v>
                </c:pt>
                <c:pt idx="6">
                  <c:v>3.7127062454781944E-2</c:v>
                </c:pt>
                <c:pt idx="7">
                  <c:v>4.0208005475970469E-2</c:v>
                </c:pt>
                <c:pt idx="8">
                  <c:v>4.2562679424774506E-2</c:v>
                </c:pt>
                <c:pt idx="9">
                  <c:v>4.4291903753386784E-2</c:v>
                </c:pt>
                <c:pt idx="10">
                  <c:v>4.552495358904958E-2</c:v>
                </c:pt>
                <c:pt idx="11">
                  <c:v>4.638584928312646E-2</c:v>
                </c:pt>
                <c:pt idx="12">
                  <c:v>4.697809947213348E-2</c:v>
                </c:pt>
                <c:pt idx="13">
                  <c:v>4.7381407057223039E-2</c:v>
                </c:pt>
                <c:pt idx="14">
                  <c:v>4.7654148037673226E-2</c:v>
                </c:pt>
                <c:pt idx="15">
                  <c:v>4.783772649509109E-2</c:v>
                </c:pt>
                <c:pt idx="16">
                  <c:v>4.7960899935236286E-2</c:v>
                </c:pt>
              </c:numCache>
            </c:numRef>
          </c:val>
          <c:smooth val="0"/>
          <c:extLst>
            <c:ext xmlns:c16="http://schemas.microsoft.com/office/drawing/2014/chart" uri="{C3380CC4-5D6E-409C-BE32-E72D297353CC}">
              <c16:uniqueId val="{00000003-AC52-4C16-94C4-754204896DBD}"/>
            </c:ext>
          </c:extLst>
        </c:ser>
        <c:ser>
          <c:idx val="4"/>
          <c:order val="4"/>
          <c:tx>
            <c:strRef>
              <c:f>'Battery Saturation &amp; Unit Load'!$A$7:$B$7</c:f>
              <c:strCache>
                <c:ptCount val="2"/>
                <c:pt idx="0">
                  <c:v>Small Industrial</c:v>
                </c:pt>
                <c:pt idx="1">
                  <c:v>Manufacturing</c:v>
                </c:pt>
              </c:strCache>
            </c:strRef>
          </c:tx>
          <c:spPr>
            <a:ln w="28575" cap="rnd">
              <a:solidFill>
                <a:schemeClr val="accent5"/>
              </a:solidFill>
              <a:round/>
            </a:ln>
            <a:effectLst/>
          </c:spPr>
          <c:marker>
            <c:symbol val="none"/>
          </c:marker>
          <c:cat>
            <c:numRef>
              <c:f>'Battery Saturation &amp; Unit Load'!$C$3:$S$3</c:f>
              <c:numCache>
                <c:formatCode>General</c:formatCode>
                <c:ptCount val="17"/>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numCache>
            </c:numRef>
          </c:cat>
          <c:val>
            <c:numRef>
              <c:f>'Battery Saturation &amp; Unit Load'!$C$7:$S$7</c:f>
              <c:numCache>
                <c:formatCode>0.00%</c:formatCode>
                <c:ptCount val="17"/>
                <c:pt idx="0">
                  <c:v>4.6938945750466584E-3</c:v>
                </c:pt>
                <c:pt idx="1">
                  <c:v>6.3223886112873367E-3</c:v>
                </c:pt>
                <c:pt idx="2">
                  <c:v>8.2247002288428194E-3</c:v>
                </c:pt>
                <c:pt idx="3">
                  <c:v>1.0288462647888252E-2</c:v>
                </c:pt>
                <c:pt idx="4">
                  <c:v>1.2355273460462552E-2</c:v>
                </c:pt>
                <c:pt idx="5">
                  <c:v>1.426581034576432E-2</c:v>
                </c:pt>
                <c:pt idx="6">
                  <c:v>1.5905489371349741E-2</c:v>
                </c:pt>
                <c:pt idx="7">
                  <c:v>1.7225386590175803E-2</c:v>
                </c:pt>
                <c:pt idx="8">
                  <c:v>1.8234145134197726E-2</c:v>
                </c:pt>
                <c:pt idx="9">
                  <c:v>1.8974956751408759E-2</c:v>
                </c:pt>
                <c:pt idx="10">
                  <c:v>1.9503203797060845E-2</c:v>
                </c:pt>
                <c:pt idx="11">
                  <c:v>1.9872017444212641E-2</c:v>
                </c:pt>
                <c:pt idx="12">
                  <c:v>2.0125741505950732E-2</c:v>
                </c:pt>
                <c:pt idx="13">
                  <c:v>2.0298521254303821E-2</c:v>
                </c:pt>
                <c:pt idx="14">
                  <c:v>2.0415365369589416E-2</c:v>
                </c:pt>
                <c:pt idx="15">
                  <c:v>2.0494011645653534E-2</c:v>
                </c:pt>
                <c:pt idx="16">
                  <c:v>2.0546779996110778E-2</c:v>
                </c:pt>
              </c:numCache>
            </c:numRef>
          </c:val>
          <c:smooth val="0"/>
          <c:extLst>
            <c:ext xmlns:c16="http://schemas.microsoft.com/office/drawing/2014/chart" uri="{C3380CC4-5D6E-409C-BE32-E72D297353CC}">
              <c16:uniqueId val="{00000004-AC52-4C16-94C4-754204896DBD}"/>
            </c:ext>
          </c:extLst>
        </c:ser>
        <c:ser>
          <c:idx val="5"/>
          <c:order val="5"/>
          <c:tx>
            <c:strRef>
              <c:f>'Battery Saturation &amp; Unit Load'!$A$8:$B$8</c:f>
              <c:strCache>
                <c:ptCount val="2"/>
                <c:pt idx="0">
                  <c:v>Interruptible Rider</c:v>
                </c:pt>
                <c:pt idx="1">
                  <c:v>Miscellaneous</c:v>
                </c:pt>
              </c:strCache>
            </c:strRef>
          </c:tx>
          <c:spPr>
            <a:ln w="28575" cap="rnd">
              <a:solidFill>
                <a:schemeClr val="accent6"/>
              </a:solidFill>
              <a:round/>
            </a:ln>
            <a:effectLst/>
          </c:spPr>
          <c:marker>
            <c:symbol val="none"/>
          </c:marker>
          <c:cat>
            <c:numRef>
              <c:f>'Battery Saturation &amp; Unit Load'!$C$3:$S$3</c:f>
              <c:numCache>
                <c:formatCode>General</c:formatCode>
                <c:ptCount val="17"/>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numCache>
            </c:numRef>
          </c:cat>
          <c:val>
            <c:numRef>
              <c:f>'Battery Saturation &amp; Unit Load'!$C$8:$S$8</c:f>
              <c:numCache>
                <c:formatCode>0.00%</c:formatCode>
                <c:ptCount val="17"/>
                <c:pt idx="0">
                  <c:v>5.3081973554861814E-2</c:v>
                </c:pt>
                <c:pt idx="1">
                  <c:v>7.1498168461650607E-2</c:v>
                </c:pt>
                <c:pt idx="2">
                  <c:v>9.3010891715598579E-2</c:v>
                </c:pt>
                <c:pt idx="3">
                  <c:v>0.11634941805013994</c:v>
                </c:pt>
                <c:pt idx="4">
                  <c:v>0.13972241783569242</c:v>
                </c:pt>
                <c:pt idx="5">
                  <c:v>0.16132815839925599</c:v>
                </c:pt>
                <c:pt idx="6">
                  <c:v>0.17987084129999445</c:v>
                </c:pt>
                <c:pt idx="7">
                  <c:v>0.19479719896412337</c:v>
                </c:pt>
                <c:pt idx="8">
                  <c:v>0.2062049742136304</c:v>
                </c:pt>
                <c:pt idx="9">
                  <c:v>0.21458261074662377</c:v>
                </c:pt>
                <c:pt idx="10">
                  <c:v>0.22055641251388211</c:v>
                </c:pt>
                <c:pt idx="11">
                  <c:v>0.22472722546073853</c:v>
                </c:pt>
                <c:pt idx="12">
                  <c:v>0.22759652167523214</c:v>
                </c:pt>
                <c:pt idx="13">
                  <c:v>0.22955044072608838</c:v>
                </c:pt>
                <c:pt idx="14">
                  <c:v>0.2308717989582488</c:v>
                </c:pt>
                <c:pt idx="15">
                  <c:v>0.23176118824458197</c:v>
                </c:pt>
                <c:pt idx="16">
                  <c:v>0.23235793112807065</c:v>
                </c:pt>
              </c:numCache>
            </c:numRef>
          </c:val>
          <c:smooth val="0"/>
          <c:extLst>
            <c:ext xmlns:c16="http://schemas.microsoft.com/office/drawing/2014/chart" uri="{C3380CC4-5D6E-409C-BE32-E72D297353CC}">
              <c16:uniqueId val="{00000005-AC52-4C16-94C4-754204896DBD}"/>
            </c:ext>
          </c:extLst>
        </c:ser>
        <c:ser>
          <c:idx val="6"/>
          <c:order val="6"/>
          <c:tx>
            <c:strRef>
              <c:f>'Battery Saturation &amp; Unit Load'!$A$9:$B$9</c:f>
              <c:strCache>
                <c:ptCount val="2"/>
                <c:pt idx="0">
                  <c:v>Large Industrial</c:v>
                </c:pt>
                <c:pt idx="1">
                  <c:v>Miscellaneous</c:v>
                </c:pt>
              </c:strCache>
            </c:strRef>
          </c:tx>
          <c:spPr>
            <a:ln w="28575" cap="rnd">
              <a:solidFill>
                <a:schemeClr val="accent1">
                  <a:lumMod val="60000"/>
                </a:schemeClr>
              </a:solidFill>
              <a:round/>
            </a:ln>
            <a:effectLst/>
          </c:spPr>
          <c:marker>
            <c:symbol val="none"/>
          </c:marker>
          <c:cat>
            <c:numRef>
              <c:f>'Battery Saturation &amp; Unit Load'!$C$3:$S$3</c:f>
              <c:numCache>
                <c:formatCode>General</c:formatCode>
                <c:ptCount val="17"/>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numCache>
            </c:numRef>
          </c:cat>
          <c:val>
            <c:numRef>
              <c:f>'Battery Saturation &amp; Unit Load'!$C$9:$S$9</c:f>
              <c:numCache>
                <c:formatCode>0.00%</c:formatCode>
                <c:ptCount val="17"/>
                <c:pt idx="0">
                  <c:v>5.2561185398211918E-2</c:v>
                </c:pt>
                <c:pt idx="1">
                  <c:v>7.0796698699632385E-2</c:v>
                </c:pt>
                <c:pt idx="2">
                  <c:v>9.2098360255273987E-2</c:v>
                </c:pt>
                <c:pt idx="3">
                  <c:v>0.11520791190604386</c:v>
                </c:pt>
                <c:pt idx="4">
                  <c:v>0.13835159878820333</c:v>
                </c:pt>
                <c:pt idx="5">
                  <c:v>0.15974536505903408</c:v>
                </c:pt>
                <c:pt idx="6">
                  <c:v>0.17810612537851739</c:v>
                </c:pt>
                <c:pt idx="7">
                  <c:v>0.19288604029056278</c:v>
                </c:pt>
                <c:pt idx="8">
                  <c:v>0.20418189366064823</c:v>
                </c:pt>
                <c:pt idx="9">
                  <c:v>0.21247733705734853</c:v>
                </c:pt>
                <c:pt idx="10">
                  <c:v>0.21839252975259588</c:v>
                </c:pt>
                <c:pt idx="11">
                  <c:v>0.22252242278180681</c:v>
                </c:pt>
                <c:pt idx="12">
                  <c:v>0.22536356828172902</c:v>
                </c:pt>
                <c:pt idx="13">
                  <c:v>0.22729831739912967</c:v>
                </c:pt>
                <c:pt idx="14">
                  <c:v>0.2286067117629198</c:v>
                </c:pt>
                <c:pt idx="15">
                  <c:v>0.22948737523564894</c:v>
                </c:pt>
                <c:pt idx="16">
                  <c:v>0.23007826346443144</c:v>
                </c:pt>
              </c:numCache>
            </c:numRef>
          </c:val>
          <c:smooth val="0"/>
          <c:extLst>
            <c:ext xmlns:c16="http://schemas.microsoft.com/office/drawing/2014/chart" uri="{C3380CC4-5D6E-409C-BE32-E72D297353CC}">
              <c16:uniqueId val="{00000006-AC52-4C16-94C4-754204896DBD}"/>
            </c:ext>
          </c:extLst>
        </c:ser>
        <c:ser>
          <c:idx val="7"/>
          <c:order val="7"/>
          <c:tx>
            <c:strRef>
              <c:f>'Battery Saturation &amp; Unit Load'!$A$10:$B$10</c:f>
              <c:strCache>
                <c:ptCount val="2"/>
                <c:pt idx="0">
                  <c:v>Small Commercial</c:v>
                </c:pt>
                <c:pt idx="1">
                  <c:v>Miscellaneous</c:v>
                </c:pt>
              </c:strCache>
            </c:strRef>
          </c:tx>
          <c:spPr>
            <a:ln w="28575" cap="rnd">
              <a:solidFill>
                <a:schemeClr val="accent2">
                  <a:lumMod val="60000"/>
                </a:schemeClr>
              </a:solidFill>
              <a:round/>
            </a:ln>
            <a:effectLst/>
          </c:spPr>
          <c:marker>
            <c:symbol val="none"/>
          </c:marker>
          <c:cat>
            <c:numRef>
              <c:f>'Battery Saturation &amp; Unit Load'!$C$3:$S$3</c:f>
              <c:numCache>
                <c:formatCode>General</c:formatCode>
                <c:ptCount val="17"/>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numCache>
            </c:numRef>
          </c:cat>
          <c:val>
            <c:numRef>
              <c:f>'Battery Saturation &amp; Unit Load'!$C$10:$S$10</c:f>
              <c:numCache>
                <c:formatCode>0.00%</c:formatCode>
                <c:ptCount val="17"/>
                <c:pt idx="0">
                  <c:v>1.0956627172869616E-2</c:v>
                </c:pt>
                <c:pt idx="1">
                  <c:v>1.4757905987946832E-2</c:v>
                </c:pt>
                <c:pt idx="2">
                  <c:v>1.9198337878125527E-2</c:v>
                </c:pt>
                <c:pt idx="3">
                  <c:v>2.4015632991455919E-2</c:v>
                </c:pt>
                <c:pt idx="4">
                  <c:v>2.8840043754879852E-2</c:v>
                </c:pt>
                <c:pt idx="5">
                  <c:v>3.3299675307652626E-2</c:v>
                </c:pt>
                <c:pt idx="6">
                  <c:v>3.7127062454781944E-2</c:v>
                </c:pt>
                <c:pt idx="7">
                  <c:v>4.0208005475970469E-2</c:v>
                </c:pt>
                <c:pt idx="8">
                  <c:v>4.2562679424774506E-2</c:v>
                </c:pt>
                <c:pt idx="9">
                  <c:v>4.4291903753386784E-2</c:v>
                </c:pt>
                <c:pt idx="10">
                  <c:v>4.552495358904958E-2</c:v>
                </c:pt>
                <c:pt idx="11">
                  <c:v>4.638584928312646E-2</c:v>
                </c:pt>
                <c:pt idx="12">
                  <c:v>4.697809947213348E-2</c:v>
                </c:pt>
                <c:pt idx="13">
                  <c:v>4.7381407057223039E-2</c:v>
                </c:pt>
                <c:pt idx="14">
                  <c:v>4.7654148037673226E-2</c:v>
                </c:pt>
                <c:pt idx="15">
                  <c:v>4.783772649509109E-2</c:v>
                </c:pt>
                <c:pt idx="16">
                  <c:v>4.7960899935236286E-2</c:v>
                </c:pt>
              </c:numCache>
            </c:numRef>
          </c:val>
          <c:smooth val="0"/>
          <c:extLst>
            <c:ext xmlns:c16="http://schemas.microsoft.com/office/drawing/2014/chart" uri="{C3380CC4-5D6E-409C-BE32-E72D297353CC}">
              <c16:uniqueId val="{00000007-AC52-4C16-94C4-754204896DBD}"/>
            </c:ext>
          </c:extLst>
        </c:ser>
        <c:ser>
          <c:idx val="8"/>
          <c:order val="8"/>
          <c:tx>
            <c:strRef>
              <c:f>'Battery Saturation &amp; Unit Load'!$A$11:$B$11</c:f>
              <c:strCache>
                <c:ptCount val="2"/>
                <c:pt idx="0">
                  <c:v>Small Industrial</c:v>
                </c:pt>
                <c:pt idx="1">
                  <c:v>Miscellaneous</c:v>
                </c:pt>
              </c:strCache>
            </c:strRef>
          </c:tx>
          <c:spPr>
            <a:ln w="28575" cap="rnd">
              <a:solidFill>
                <a:schemeClr val="accent3">
                  <a:lumMod val="60000"/>
                </a:schemeClr>
              </a:solidFill>
              <a:round/>
            </a:ln>
            <a:effectLst/>
          </c:spPr>
          <c:marker>
            <c:symbol val="none"/>
          </c:marker>
          <c:cat>
            <c:numRef>
              <c:f>'Battery Saturation &amp; Unit Load'!$C$3:$S$3</c:f>
              <c:numCache>
                <c:formatCode>General</c:formatCode>
                <c:ptCount val="17"/>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numCache>
            </c:numRef>
          </c:cat>
          <c:val>
            <c:numRef>
              <c:f>'Battery Saturation &amp; Unit Load'!$C$11:$S$11</c:f>
              <c:numCache>
                <c:formatCode>0.00%</c:formatCode>
                <c:ptCount val="17"/>
                <c:pt idx="0">
                  <c:v>4.6938945750466584E-3</c:v>
                </c:pt>
                <c:pt idx="1">
                  <c:v>6.3223886112873367E-3</c:v>
                </c:pt>
                <c:pt idx="2">
                  <c:v>8.2247002288428194E-3</c:v>
                </c:pt>
                <c:pt idx="3">
                  <c:v>1.0288462647888252E-2</c:v>
                </c:pt>
                <c:pt idx="4">
                  <c:v>1.2355273460462552E-2</c:v>
                </c:pt>
                <c:pt idx="5">
                  <c:v>1.426581034576432E-2</c:v>
                </c:pt>
                <c:pt idx="6">
                  <c:v>1.5905489371349741E-2</c:v>
                </c:pt>
                <c:pt idx="7">
                  <c:v>1.7225386590175803E-2</c:v>
                </c:pt>
                <c:pt idx="8">
                  <c:v>1.8234145134197726E-2</c:v>
                </c:pt>
                <c:pt idx="9">
                  <c:v>1.8974956751408759E-2</c:v>
                </c:pt>
                <c:pt idx="10">
                  <c:v>1.9503203797060845E-2</c:v>
                </c:pt>
                <c:pt idx="11">
                  <c:v>1.9872017444212641E-2</c:v>
                </c:pt>
                <c:pt idx="12">
                  <c:v>2.0125741505950732E-2</c:v>
                </c:pt>
                <c:pt idx="13">
                  <c:v>2.0298521254303821E-2</c:v>
                </c:pt>
                <c:pt idx="14">
                  <c:v>2.0415365369589416E-2</c:v>
                </c:pt>
                <c:pt idx="15">
                  <c:v>2.0494011645653534E-2</c:v>
                </c:pt>
                <c:pt idx="16">
                  <c:v>2.0546779996110778E-2</c:v>
                </c:pt>
              </c:numCache>
            </c:numRef>
          </c:val>
          <c:smooth val="0"/>
          <c:extLst>
            <c:ext xmlns:c16="http://schemas.microsoft.com/office/drawing/2014/chart" uri="{C3380CC4-5D6E-409C-BE32-E72D297353CC}">
              <c16:uniqueId val="{00000008-AC52-4C16-94C4-754204896DBD}"/>
            </c:ext>
          </c:extLst>
        </c:ser>
        <c:ser>
          <c:idx val="9"/>
          <c:order val="9"/>
          <c:tx>
            <c:strRef>
              <c:f>'Battery Saturation &amp; Unit Load'!$A$12:$B$12</c:f>
              <c:strCache>
                <c:ptCount val="2"/>
                <c:pt idx="0">
                  <c:v>Large Commercial</c:v>
                </c:pt>
                <c:pt idx="1">
                  <c:v>Offices</c:v>
                </c:pt>
              </c:strCache>
            </c:strRef>
          </c:tx>
          <c:spPr>
            <a:ln w="28575" cap="rnd">
              <a:solidFill>
                <a:schemeClr val="accent4">
                  <a:lumMod val="60000"/>
                </a:schemeClr>
              </a:solidFill>
              <a:round/>
            </a:ln>
            <a:effectLst/>
          </c:spPr>
          <c:marker>
            <c:symbol val="none"/>
          </c:marker>
          <c:cat>
            <c:numRef>
              <c:f>'Battery Saturation &amp; Unit Load'!$C$3:$S$3</c:f>
              <c:numCache>
                <c:formatCode>General</c:formatCode>
                <c:ptCount val="17"/>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numCache>
            </c:numRef>
          </c:cat>
          <c:val>
            <c:numRef>
              <c:f>'Battery Saturation &amp; Unit Load'!$C$12:$S$12</c:f>
              <c:numCache>
                <c:formatCode>0.00%</c:formatCode>
                <c:ptCount val="17"/>
                <c:pt idx="0">
                  <c:v>5.9513333907856819E-2</c:v>
                </c:pt>
                <c:pt idx="1">
                  <c:v>8.0160817100378576E-2</c:v>
                </c:pt>
                <c:pt idx="2">
                  <c:v>0.10428000100668718</c:v>
                </c:pt>
                <c:pt idx="3">
                  <c:v>0.13044620052128028</c:v>
                </c:pt>
                <c:pt idx="4">
                  <c:v>0.1566510502567221</c:v>
                </c:pt>
                <c:pt idx="5">
                  <c:v>0.18087452135952392</c:v>
                </c:pt>
                <c:pt idx="6">
                  <c:v>0.20166381770847405</c:v>
                </c:pt>
                <c:pt idx="7">
                  <c:v>0.21839863836798287</c:v>
                </c:pt>
                <c:pt idx="8">
                  <c:v>0.23118856858540435</c:v>
                </c:pt>
                <c:pt idx="9">
                  <c:v>0.24058123142284382</c:v>
                </c:pt>
                <c:pt idx="10">
                  <c:v>0.24727881320937534</c:v>
                </c:pt>
                <c:pt idx="11">
                  <c:v>0.25195495780141725</c:v>
                </c:pt>
                <c:pt idx="12">
                  <c:v>0.25517189515807415</c:v>
                </c:pt>
                <c:pt idx="13">
                  <c:v>0.25736254914312889</c:v>
                </c:pt>
                <c:pt idx="14">
                  <c:v>0.25884400185515333</c:v>
                </c:pt>
                <c:pt idx="15">
                  <c:v>0.25984114868348124</c:v>
                </c:pt>
                <c:pt idx="16">
                  <c:v>0.26051019235506767</c:v>
                </c:pt>
              </c:numCache>
            </c:numRef>
          </c:val>
          <c:smooth val="0"/>
          <c:extLst>
            <c:ext xmlns:c16="http://schemas.microsoft.com/office/drawing/2014/chart" uri="{C3380CC4-5D6E-409C-BE32-E72D297353CC}">
              <c16:uniqueId val="{00000009-AC52-4C16-94C4-754204896DBD}"/>
            </c:ext>
          </c:extLst>
        </c:ser>
        <c:ser>
          <c:idx val="10"/>
          <c:order val="10"/>
          <c:tx>
            <c:strRef>
              <c:f>'Battery Saturation &amp; Unit Load'!$A$13:$B$13</c:f>
              <c:strCache>
                <c:ptCount val="2"/>
                <c:pt idx="0">
                  <c:v>Large Industrial</c:v>
                </c:pt>
                <c:pt idx="1">
                  <c:v>Offices</c:v>
                </c:pt>
              </c:strCache>
            </c:strRef>
          </c:tx>
          <c:spPr>
            <a:ln w="28575" cap="rnd">
              <a:solidFill>
                <a:schemeClr val="accent5">
                  <a:lumMod val="60000"/>
                </a:schemeClr>
              </a:solidFill>
              <a:round/>
            </a:ln>
            <a:effectLst/>
          </c:spPr>
          <c:marker>
            <c:symbol val="none"/>
          </c:marker>
          <c:cat>
            <c:numRef>
              <c:f>'Battery Saturation &amp; Unit Load'!$C$3:$S$3</c:f>
              <c:numCache>
                <c:formatCode>General</c:formatCode>
                <c:ptCount val="17"/>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numCache>
            </c:numRef>
          </c:cat>
          <c:val>
            <c:numRef>
              <c:f>'Battery Saturation &amp; Unit Load'!$C$13:$S$13</c:f>
              <c:numCache>
                <c:formatCode>0.00%</c:formatCode>
                <c:ptCount val="17"/>
                <c:pt idx="0">
                  <c:v>5.2561185398211918E-2</c:v>
                </c:pt>
                <c:pt idx="1">
                  <c:v>7.0796698699632385E-2</c:v>
                </c:pt>
                <c:pt idx="2">
                  <c:v>9.2098360255273987E-2</c:v>
                </c:pt>
                <c:pt idx="3">
                  <c:v>0.11520791190604386</c:v>
                </c:pt>
                <c:pt idx="4">
                  <c:v>0.13835159878820333</c:v>
                </c:pt>
                <c:pt idx="5">
                  <c:v>0.15974536505903408</c:v>
                </c:pt>
                <c:pt idx="6">
                  <c:v>0.17810612537851739</c:v>
                </c:pt>
                <c:pt idx="7">
                  <c:v>0.19288604029056278</c:v>
                </c:pt>
                <c:pt idx="8">
                  <c:v>0.20418189366064823</c:v>
                </c:pt>
                <c:pt idx="9">
                  <c:v>0.21247733705734853</c:v>
                </c:pt>
                <c:pt idx="10">
                  <c:v>0.21839252975259588</c:v>
                </c:pt>
                <c:pt idx="11">
                  <c:v>0.22252242278180681</c:v>
                </c:pt>
                <c:pt idx="12">
                  <c:v>0.22536356828172902</c:v>
                </c:pt>
                <c:pt idx="13">
                  <c:v>0.22729831739912967</c:v>
                </c:pt>
                <c:pt idx="14">
                  <c:v>0.2286067117629198</c:v>
                </c:pt>
                <c:pt idx="15">
                  <c:v>0.22948737523564894</c:v>
                </c:pt>
                <c:pt idx="16">
                  <c:v>0.23007826346443144</c:v>
                </c:pt>
              </c:numCache>
            </c:numRef>
          </c:val>
          <c:smooth val="0"/>
          <c:extLst>
            <c:ext xmlns:c16="http://schemas.microsoft.com/office/drawing/2014/chart" uri="{C3380CC4-5D6E-409C-BE32-E72D297353CC}">
              <c16:uniqueId val="{0000000A-AC52-4C16-94C4-754204896DBD}"/>
            </c:ext>
          </c:extLst>
        </c:ser>
        <c:ser>
          <c:idx val="11"/>
          <c:order val="11"/>
          <c:tx>
            <c:strRef>
              <c:f>'Battery Saturation &amp; Unit Load'!$A$14:$B$14</c:f>
              <c:strCache>
                <c:ptCount val="2"/>
                <c:pt idx="0">
                  <c:v>Small Commercial</c:v>
                </c:pt>
                <c:pt idx="1">
                  <c:v>Offices</c:v>
                </c:pt>
              </c:strCache>
            </c:strRef>
          </c:tx>
          <c:spPr>
            <a:ln w="28575" cap="rnd">
              <a:solidFill>
                <a:schemeClr val="accent6">
                  <a:lumMod val="60000"/>
                </a:schemeClr>
              </a:solidFill>
              <a:round/>
            </a:ln>
            <a:effectLst/>
          </c:spPr>
          <c:marker>
            <c:symbol val="none"/>
          </c:marker>
          <c:cat>
            <c:numRef>
              <c:f>'Battery Saturation &amp; Unit Load'!$C$3:$S$3</c:f>
              <c:numCache>
                <c:formatCode>General</c:formatCode>
                <c:ptCount val="17"/>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numCache>
            </c:numRef>
          </c:cat>
          <c:val>
            <c:numRef>
              <c:f>'Battery Saturation &amp; Unit Load'!$C$14:$S$14</c:f>
              <c:numCache>
                <c:formatCode>0.00%</c:formatCode>
                <c:ptCount val="17"/>
                <c:pt idx="0">
                  <c:v>1.0956627172869616E-2</c:v>
                </c:pt>
                <c:pt idx="1">
                  <c:v>1.4757905987946832E-2</c:v>
                </c:pt>
                <c:pt idx="2">
                  <c:v>1.9198337878125527E-2</c:v>
                </c:pt>
                <c:pt idx="3">
                  <c:v>2.4015632991455919E-2</c:v>
                </c:pt>
                <c:pt idx="4">
                  <c:v>2.8840043754879852E-2</c:v>
                </c:pt>
                <c:pt idx="5">
                  <c:v>3.3299675307652626E-2</c:v>
                </c:pt>
                <c:pt idx="6">
                  <c:v>3.7127062454781944E-2</c:v>
                </c:pt>
                <c:pt idx="7">
                  <c:v>4.0208005475970469E-2</c:v>
                </c:pt>
                <c:pt idx="8">
                  <c:v>4.2562679424774506E-2</c:v>
                </c:pt>
                <c:pt idx="9">
                  <c:v>4.4291903753386784E-2</c:v>
                </c:pt>
                <c:pt idx="10">
                  <c:v>4.552495358904958E-2</c:v>
                </c:pt>
                <c:pt idx="11">
                  <c:v>4.638584928312646E-2</c:v>
                </c:pt>
                <c:pt idx="12">
                  <c:v>4.697809947213348E-2</c:v>
                </c:pt>
                <c:pt idx="13">
                  <c:v>4.7381407057223039E-2</c:v>
                </c:pt>
                <c:pt idx="14">
                  <c:v>4.7654148037673226E-2</c:v>
                </c:pt>
                <c:pt idx="15">
                  <c:v>4.783772649509109E-2</c:v>
                </c:pt>
                <c:pt idx="16">
                  <c:v>4.7960899935236286E-2</c:v>
                </c:pt>
              </c:numCache>
            </c:numRef>
          </c:val>
          <c:smooth val="0"/>
          <c:extLst>
            <c:ext xmlns:c16="http://schemas.microsoft.com/office/drawing/2014/chart" uri="{C3380CC4-5D6E-409C-BE32-E72D297353CC}">
              <c16:uniqueId val="{0000000B-AC52-4C16-94C4-754204896DBD}"/>
            </c:ext>
          </c:extLst>
        </c:ser>
        <c:ser>
          <c:idx val="12"/>
          <c:order val="12"/>
          <c:tx>
            <c:strRef>
              <c:f>'Battery Saturation &amp; Unit Load'!$A$15:$B$15</c:f>
              <c:strCache>
                <c:ptCount val="2"/>
                <c:pt idx="0">
                  <c:v>Small Industrial</c:v>
                </c:pt>
                <c:pt idx="1">
                  <c:v>Offices</c:v>
                </c:pt>
              </c:strCache>
            </c:strRef>
          </c:tx>
          <c:spPr>
            <a:ln w="28575" cap="rnd">
              <a:solidFill>
                <a:schemeClr val="accent1">
                  <a:lumMod val="80000"/>
                  <a:lumOff val="20000"/>
                </a:schemeClr>
              </a:solidFill>
              <a:round/>
            </a:ln>
            <a:effectLst/>
          </c:spPr>
          <c:marker>
            <c:symbol val="none"/>
          </c:marker>
          <c:cat>
            <c:numRef>
              <c:f>'Battery Saturation &amp; Unit Load'!$C$3:$S$3</c:f>
              <c:numCache>
                <c:formatCode>General</c:formatCode>
                <c:ptCount val="17"/>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numCache>
            </c:numRef>
          </c:cat>
          <c:val>
            <c:numRef>
              <c:f>'Battery Saturation &amp; Unit Load'!$C$15:$S$15</c:f>
              <c:numCache>
                <c:formatCode>0.00%</c:formatCode>
                <c:ptCount val="17"/>
                <c:pt idx="0">
                  <c:v>4.6938945750466584E-3</c:v>
                </c:pt>
                <c:pt idx="1">
                  <c:v>6.3223886112873367E-3</c:v>
                </c:pt>
                <c:pt idx="2">
                  <c:v>8.2247002288428194E-3</c:v>
                </c:pt>
                <c:pt idx="3">
                  <c:v>1.0288462647888252E-2</c:v>
                </c:pt>
                <c:pt idx="4">
                  <c:v>1.2355273460462552E-2</c:v>
                </c:pt>
                <c:pt idx="5">
                  <c:v>1.426581034576432E-2</c:v>
                </c:pt>
                <c:pt idx="6">
                  <c:v>1.5905489371349741E-2</c:v>
                </c:pt>
                <c:pt idx="7">
                  <c:v>1.7225386590175803E-2</c:v>
                </c:pt>
                <c:pt idx="8">
                  <c:v>1.8234145134197726E-2</c:v>
                </c:pt>
                <c:pt idx="9">
                  <c:v>1.8974956751408759E-2</c:v>
                </c:pt>
                <c:pt idx="10">
                  <c:v>1.9503203797060845E-2</c:v>
                </c:pt>
                <c:pt idx="11">
                  <c:v>1.9872017444212641E-2</c:v>
                </c:pt>
                <c:pt idx="12">
                  <c:v>2.0125741505950732E-2</c:v>
                </c:pt>
                <c:pt idx="13">
                  <c:v>2.0298521254303821E-2</c:v>
                </c:pt>
                <c:pt idx="14">
                  <c:v>2.0415365369589416E-2</c:v>
                </c:pt>
                <c:pt idx="15">
                  <c:v>2.0494011645653534E-2</c:v>
                </c:pt>
                <c:pt idx="16">
                  <c:v>2.0546779996110778E-2</c:v>
                </c:pt>
              </c:numCache>
            </c:numRef>
          </c:val>
          <c:smooth val="0"/>
          <c:extLst>
            <c:ext xmlns:c16="http://schemas.microsoft.com/office/drawing/2014/chart" uri="{C3380CC4-5D6E-409C-BE32-E72D297353CC}">
              <c16:uniqueId val="{0000000C-AC52-4C16-94C4-754204896DBD}"/>
            </c:ext>
          </c:extLst>
        </c:ser>
        <c:ser>
          <c:idx val="13"/>
          <c:order val="13"/>
          <c:tx>
            <c:strRef>
              <c:f>'Battery Saturation &amp; Unit Load'!$A$16:$B$16</c:f>
              <c:strCache>
                <c:ptCount val="2"/>
                <c:pt idx="0">
                  <c:v>Residential</c:v>
                </c:pt>
                <c:pt idx="1">
                  <c:v>Residential LI</c:v>
                </c:pt>
              </c:strCache>
            </c:strRef>
          </c:tx>
          <c:spPr>
            <a:ln w="28575" cap="rnd">
              <a:solidFill>
                <a:schemeClr val="accent2">
                  <a:lumMod val="80000"/>
                  <a:lumOff val="20000"/>
                </a:schemeClr>
              </a:solidFill>
              <a:round/>
            </a:ln>
            <a:effectLst/>
          </c:spPr>
          <c:marker>
            <c:symbol val="none"/>
          </c:marker>
          <c:cat>
            <c:numRef>
              <c:f>'Battery Saturation &amp; Unit Load'!$C$3:$S$3</c:f>
              <c:numCache>
                <c:formatCode>General</c:formatCode>
                <c:ptCount val="17"/>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numCache>
            </c:numRef>
          </c:cat>
          <c:val>
            <c:numRef>
              <c:f>'Battery Saturation &amp; Unit Load'!$C$16:$S$16</c:f>
              <c:numCache>
                <c:formatCode>0.00%</c:formatCode>
                <c:ptCount val="17"/>
                <c:pt idx="0">
                  <c:v>6.2213097029626867E-3</c:v>
                </c:pt>
                <c:pt idx="1">
                  <c:v>8.3797232733783134E-3</c:v>
                </c:pt>
                <c:pt idx="2">
                  <c:v>1.0901055939704531E-2</c:v>
                </c:pt>
                <c:pt idx="3">
                  <c:v>1.3636376249298291E-2</c:v>
                </c:pt>
                <c:pt idx="4">
                  <c:v>1.6375736913854518E-2</c:v>
                </c:pt>
                <c:pt idx="5">
                  <c:v>1.8907971388310702E-2</c:v>
                </c:pt>
                <c:pt idx="6">
                  <c:v>2.1081209595629744E-2</c:v>
                </c:pt>
                <c:pt idx="7">
                  <c:v>2.2830607508835844E-2</c:v>
                </c:pt>
                <c:pt idx="8">
                  <c:v>2.4167620775225131E-2</c:v>
                </c:pt>
                <c:pt idx="9">
                  <c:v>2.5149495938490096E-2</c:v>
                </c:pt>
                <c:pt idx="10">
                  <c:v>2.5849637029887327E-2</c:v>
                </c:pt>
                <c:pt idx="11">
                  <c:v>2.6338464353323262E-2</c:v>
                </c:pt>
                <c:pt idx="12">
                  <c:v>2.6674751404923817E-2</c:v>
                </c:pt>
                <c:pt idx="13">
                  <c:v>2.6903754487059263E-2</c:v>
                </c:pt>
                <c:pt idx="14">
                  <c:v>2.705862022094787E-2</c:v>
                </c:pt>
                <c:pt idx="15">
                  <c:v>2.7162858361058789E-2</c:v>
                </c:pt>
                <c:pt idx="16">
                  <c:v>2.723279777820169E-2</c:v>
                </c:pt>
              </c:numCache>
            </c:numRef>
          </c:val>
          <c:smooth val="0"/>
          <c:extLst>
            <c:ext xmlns:c16="http://schemas.microsoft.com/office/drawing/2014/chart" uri="{C3380CC4-5D6E-409C-BE32-E72D297353CC}">
              <c16:uniqueId val="{0000000D-AC52-4C16-94C4-754204896DBD}"/>
            </c:ext>
          </c:extLst>
        </c:ser>
        <c:ser>
          <c:idx val="14"/>
          <c:order val="14"/>
          <c:tx>
            <c:strRef>
              <c:f>'Battery Saturation &amp; Unit Load'!$A$17:$B$17</c:f>
              <c:strCache>
                <c:ptCount val="2"/>
                <c:pt idx="0">
                  <c:v>Residential</c:v>
                </c:pt>
                <c:pt idx="1">
                  <c:v>Residential Market Rate</c:v>
                </c:pt>
              </c:strCache>
            </c:strRef>
          </c:tx>
          <c:spPr>
            <a:ln w="28575" cap="rnd">
              <a:solidFill>
                <a:schemeClr val="accent3">
                  <a:lumMod val="80000"/>
                  <a:lumOff val="20000"/>
                </a:schemeClr>
              </a:solidFill>
              <a:round/>
            </a:ln>
            <a:effectLst/>
          </c:spPr>
          <c:marker>
            <c:symbol val="none"/>
          </c:marker>
          <c:cat>
            <c:numRef>
              <c:f>'Battery Saturation &amp; Unit Load'!$C$3:$S$3</c:f>
              <c:numCache>
                <c:formatCode>General</c:formatCode>
                <c:ptCount val="17"/>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numCache>
            </c:numRef>
          </c:cat>
          <c:val>
            <c:numRef>
              <c:f>'Battery Saturation &amp; Unit Load'!$C$17:$S$17</c:f>
              <c:numCache>
                <c:formatCode>0.00%</c:formatCode>
                <c:ptCount val="17"/>
                <c:pt idx="0">
                  <c:v>6.2213097029626867E-3</c:v>
                </c:pt>
                <c:pt idx="1">
                  <c:v>8.3797232733783134E-3</c:v>
                </c:pt>
                <c:pt idx="2">
                  <c:v>1.0901055939704531E-2</c:v>
                </c:pt>
                <c:pt idx="3">
                  <c:v>1.3636376249298291E-2</c:v>
                </c:pt>
                <c:pt idx="4">
                  <c:v>1.6375736913854518E-2</c:v>
                </c:pt>
                <c:pt idx="5">
                  <c:v>1.8907971388310702E-2</c:v>
                </c:pt>
                <c:pt idx="6">
                  <c:v>2.1081209595629744E-2</c:v>
                </c:pt>
                <c:pt idx="7">
                  <c:v>2.2830607508835844E-2</c:v>
                </c:pt>
                <c:pt idx="8">
                  <c:v>2.4167620775225131E-2</c:v>
                </c:pt>
                <c:pt idx="9">
                  <c:v>2.5149495938490096E-2</c:v>
                </c:pt>
                <c:pt idx="10">
                  <c:v>2.5849637029887327E-2</c:v>
                </c:pt>
                <c:pt idx="11">
                  <c:v>2.6338464353323262E-2</c:v>
                </c:pt>
                <c:pt idx="12">
                  <c:v>2.6674751404923817E-2</c:v>
                </c:pt>
                <c:pt idx="13">
                  <c:v>2.6903754487059263E-2</c:v>
                </c:pt>
                <c:pt idx="14">
                  <c:v>2.705862022094787E-2</c:v>
                </c:pt>
                <c:pt idx="15">
                  <c:v>2.7162858361058789E-2</c:v>
                </c:pt>
                <c:pt idx="16">
                  <c:v>2.723279777820169E-2</c:v>
                </c:pt>
              </c:numCache>
            </c:numRef>
          </c:val>
          <c:smooth val="0"/>
          <c:extLst>
            <c:ext xmlns:c16="http://schemas.microsoft.com/office/drawing/2014/chart" uri="{C3380CC4-5D6E-409C-BE32-E72D297353CC}">
              <c16:uniqueId val="{0000000E-AC52-4C16-94C4-754204896DBD}"/>
            </c:ext>
          </c:extLst>
        </c:ser>
        <c:ser>
          <c:idx val="15"/>
          <c:order val="15"/>
          <c:tx>
            <c:strRef>
              <c:f>'Battery Saturation &amp; Unit Load'!$A$18:$B$18</c:f>
              <c:strCache>
                <c:ptCount val="2"/>
                <c:pt idx="0">
                  <c:v>Interruptible Rider</c:v>
                </c:pt>
                <c:pt idx="1">
                  <c:v>Retail Trade</c:v>
                </c:pt>
              </c:strCache>
            </c:strRef>
          </c:tx>
          <c:spPr>
            <a:ln w="28575" cap="rnd">
              <a:solidFill>
                <a:schemeClr val="accent4">
                  <a:lumMod val="80000"/>
                  <a:lumOff val="20000"/>
                </a:schemeClr>
              </a:solidFill>
              <a:round/>
            </a:ln>
            <a:effectLst/>
          </c:spPr>
          <c:marker>
            <c:symbol val="none"/>
          </c:marker>
          <c:cat>
            <c:numRef>
              <c:f>'Battery Saturation &amp; Unit Load'!$C$3:$S$3</c:f>
              <c:numCache>
                <c:formatCode>General</c:formatCode>
                <c:ptCount val="17"/>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numCache>
            </c:numRef>
          </c:cat>
          <c:val>
            <c:numRef>
              <c:f>'Battery Saturation &amp; Unit Load'!$C$18:$S$18</c:f>
              <c:numCache>
                <c:formatCode>0.00%</c:formatCode>
                <c:ptCount val="17"/>
                <c:pt idx="0">
                  <c:v>5.3081973554861814E-2</c:v>
                </c:pt>
                <c:pt idx="1">
                  <c:v>7.1498168461650607E-2</c:v>
                </c:pt>
                <c:pt idx="2">
                  <c:v>9.3010891715598579E-2</c:v>
                </c:pt>
                <c:pt idx="3">
                  <c:v>0.11634941805013994</c:v>
                </c:pt>
                <c:pt idx="4">
                  <c:v>0.13972241783569242</c:v>
                </c:pt>
                <c:pt idx="5">
                  <c:v>0.16132815839925599</c:v>
                </c:pt>
                <c:pt idx="6">
                  <c:v>0.17987084129999445</c:v>
                </c:pt>
                <c:pt idx="7">
                  <c:v>0.19479719896412337</c:v>
                </c:pt>
                <c:pt idx="8">
                  <c:v>0.2062049742136304</c:v>
                </c:pt>
                <c:pt idx="9">
                  <c:v>0.21458261074662377</c:v>
                </c:pt>
                <c:pt idx="10">
                  <c:v>0.22055641251388211</c:v>
                </c:pt>
                <c:pt idx="11">
                  <c:v>0.22472722546073853</c:v>
                </c:pt>
                <c:pt idx="12">
                  <c:v>0.22759652167523214</c:v>
                </c:pt>
                <c:pt idx="13">
                  <c:v>0.22955044072608838</c:v>
                </c:pt>
                <c:pt idx="14">
                  <c:v>0.2308717989582488</c:v>
                </c:pt>
                <c:pt idx="15">
                  <c:v>0.23176118824458197</c:v>
                </c:pt>
                <c:pt idx="16">
                  <c:v>0.23235793112807065</c:v>
                </c:pt>
              </c:numCache>
            </c:numRef>
          </c:val>
          <c:smooth val="0"/>
          <c:extLst>
            <c:ext xmlns:c16="http://schemas.microsoft.com/office/drawing/2014/chart" uri="{C3380CC4-5D6E-409C-BE32-E72D297353CC}">
              <c16:uniqueId val="{0000000F-AC52-4C16-94C4-754204896DBD}"/>
            </c:ext>
          </c:extLst>
        </c:ser>
        <c:ser>
          <c:idx val="16"/>
          <c:order val="16"/>
          <c:tx>
            <c:strRef>
              <c:f>'Battery Saturation &amp; Unit Load'!$A$19:$B$19</c:f>
              <c:strCache>
                <c:ptCount val="2"/>
                <c:pt idx="0">
                  <c:v>Large Industrial</c:v>
                </c:pt>
                <c:pt idx="1">
                  <c:v>Retail Trade</c:v>
                </c:pt>
              </c:strCache>
            </c:strRef>
          </c:tx>
          <c:spPr>
            <a:ln w="28575" cap="rnd">
              <a:solidFill>
                <a:schemeClr val="accent5">
                  <a:lumMod val="80000"/>
                  <a:lumOff val="20000"/>
                </a:schemeClr>
              </a:solidFill>
              <a:round/>
            </a:ln>
            <a:effectLst/>
          </c:spPr>
          <c:marker>
            <c:symbol val="none"/>
          </c:marker>
          <c:cat>
            <c:numRef>
              <c:f>'Battery Saturation &amp; Unit Load'!$C$3:$S$3</c:f>
              <c:numCache>
                <c:formatCode>General</c:formatCode>
                <c:ptCount val="17"/>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numCache>
            </c:numRef>
          </c:cat>
          <c:val>
            <c:numRef>
              <c:f>'Battery Saturation &amp; Unit Load'!$C$19:$S$19</c:f>
              <c:numCache>
                <c:formatCode>0.00%</c:formatCode>
                <c:ptCount val="17"/>
                <c:pt idx="0">
                  <c:v>5.2561185398211918E-2</c:v>
                </c:pt>
                <c:pt idx="1">
                  <c:v>7.0796698699632385E-2</c:v>
                </c:pt>
                <c:pt idx="2">
                  <c:v>9.2098360255273987E-2</c:v>
                </c:pt>
                <c:pt idx="3">
                  <c:v>0.11520791190604386</c:v>
                </c:pt>
                <c:pt idx="4">
                  <c:v>0.13835159878820333</c:v>
                </c:pt>
                <c:pt idx="5">
                  <c:v>0.15974536505903408</c:v>
                </c:pt>
                <c:pt idx="6">
                  <c:v>0.17810612537851739</c:v>
                </c:pt>
                <c:pt idx="7">
                  <c:v>0.19288604029056278</c:v>
                </c:pt>
                <c:pt idx="8">
                  <c:v>0.20418189366064823</c:v>
                </c:pt>
                <c:pt idx="9">
                  <c:v>0.21247733705734853</c:v>
                </c:pt>
                <c:pt idx="10">
                  <c:v>0.21839252975259588</c:v>
                </c:pt>
                <c:pt idx="11">
                  <c:v>0.22252242278180681</c:v>
                </c:pt>
                <c:pt idx="12">
                  <c:v>0.22536356828172902</c:v>
                </c:pt>
                <c:pt idx="13">
                  <c:v>0.22729831739912967</c:v>
                </c:pt>
                <c:pt idx="14">
                  <c:v>0.2286067117629198</c:v>
                </c:pt>
                <c:pt idx="15">
                  <c:v>0.22948737523564894</c:v>
                </c:pt>
                <c:pt idx="16">
                  <c:v>0.23007826346443144</c:v>
                </c:pt>
              </c:numCache>
            </c:numRef>
          </c:val>
          <c:smooth val="0"/>
          <c:extLst>
            <c:ext xmlns:c16="http://schemas.microsoft.com/office/drawing/2014/chart" uri="{C3380CC4-5D6E-409C-BE32-E72D297353CC}">
              <c16:uniqueId val="{00000010-AC52-4C16-94C4-754204896DBD}"/>
            </c:ext>
          </c:extLst>
        </c:ser>
        <c:ser>
          <c:idx val="17"/>
          <c:order val="17"/>
          <c:tx>
            <c:strRef>
              <c:f>'Battery Saturation &amp; Unit Load'!$A$20:$B$20</c:f>
              <c:strCache>
                <c:ptCount val="2"/>
                <c:pt idx="0">
                  <c:v>Small Commercial</c:v>
                </c:pt>
                <c:pt idx="1">
                  <c:v>Retail Trade</c:v>
                </c:pt>
              </c:strCache>
            </c:strRef>
          </c:tx>
          <c:spPr>
            <a:ln w="28575" cap="rnd">
              <a:solidFill>
                <a:schemeClr val="accent6">
                  <a:lumMod val="80000"/>
                  <a:lumOff val="20000"/>
                </a:schemeClr>
              </a:solidFill>
              <a:round/>
            </a:ln>
            <a:effectLst/>
          </c:spPr>
          <c:marker>
            <c:symbol val="none"/>
          </c:marker>
          <c:cat>
            <c:numRef>
              <c:f>'Battery Saturation &amp; Unit Load'!$C$3:$S$3</c:f>
              <c:numCache>
                <c:formatCode>General</c:formatCode>
                <c:ptCount val="17"/>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numCache>
            </c:numRef>
          </c:cat>
          <c:val>
            <c:numRef>
              <c:f>'Battery Saturation &amp; Unit Load'!$C$20:$S$20</c:f>
              <c:numCache>
                <c:formatCode>0.00%</c:formatCode>
                <c:ptCount val="17"/>
                <c:pt idx="0">
                  <c:v>1.0956627172869616E-2</c:v>
                </c:pt>
                <c:pt idx="1">
                  <c:v>1.4757905987946832E-2</c:v>
                </c:pt>
                <c:pt idx="2">
                  <c:v>1.9198337878125527E-2</c:v>
                </c:pt>
                <c:pt idx="3">
                  <c:v>2.4015632991455919E-2</c:v>
                </c:pt>
                <c:pt idx="4">
                  <c:v>2.8840043754879852E-2</c:v>
                </c:pt>
                <c:pt idx="5">
                  <c:v>3.3299675307652626E-2</c:v>
                </c:pt>
                <c:pt idx="6">
                  <c:v>3.7127062454781944E-2</c:v>
                </c:pt>
                <c:pt idx="7">
                  <c:v>4.0208005475970469E-2</c:v>
                </c:pt>
                <c:pt idx="8">
                  <c:v>4.2562679424774506E-2</c:v>
                </c:pt>
                <c:pt idx="9">
                  <c:v>4.4291903753386784E-2</c:v>
                </c:pt>
                <c:pt idx="10">
                  <c:v>4.552495358904958E-2</c:v>
                </c:pt>
                <c:pt idx="11">
                  <c:v>4.638584928312646E-2</c:v>
                </c:pt>
                <c:pt idx="12">
                  <c:v>4.697809947213348E-2</c:v>
                </c:pt>
                <c:pt idx="13">
                  <c:v>4.7381407057223039E-2</c:v>
                </c:pt>
                <c:pt idx="14">
                  <c:v>4.7654148037673226E-2</c:v>
                </c:pt>
                <c:pt idx="15">
                  <c:v>4.783772649509109E-2</c:v>
                </c:pt>
                <c:pt idx="16">
                  <c:v>4.7960899935236286E-2</c:v>
                </c:pt>
              </c:numCache>
            </c:numRef>
          </c:val>
          <c:smooth val="0"/>
          <c:extLst>
            <c:ext xmlns:c16="http://schemas.microsoft.com/office/drawing/2014/chart" uri="{C3380CC4-5D6E-409C-BE32-E72D297353CC}">
              <c16:uniqueId val="{00000012-AC52-4C16-94C4-754204896DBD}"/>
            </c:ext>
          </c:extLst>
        </c:ser>
        <c:ser>
          <c:idx val="18"/>
          <c:order val="18"/>
          <c:tx>
            <c:strRef>
              <c:f>'Battery Saturation &amp; Unit Load'!$A$21:$B$21</c:f>
              <c:strCache>
                <c:ptCount val="2"/>
                <c:pt idx="0">
                  <c:v>Small Industrial</c:v>
                </c:pt>
                <c:pt idx="1">
                  <c:v>Retail Trade</c:v>
                </c:pt>
              </c:strCache>
            </c:strRef>
          </c:tx>
          <c:spPr>
            <a:ln w="28575" cap="rnd">
              <a:solidFill>
                <a:schemeClr val="accent1">
                  <a:lumMod val="80000"/>
                </a:schemeClr>
              </a:solidFill>
              <a:round/>
            </a:ln>
            <a:effectLst/>
          </c:spPr>
          <c:marker>
            <c:symbol val="none"/>
          </c:marker>
          <c:cat>
            <c:numRef>
              <c:f>'Battery Saturation &amp; Unit Load'!$C$3:$S$3</c:f>
              <c:numCache>
                <c:formatCode>General</c:formatCode>
                <c:ptCount val="17"/>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numCache>
            </c:numRef>
          </c:cat>
          <c:val>
            <c:numRef>
              <c:f>'Battery Saturation &amp; Unit Load'!$C$21:$S$21</c:f>
              <c:numCache>
                <c:formatCode>0.00%</c:formatCode>
                <c:ptCount val="17"/>
                <c:pt idx="0">
                  <c:v>4.6938945750466584E-3</c:v>
                </c:pt>
                <c:pt idx="1">
                  <c:v>6.3223886112873367E-3</c:v>
                </c:pt>
                <c:pt idx="2">
                  <c:v>8.2247002288428194E-3</c:v>
                </c:pt>
                <c:pt idx="3">
                  <c:v>1.0288462647888252E-2</c:v>
                </c:pt>
                <c:pt idx="4">
                  <c:v>1.2355273460462552E-2</c:v>
                </c:pt>
                <c:pt idx="5">
                  <c:v>1.426581034576432E-2</c:v>
                </c:pt>
                <c:pt idx="6">
                  <c:v>1.5905489371349741E-2</c:v>
                </c:pt>
                <c:pt idx="7">
                  <c:v>1.7225386590175803E-2</c:v>
                </c:pt>
                <c:pt idx="8">
                  <c:v>1.8234145134197726E-2</c:v>
                </c:pt>
                <c:pt idx="9">
                  <c:v>1.8974956751408759E-2</c:v>
                </c:pt>
                <c:pt idx="10">
                  <c:v>1.9503203797060845E-2</c:v>
                </c:pt>
                <c:pt idx="11">
                  <c:v>1.9872017444212641E-2</c:v>
                </c:pt>
                <c:pt idx="12">
                  <c:v>2.0125741505950732E-2</c:v>
                </c:pt>
                <c:pt idx="13">
                  <c:v>2.0298521254303821E-2</c:v>
                </c:pt>
                <c:pt idx="14">
                  <c:v>2.0415365369589416E-2</c:v>
                </c:pt>
                <c:pt idx="15">
                  <c:v>2.0494011645653534E-2</c:v>
                </c:pt>
                <c:pt idx="16">
                  <c:v>2.0546779996110778E-2</c:v>
                </c:pt>
              </c:numCache>
            </c:numRef>
          </c:val>
          <c:smooth val="0"/>
          <c:extLst>
            <c:ext xmlns:c16="http://schemas.microsoft.com/office/drawing/2014/chart" uri="{C3380CC4-5D6E-409C-BE32-E72D297353CC}">
              <c16:uniqueId val="{00000013-AC52-4C16-94C4-754204896DBD}"/>
            </c:ext>
          </c:extLst>
        </c:ser>
        <c:ser>
          <c:idx val="19"/>
          <c:order val="19"/>
          <c:tx>
            <c:strRef>
              <c:f>'Battery Saturation &amp; Unit Load'!$A$22:$B$22</c:f>
              <c:strCache>
                <c:ptCount val="2"/>
                <c:pt idx="0">
                  <c:v>Large Commercial</c:v>
                </c:pt>
                <c:pt idx="1">
                  <c:v>Services</c:v>
                </c:pt>
              </c:strCache>
            </c:strRef>
          </c:tx>
          <c:spPr>
            <a:ln w="28575" cap="rnd">
              <a:solidFill>
                <a:schemeClr val="accent2">
                  <a:lumMod val="80000"/>
                </a:schemeClr>
              </a:solidFill>
              <a:round/>
            </a:ln>
            <a:effectLst/>
          </c:spPr>
          <c:marker>
            <c:symbol val="none"/>
          </c:marker>
          <c:cat>
            <c:numRef>
              <c:f>'Battery Saturation &amp; Unit Load'!$C$3:$S$3</c:f>
              <c:numCache>
                <c:formatCode>General</c:formatCode>
                <c:ptCount val="17"/>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numCache>
            </c:numRef>
          </c:cat>
          <c:val>
            <c:numRef>
              <c:f>'Battery Saturation &amp; Unit Load'!$C$22:$S$22</c:f>
              <c:numCache>
                <c:formatCode>0.00%</c:formatCode>
                <c:ptCount val="17"/>
                <c:pt idx="0">
                  <c:v>5.9513333907856819E-2</c:v>
                </c:pt>
                <c:pt idx="1">
                  <c:v>8.0160817100378576E-2</c:v>
                </c:pt>
                <c:pt idx="2">
                  <c:v>0.10428000100668718</c:v>
                </c:pt>
                <c:pt idx="3">
                  <c:v>0.13044620052128028</c:v>
                </c:pt>
                <c:pt idx="4">
                  <c:v>0.1566510502567221</c:v>
                </c:pt>
                <c:pt idx="5">
                  <c:v>0.18087452135952392</c:v>
                </c:pt>
                <c:pt idx="6">
                  <c:v>0.20166381770847405</c:v>
                </c:pt>
                <c:pt idx="7">
                  <c:v>0.21839863836798287</c:v>
                </c:pt>
                <c:pt idx="8">
                  <c:v>0.23118856858540435</c:v>
                </c:pt>
                <c:pt idx="9">
                  <c:v>0.24058123142284382</c:v>
                </c:pt>
                <c:pt idx="10">
                  <c:v>0.24727881320937534</c:v>
                </c:pt>
                <c:pt idx="11">
                  <c:v>0.25195495780141725</c:v>
                </c:pt>
                <c:pt idx="12">
                  <c:v>0.25517189515807415</c:v>
                </c:pt>
                <c:pt idx="13">
                  <c:v>0.25736254914312889</c:v>
                </c:pt>
                <c:pt idx="14">
                  <c:v>0.25884400185515333</c:v>
                </c:pt>
                <c:pt idx="15">
                  <c:v>0.25984114868348124</c:v>
                </c:pt>
                <c:pt idx="16">
                  <c:v>0.26051019235506767</c:v>
                </c:pt>
              </c:numCache>
            </c:numRef>
          </c:val>
          <c:smooth val="0"/>
          <c:extLst>
            <c:ext xmlns:c16="http://schemas.microsoft.com/office/drawing/2014/chart" uri="{C3380CC4-5D6E-409C-BE32-E72D297353CC}">
              <c16:uniqueId val="{00000014-AC52-4C16-94C4-754204896DBD}"/>
            </c:ext>
          </c:extLst>
        </c:ser>
        <c:ser>
          <c:idx val="20"/>
          <c:order val="20"/>
          <c:tx>
            <c:strRef>
              <c:f>'Battery Saturation &amp; Unit Load'!$A$23:$B$23</c:f>
              <c:strCache>
                <c:ptCount val="2"/>
                <c:pt idx="0">
                  <c:v>Large Industrial</c:v>
                </c:pt>
                <c:pt idx="1">
                  <c:v>Services</c:v>
                </c:pt>
              </c:strCache>
            </c:strRef>
          </c:tx>
          <c:spPr>
            <a:ln w="28575" cap="rnd">
              <a:solidFill>
                <a:schemeClr val="accent3">
                  <a:lumMod val="80000"/>
                </a:schemeClr>
              </a:solidFill>
              <a:round/>
            </a:ln>
            <a:effectLst/>
          </c:spPr>
          <c:marker>
            <c:symbol val="none"/>
          </c:marker>
          <c:cat>
            <c:numRef>
              <c:f>'Battery Saturation &amp; Unit Load'!$C$3:$S$3</c:f>
              <c:numCache>
                <c:formatCode>General</c:formatCode>
                <c:ptCount val="17"/>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numCache>
            </c:numRef>
          </c:cat>
          <c:val>
            <c:numRef>
              <c:f>'Battery Saturation &amp; Unit Load'!$C$23:$S$23</c:f>
              <c:numCache>
                <c:formatCode>0.00%</c:formatCode>
                <c:ptCount val="17"/>
                <c:pt idx="0">
                  <c:v>5.2561185398211918E-2</c:v>
                </c:pt>
                <c:pt idx="1">
                  <c:v>7.0796698699632385E-2</c:v>
                </c:pt>
                <c:pt idx="2">
                  <c:v>9.2098360255273987E-2</c:v>
                </c:pt>
                <c:pt idx="3">
                  <c:v>0.11520791190604386</c:v>
                </c:pt>
                <c:pt idx="4">
                  <c:v>0.13835159878820333</c:v>
                </c:pt>
                <c:pt idx="5">
                  <c:v>0.15974536505903408</c:v>
                </c:pt>
                <c:pt idx="6">
                  <c:v>0.17810612537851739</c:v>
                </c:pt>
                <c:pt idx="7">
                  <c:v>0.19288604029056278</c:v>
                </c:pt>
                <c:pt idx="8">
                  <c:v>0.20418189366064823</c:v>
                </c:pt>
                <c:pt idx="9">
                  <c:v>0.21247733705734853</c:v>
                </c:pt>
                <c:pt idx="10">
                  <c:v>0.21839252975259588</c:v>
                </c:pt>
                <c:pt idx="11">
                  <c:v>0.22252242278180681</c:v>
                </c:pt>
                <c:pt idx="12">
                  <c:v>0.22536356828172902</c:v>
                </c:pt>
                <c:pt idx="13">
                  <c:v>0.22729831739912967</c:v>
                </c:pt>
                <c:pt idx="14">
                  <c:v>0.2286067117629198</c:v>
                </c:pt>
                <c:pt idx="15">
                  <c:v>0.22948737523564894</c:v>
                </c:pt>
                <c:pt idx="16">
                  <c:v>0.23007826346443144</c:v>
                </c:pt>
              </c:numCache>
            </c:numRef>
          </c:val>
          <c:smooth val="0"/>
          <c:extLst>
            <c:ext xmlns:c16="http://schemas.microsoft.com/office/drawing/2014/chart" uri="{C3380CC4-5D6E-409C-BE32-E72D297353CC}">
              <c16:uniqueId val="{00000015-AC52-4C16-94C4-754204896DBD}"/>
            </c:ext>
          </c:extLst>
        </c:ser>
        <c:ser>
          <c:idx val="21"/>
          <c:order val="21"/>
          <c:tx>
            <c:strRef>
              <c:f>'Battery Saturation &amp; Unit Load'!$A$24:$B$24</c:f>
              <c:strCache>
                <c:ptCount val="2"/>
                <c:pt idx="0">
                  <c:v>Small Commercial</c:v>
                </c:pt>
                <c:pt idx="1">
                  <c:v>Services</c:v>
                </c:pt>
              </c:strCache>
            </c:strRef>
          </c:tx>
          <c:spPr>
            <a:ln w="28575" cap="rnd">
              <a:solidFill>
                <a:schemeClr val="accent4">
                  <a:lumMod val="80000"/>
                </a:schemeClr>
              </a:solidFill>
              <a:round/>
            </a:ln>
            <a:effectLst/>
          </c:spPr>
          <c:marker>
            <c:symbol val="none"/>
          </c:marker>
          <c:cat>
            <c:numRef>
              <c:f>'Battery Saturation &amp; Unit Load'!$C$3:$S$3</c:f>
              <c:numCache>
                <c:formatCode>General</c:formatCode>
                <c:ptCount val="17"/>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numCache>
            </c:numRef>
          </c:cat>
          <c:val>
            <c:numRef>
              <c:f>'Battery Saturation &amp; Unit Load'!$C$24:$S$24</c:f>
              <c:numCache>
                <c:formatCode>0.00%</c:formatCode>
                <c:ptCount val="17"/>
                <c:pt idx="0">
                  <c:v>1.0956627172869616E-2</c:v>
                </c:pt>
                <c:pt idx="1">
                  <c:v>1.4757905987946832E-2</c:v>
                </c:pt>
                <c:pt idx="2">
                  <c:v>1.9198337878125527E-2</c:v>
                </c:pt>
                <c:pt idx="3">
                  <c:v>2.4015632991455919E-2</c:v>
                </c:pt>
                <c:pt idx="4">
                  <c:v>2.8840043754879852E-2</c:v>
                </c:pt>
                <c:pt idx="5">
                  <c:v>3.3299675307652626E-2</c:v>
                </c:pt>
                <c:pt idx="6">
                  <c:v>3.7127062454781944E-2</c:v>
                </c:pt>
                <c:pt idx="7">
                  <c:v>4.0208005475970469E-2</c:v>
                </c:pt>
                <c:pt idx="8">
                  <c:v>4.2562679424774506E-2</c:v>
                </c:pt>
                <c:pt idx="9">
                  <c:v>4.4291903753386784E-2</c:v>
                </c:pt>
                <c:pt idx="10">
                  <c:v>4.552495358904958E-2</c:v>
                </c:pt>
                <c:pt idx="11">
                  <c:v>4.638584928312646E-2</c:v>
                </c:pt>
                <c:pt idx="12">
                  <c:v>4.697809947213348E-2</c:v>
                </c:pt>
                <c:pt idx="13">
                  <c:v>4.7381407057223039E-2</c:v>
                </c:pt>
                <c:pt idx="14">
                  <c:v>4.7654148037673226E-2</c:v>
                </c:pt>
                <c:pt idx="15">
                  <c:v>4.783772649509109E-2</c:v>
                </c:pt>
                <c:pt idx="16">
                  <c:v>4.7960899935236286E-2</c:v>
                </c:pt>
              </c:numCache>
            </c:numRef>
          </c:val>
          <c:smooth val="0"/>
          <c:extLst>
            <c:ext xmlns:c16="http://schemas.microsoft.com/office/drawing/2014/chart" uri="{C3380CC4-5D6E-409C-BE32-E72D297353CC}">
              <c16:uniqueId val="{00000016-AC52-4C16-94C4-754204896DBD}"/>
            </c:ext>
          </c:extLst>
        </c:ser>
        <c:ser>
          <c:idx val="22"/>
          <c:order val="22"/>
          <c:tx>
            <c:strRef>
              <c:f>'Battery Saturation &amp; Unit Load'!$A$25:$B$25</c:f>
              <c:strCache>
                <c:ptCount val="2"/>
                <c:pt idx="0">
                  <c:v>Small Industrial</c:v>
                </c:pt>
                <c:pt idx="1">
                  <c:v>Services</c:v>
                </c:pt>
              </c:strCache>
            </c:strRef>
          </c:tx>
          <c:spPr>
            <a:ln w="28575" cap="rnd">
              <a:solidFill>
                <a:schemeClr val="accent5">
                  <a:lumMod val="80000"/>
                </a:schemeClr>
              </a:solidFill>
              <a:round/>
            </a:ln>
            <a:effectLst/>
          </c:spPr>
          <c:marker>
            <c:symbol val="none"/>
          </c:marker>
          <c:cat>
            <c:numRef>
              <c:f>'Battery Saturation &amp; Unit Load'!$C$3:$S$3</c:f>
              <c:numCache>
                <c:formatCode>General</c:formatCode>
                <c:ptCount val="17"/>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numCache>
            </c:numRef>
          </c:cat>
          <c:val>
            <c:numRef>
              <c:f>'Battery Saturation &amp; Unit Load'!$C$25:$S$25</c:f>
              <c:numCache>
                <c:formatCode>0.00%</c:formatCode>
                <c:ptCount val="17"/>
                <c:pt idx="0">
                  <c:v>4.6938945750466584E-3</c:v>
                </c:pt>
                <c:pt idx="1">
                  <c:v>6.3223886112873367E-3</c:v>
                </c:pt>
                <c:pt idx="2">
                  <c:v>8.2247002288428194E-3</c:v>
                </c:pt>
                <c:pt idx="3">
                  <c:v>1.0288462647888252E-2</c:v>
                </c:pt>
                <c:pt idx="4">
                  <c:v>1.2355273460462552E-2</c:v>
                </c:pt>
                <c:pt idx="5">
                  <c:v>1.426581034576432E-2</c:v>
                </c:pt>
                <c:pt idx="6">
                  <c:v>1.5905489371349741E-2</c:v>
                </c:pt>
                <c:pt idx="7">
                  <c:v>1.7225386590175803E-2</c:v>
                </c:pt>
                <c:pt idx="8">
                  <c:v>1.8234145134197726E-2</c:v>
                </c:pt>
                <c:pt idx="9">
                  <c:v>1.8974956751408759E-2</c:v>
                </c:pt>
                <c:pt idx="10">
                  <c:v>1.9503203797060845E-2</c:v>
                </c:pt>
                <c:pt idx="11">
                  <c:v>1.9872017444212641E-2</c:v>
                </c:pt>
                <c:pt idx="12">
                  <c:v>2.0125741505950732E-2</c:v>
                </c:pt>
                <c:pt idx="13">
                  <c:v>2.0298521254303821E-2</c:v>
                </c:pt>
                <c:pt idx="14">
                  <c:v>2.0415365369589416E-2</c:v>
                </c:pt>
                <c:pt idx="15">
                  <c:v>2.0494011645653534E-2</c:v>
                </c:pt>
                <c:pt idx="16">
                  <c:v>2.0546779996110778E-2</c:v>
                </c:pt>
              </c:numCache>
            </c:numRef>
          </c:val>
          <c:smooth val="0"/>
          <c:extLst>
            <c:ext xmlns:c16="http://schemas.microsoft.com/office/drawing/2014/chart" uri="{C3380CC4-5D6E-409C-BE32-E72D297353CC}">
              <c16:uniqueId val="{00000017-AC52-4C16-94C4-754204896DBD}"/>
            </c:ext>
          </c:extLst>
        </c:ser>
        <c:dLbls>
          <c:showLegendKey val="0"/>
          <c:showVal val="0"/>
          <c:showCatName val="0"/>
          <c:showSerName val="0"/>
          <c:showPercent val="0"/>
          <c:showBubbleSize val="0"/>
        </c:dLbls>
        <c:smooth val="0"/>
        <c:axId val="588905440"/>
        <c:axId val="1705651680"/>
        <c:extLst>
          <c:ext xmlns:c15="http://schemas.microsoft.com/office/drawing/2012/chart" uri="{02D57815-91ED-43cb-92C2-25804820EDAC}">
            <c15:filteredLineSeries>
              <c15:ser>
                <c:idx val="0"/>
                <c:order val="0"/>
                <c:tx>
                  <c:strRef>
                    <c:extLst>
                      <c:ext uri="{02D57815-91ED-43cb-92C2-25804820EDAC}">
                        <c15:formulaRef>
                          <c15:sqref>'Battery Saturation &amp; Unit Load'!$A$3:$B$3</c15:sqref>
                        </c15:formulaRef>
                      </c:ext>
                    </c:extLst>
                    <c:strCache>
                      <c:ptCount val="2"/>
                      <c:pt idx="0">
                        <c:v>Customer Class ↓</c:v>
                      </c:pt>
                      <c:pt idx="1">
                        <c:v>Building Type ↓</c:v>
                      </c:pt>
                    </c:strCache>
                  </c:strRef>
                </c:tx>
                <c:spPr>
                  <a:ln w="28575" cap="rnd">
                    <a:solidFill>
                      <a:schemeClr val="accent1"/>
                    </a:solidFill>
                    <a:round/>
                  </a:ln>
                  <a:effectLst/>
                </c:spPr>
                <c:marker>
                  <c:symbol val="none"/>
                </c:marker>
                <c:cat>
                  <c:numRef>
                    <c:extLst>
                      <c:ext uri="{02D57815-91ED-43cb-92C2-25804820EDAC}">
                        <c15:formulaRef>
                          <c15:sqref>'Battery Saturation &amp; Unit Load'!$C$3:$S$3</c15:sqref>
                        </c15:formulaRef>
                      </c:ext>
                    </c:extLst>
                    <c:numCache>
                      <c:formatCode>General</c:formatCode>
                      <c:ptCount val="17"/>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numCache>
                  </c:numRef>
                </c:cat>
                <c:val>
                  <c:numRef>
                    <c:extLst>
                      <c:ext uri="{02D57815-91ED-43cb-92C2-25804820EDAC}">
                        <c15:formulaRef>
                          <c15:sqref>'Battery Saturation &amp; Unit Load'!$C$3:$S$3</c15:sqref>
                        </c15:formulaRef>
                      </c:ext>
                    </c:extLst>
                    <c:numCache>
                      <c:formatCode>General</c:formatCode>
                      <c:ptCount val="17"/>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numCache>
                  </c:numRef>
                </c:val>
                <c:smooth val="0"/>
                <c:extLst>
                  <c:ext xmlns:c16="http://schemas.microsoft.com/office/drawing/2014/chart" uri="{C3380CC4-5D6E-409C-BE32-E72D297353CC}">
                    <c16:uniqueId val="{00000000-AC52-4C16-94C4-754204896DBD}"/>
                  </c:ext>
                </c:extLst>
              </c15:ser>
            </c15:filteredLineSeries>
          </c:ext>
        </c:extLst>
      </c:lineChart>
      <c:catAx>
        <c:axId val="5889054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05651680"/>
        <c:crosses val="autoZero"/>
        <c:auto val="1"/>
        <c:lblAlgn val="ctr"/>
        <c:lblOffset val="100"/>
        <c:noMultiLvlLbl val="0"/>
      </c:catAx>
      <c:valAx>
        <c:axId val="170565168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89054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5.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1</xdr:colOff>
      <xdr:row>0</xdr:row>
      <xdr:rowOff>0</xdr:rowOff>
    </xdr:from>
    <xdr:to>
      <xdr:col>4</xdr:col>
      <xdr:colOff>317501</xdr:colOff>
      <xdr:row>2</xdr:row>
      <xdr:rowOff>25400</xdr:rowOff>
    </xdr:to>
    <xdr:sp macro="" textlink="">
      <xdr:nvSpPr>
        <xdr:cNvPr id="2" name="TextBox 1">
          <a:extLst>
            <a:ext uri="{FF2B5EF4-FFF2-40B4-BE49-F238E27FC236}">
              <a16:creationId xmlns:a16="http://schemas.microsoft.com/office/drawing/2014/main" id="{C7E00ED2-26AC-41BB-A67A-663F164B5DAE}"/>
            </a:ext>
          </a:extLst>
        </xdr:cNvPr>
        <xdr:cNvSpPr txBox="1"/>
      </xdr:nvSpPr>
      <xdr:spPr>
        <a:xfrm>
          <a:off x="1219201" y="0"/>
          <a:ext cx="1536700" cy="393700"/>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Updated 5/19/21</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140756</xdr:colOff>
      <xdr:row>0</xdr:row>
      <xdr:rowOff>87843</xdr:rowOff>
    </xdr:from>
    <xdr:to>
      <xdr:col>3</xdr:col>
      <xdr:colOff>1243852</xdr:colOff>
      <xdr:row>0</xdr:row>
      <xdr:rowOff>468843</xdr:rowOff>
    </xdr:to>
    <xdr:sp macro="" textlink="">
      <xdr:nvSpPr>
        <xdr:cNvPr id="2" name="TextBox 1">
          <a:extLst>
            <a:ext uri="{FF2B5EF4-FFF2-40B4-BE49-F238E27FC236}">
              <a16:creationId xmlns:a16="http://schemas.microsoft.com/office/drawing/2014/main" id="{A943A64B-2110-4043-854B-3F388577BBD4}"/>
            </a:ext>
          </a:extLst>
        </xdr:cNvPr>
        <xdr:cNvSpPr txBox="1"/>
      </xdr:nvSpPr>
      <xdr:spPr>
        <a:xfrm>
          <a:off x="140756" y="87843"/>
          <a:ext cx="6494246" cy="381000"/>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These</a:t>
          </a:r>
          <a:r>
            <a:rPr lang="en-US" sz="1100" baseline="0"/>
            <a:t> are one-time variable costs for program marketing, customer education and outreach. Costs in CAD</a:t>
          </a:r>
          <a:endParaRPr 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142874</xdr:colOff>
      <xdr:row>0</xdr:row>
      <xdr:rowOff>57151</xdr:rowOff>
    </xdr:from>
    <xdr:to>
      <xdr:col>5</xdr:col>
      <xdr:colOff>0</xdr:colOff>
      <xdr:row>0</xdr:row>
      <xdr:rowOff>510887</xdr:rowOff>
    </xdr:to>
    <xdr:sp macro="" textlink="">
      <xdr:nvSpPr>
        <xdr:cNvPr id="3" name="TextBox 1">
          <a:extLst>
            <a:ext uri="{FF2B5EF4-FFF2-40B4-BE49-F238E27FC236}">
              <a16:creationId xmlns:a16="http://schemas.microsoft.com/office/drawing/2014/main" id="{A5B76B16-4B9A-4C09-B644-866E56DC4D2B}"/>
            </a:ext>
          </a:extLst>
        </xdr:cNvPr>
        <xdr:cNvSpPr txBox="1"/>
      </xdr:nvSpPr>
      <xdr:spPr>
        <a:xfrm>
          <a:off x="142874" y="57151"/>
          <a:ext cx="7632990" cy="453736"/>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These</a:t>
          </a:r>
          <a:r>
            <a:rPr lang="en-US" sz="1100" baseline="0">
              <a:solidFill>
                <a:schemeClr val="dk1"/>
              </a:solidFill>
              <a:effectLst/>
              <a:latin typeface="+mn-lt"/>
              <a:ea typeface="+mn-ea"/>
              <a:cs typeface="+mn-cs"/>
            </a:rPr>
            <a:t> are one-time variable costs for technology enablement by DR program type. The sources cited in the assumptions documentation column provided technology cost data in US dollars. Costs in CAD.</a:t>
          </a:r>
          <a:endParaRPr lang="en-US">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103979</xdr:colOff>
      <xdr:row>0</xdr:row>
      <xdr:rowOff>163513</xdr:rowOff>
    </xdr:from>
    <xdr:to>
      <xdr:col>4</xdr:col>
      <xdr:colOff>302559</xdr:colOff>
      <xdr:row>0</xdr:row>
      <xdr:rowOff>468313</xdr:rowOff>
    </xdr:to>
    <xdr:sp macro="" textlink="">
      <xdr:nvSpPr>
        <xdr:cNvPr id="2" name="TextBox 1">
          <a:extLst>
            <a:ext uri="{FF2B5EF4-FFF2-40B4-BE49-F238E27FC236}">
              <a16:creationId xmlns:a16="http://schemas.microsoft.com/office/drawing/2014/main" id="{6C3CED02-043F-4069-8970-C5990950B090}"/>
            </a:ext>
          </a:extLst>
        </xdr:cNvPr>
        <xdr:cNvSpPr txBox="1"/>
      </xdr:nvSpPr>
      <xdr:spPr>
        <a:xfrm>
          <a:off x="103979" y="163513"/>
          <a:ext cx="7594462" cy="304800"/>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This worksheet specifies the nature</a:t>
          </a:r>
          <a:r>
            <a:rPr lang="en-US" sz="1100" baseline="0"/>
            <a:t> and level of customer incentives, which varies by DR program type.  All values in CAD</a:t>
          </a:r>
          <a:endParaRPr lang="en-US" sz="1100"/>
        </a:p>
      </xdr:txBody>
    </xdr:sp>
    <xdr:clientData/>
  </xdr:twoCellAnchor>
  <xdr:twoCellAnchor>
    <xdr:from>
      <xdr:col>4</xdr:col>
      <xdr:colOff>361950</xdr:colOff>
      <xdr:row>0</xdr:row>
      <xdr:rowOff>19050</xdr:rowOff>
    </xdr:from>
    <xdr:to>
      <xdr:col>6</xdr:col>
      <xdr:colOff>2076451</xdr:colOff>
      <xdr:row>1</xdr:row>
      <xdr:rowOff>31748</xdr:rowOff>
    </xdr:to>
    <xdr:sp macro="" textlink="">
      <xdr:nvSpPr>
        <xdr:cNvPr id="4" name="TextBox 3">
          <a:extLst>
            <a:ext uri="{FF2B5EF4-FFF2-40B4-BE49-F238E27FC236}">
              <a16:creationId xmlns:a16="http://schemas.microsoft.com/office/drawing/2014/main" id="{3967F612-489B-485B-A353-7EA1B108E896}"/>
            </a:ext>
          </a:extLst>
        </xdr:cNvPr>
        <xdr:cNvSpPr txBox="1"/>
      </xdr:nvSpPr>
      <xdr:spPr>
        <a:xfrm>
          <a:off x="8391525" y="19050"/>
          <a:ext cx="3714751" cy="650873"/>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Scenario Definitions</a:t>
          </a:r>
        </a:p>
        <a:p>
          <a:r>
            <a:rPr lang="en-US" sz="1100">
              <a:solidFill>
                <a:schemeClr val="dk1"/>
              </a:solidFill>
              <a:effectLst/>
              <a:latin typeface="+mn-lt"/>
              <a:ea typeface="+mn-ea"/>
              <a:cs typeface="+mn-cs"/>
            </a:rPr>
            <a:t>"Scenario 2" = Settlement Plan </a:t>
          </a:r>
        </a:p>
        <a:p>
          <a:r>
            <a:rPr lang="en-US" sz="1100">
              <a:solidFill>
                <a:schemeClr val="dk1"/>
              </a:solidFill>
              <a:effectLst/>
              <a:latin typeface="+mn-lt"/>
              <a:ea typeface="+mn-ea"/>
              <a:cs typeface="+mn-cs"/>
            </a:rPr>
            <a:t>"Scenario 1" = Alternate Scenario</a:t>
          </a:r>
          <a:endParaRPr 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95249</xdr:colOff>
      <xdr:row>0</xdr:row>
      <xdr:rowOff>46568</xdr:rowOff>
    </xdr:from>
    <xdr:to>
      <xdr:col>5</xdr:col>
      <xdr:colOff>838200</xdr:colOff>
      <xdr:row>0</xdr:row>
      <xdr:rowOff>352426</xdr:rowOff>
    </xdr:to>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95249" y="46568"/>
          <a:ext cx="9410701" cy="305858"/>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aseline="0"/>
            <a:t>These are additional program delivery costs in $/kW-yr., that are not represented as part of other itemized costs. Costs in CAD.</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137582</xdr:colOff>
      <xdr:row>0</xdr:row>
      <xdr:rowOff>52915</xdr:rowOff>
    </xdr:from>
    <xdr:to>
      <xdr:col>2</xdr:col>
      <xdr:colOff>790575</xdr:colOff>
      <xdr:row>0</xdr:row>
      <xdr:rowOff>561974</xdr:rowOff>
    </xdr:to>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137582" y="52915"/>
          <a:ext cx="1691218" cy="137584"/>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This is the annual O&amp;M cost associated with the installed equipment.  Costs in CAD.</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47626</xdr:colOff>
      <xdr:row>0</xdr:row>
      <xdr:rowOff>35719</xdr:rowOff>
    </xdr:from>
    <xdr:to>
      <xdr:col>6</xdr:col>
      <xdr:colOff>3742531</xdr:colOff>
      <xdr:row>0</xdr:row>
      <xdr:rowOff>416719</xdr:rowOff>
    </xdr:to>
    <xdr:sp macro="" textlink="">
      <xdr:nvSpPr>
        <xdr:cNvPr id="18" name="TextBox 1">
          <a:extLst>
            <a:ext uri="{FF2B5EF4-FFF2-40B4-BE49-F238E27FC236}">
              <a16:creationId xmlns:a16="http://schemas.microsoft.com/office/drawing/2014/main" id="{057770AE-D37E-4751-BCC9-B027705AD8B9}"/>
            </a:ext>
          </a:extLst>
        </xdr:cNvPr>
        <xdr:cNvSpPr txBox="1"/>
      </xdr:nvSpPr>
      <xdr:spPr>
        <a:xfrm>
          <a:off x="47626" y="35719"/>
          <a:ext cx="13684249" cy="381000"/>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 participation rate is specified</a:t>
          </a:r>
          <a:r>
            <a:rPr lang="en-US" sz="1100" baseline="0"/>
            <a:t> as percentage of eligible customers. This worksheet specifies the steady state participation assumption, which refers to the participation level after the program is fully ramped up.  </a:t>
          </a:r>
          <a:endParaRPr lang="en-US" sz="1100"/>
        </a:p>
      </xdr:txBody>
    </xdr:sp>
    <xdr:clientData/>
  </xdr:twoCellAnchor>
  <xdr:twoCellAnchor>
    <xdr:from>
      <xdr:col>4</xdr:col>
      <xdr:colOff>1</xdr:colOff>
      <xdr:row>0</xdr:row>
      <xdr:rowOff>391583</xdr:rowOff>
    </xdr:from>
    <xdr:to>
      <xdr:col>6</xdr:col>
      <xdr:colOff>1643591</xdr:colOff>
      <xdr:row>2</xdr:row>
      <xdr:rowOff>12698</xdr:rowOff>
    </xdr:to>
    <xdr:sp macro="" textlink="">
      <xdr:nvSpPr>
        <xdr:cNvPr id="5" name="TextBox 4">
          <a:extLst>
            <a:ext uri="{FF2B5EF4-FFF2-40B4-BE49-F238E27FC236}">
              <a16:creationId xmlns:a16="http://schemas.microsoft.com/office/drawing/2014/main" id="{27650132-2CC7-4BF0-95C7-7E940C213AF6}"/>
            </a:ext>
          </a:extLst>
        </xdr:cNvPr>
        <xdr:cNvSpPr txBox="1"/>
      </xdr:nvSpPr>
      <xdr:spPr>
        <a:xfrm>
          <a:off x="8011584" y="391583"/>
          <a:ext cx="4130674" cy="615948"/>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Scenario Definitions</a:t>
          </a:r>
        </a:p>
        <a:p>
          <a:r>
            <a:rPr lang="en-US" sz="1100">
              <a:solidFill>
                <a:schemeClr val="dk1"/>
              </a:solidFill>
              <a:effectLst/>
              <a:latin typeface="+mn-lt"/>
              <a:ea typeface="+mn-ea"/>
              <a:cs typeface="+mn-cs"/>
            </a:rPr>
            <a:t>"Scenario 2" = Settlement Plan </a:t>
          </a:r>
        </a:p>
        <a:p>
          <a:r>
            <a:rPr lang="en-US" sz="1100">
              <a:solidFill>
                <a:schemeClr val="dk1"/>
              </a:solidFill>
              <a:effectLst/>
              <a:latin typeface="+mn-lt"/>
              <a:ea typeface="+mn-ea"/>
              <a:cs typeface="+mn-cs"/>
            </a:rPr>
            <a:t>"Scenario 1" = Alternate Scenario</a:t>
          </a:r>
          <a:endParaRPr lang="en-US"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76200</xdr:colOff>
      <xdr:row>0</xdr:row>
      <xdr:rowOff>85725</xdr:rowOff>
    </xdr:from>
    <xdr:to>
      <xdr:col>6</xdr:col>
      <xdr:colOff>814917</xdr:colOff>
      <xdr:row>0</xdr:row>
      <xdr:rowOff>564093</xdr:rowOff>
    </xdr:to>
    <xdr:sp macro="" textlink="">
      <xdr:nvSpPr>
        <xdr:cNvPr id="19" name="TextBox 1">
          <a:extLst>
            <a:ext uri="{FF2B5EF4-FFF2-40B4-BE49-F238E27FC236}">
              <a16:creationId xmlns:a16="http://schemas.microsoft.com/office/drawing/2014/main" id="{64DFDA38-0030-4FE3-AD6D-837F22EC70BD}"/>
            </a:ext>
          </a:extLst>
        </xdr:cNvPr>
        <xdr:cNvSpPr txBox="1"/>
      </xdr:nvSpPr>
      <xdr:spPr>
        <a:xfrm>
          <a:off x="76200" y="85725"/>
          <a:ext cx="12867217" cy="478368"/>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This represents</a:t>
          </a:r>
          <a:r>
            <a:rPr lang="en-US" sz="1100" baseline="0"/>
            <a:t> the percentage of participants with a particular end use that are eligible to curtail load using a particular control strategy. It uses outputs from the EE ProCESS model for certain DR suboptions.</a:t>
          </a:r>
        </a:p>
      </xdr:txBody>
    </xdr:sp>
    <xdr:clientData/>
  </xdr:twoCellAnchor>
  <xdr:twoCellAnchor>
    <xdr:from>
      <xdr:col>0</xdr:col>
      <xdr:colOff>2677584</xdr:colOff>
      <xdr:row>0</xdr:row>
      <xdr:rowOff>645583</xdr:rowOff>
    </xdr:from>
    <xdr:to>
      <xdr:col>3</xdr:col>
      <xdr:colOff>631827</xdr:colOff>
      <xdr:row>2</xdr:row>
      <xdr:rowOff>2114</xdr:rowOff>
    </xdr:to>
    <xdr:sp macro="" textlink="">
      <xdr:nvSpPr>
        <xdr:cNvPr id="4" name="TextBox 3">
          <a:extLst>
            <a:ext uri="{FF2B5EF4-FFF2-40B4-BE49-F238E27FC236}">
              <a16:creationId xmlns:a16="http://schemas.microsoft.com/office/drawing/2014/main" id="{A5E38B7A-2228-4B22-AE99-20964AF32217}"/>
            </a:ext>
          </a:extLst>
        </xdr:cNvPr>
        <xdr:cNvSpPr txBox="1"/>
      </xdr:nvSpPr>
      <xdr:spPr>
        <a:xfrm>
          <a:off x="2677584" y="645583"/>
          <a:ext cx="3711576" cy="647698"/>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Scenario Definitions</a:t>
          </a:r>
        </a:p>
        <a:p>
          <a:r>
            <a:rPr lang="en-US" sz="1100">
              <a:solidFill>
                <a:schemeClr val="dk1"/>
              </a:solidFill>
              <a:effectLst/>
              <a:latin typeface="+mn-lt"/>
              <a:ea typeface="+mn-ea"/>
              <a:cs typeface="+mn-cs"/>
            </a:rPr>
            <a:t>"Scenario 2" = Settlement Plan </a:t>
          </a:r>
        </a:p>
        <a:p>
          <a:r>
            <a:rPr lang="en-US" sz="1100">
              <a:solidFill>
                <a:schemeClr val="dk1"/>
              </a:solidFill>
              <a:effectLst/>
              <a:latin typeface="+mn-lt"/>
              <a:ea typeface="+mn-ea"/>
              <a:cs typeface="+mn-cs"/>
            </a:rPr>
            <a:t>"Scenario 1" = Alternate Scenario</a:t>
          </a:r>
          <a:endParaRPr lang="en-US"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44450</xdr:colOff>
      <xdr:row>0</xdr:row>
      <xdr:rowOff>127000</xdr:rowOff>
    </xdr:from>
    <xdr:to>
      <xdr:col>3</xdr:col>
      <xdr:colOff>31750</xdr:colOff>
      <xdr:row>0</xdr:row>
      <xdr:rowOff>685800</xdr:rowOff>
    </xdr:to>
    <xdr:sp macro="" textlink="">
      <xdr:nvSpPr>
        <xdr:cNvPr id="11" name="TextBox 1">
          <a:extLst>
            <a:ext uri="{FF2B5EF4-FFF2-40B4-BE49-F238E27FC236}">
              <a16:creationId xmlns:a16="http://schemas.microsoft.com/office/drawing/2014/main" id="{05F6A6AC-1039-444A-B1DA-FA56F0618BDA}"/>
            </a:ext>
          </a:extLst>
        </xdr:cNvPr>
        <xdr:cNvSpPr txBox="1"/>
      </xdr:nvSpPr>
      <xdr:spPr>
        <a:xfrm>
          <a:off x="44450" y="127000"/>
          <a:ext cx="3016250" cy="558800"/>
        </a:xfrm>
        <a:prstGeom prst="rect">
          <a:avLst/>
        </a:prstGeom>
        <a:solidFill>
          <a:schemeClr val="accent6">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hlinkClick xmlns:r="http://schemas.openxmlformats.org/officeDocument/2006/relationships" r:id=""/>
            </a:rPr>
            <a:t>ProCESS Exports for DR - 11_9.xlsx</a:t>
          </a:r>
          <a:r>
            <a:rPr lang="en-US"/>
            <a:t> ; This is an internal tab for reading in EE model outputs.</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11906</xdr:colOff>
      <xdr:row>0</xdr:row>
      <xdr:rowOff>107156</xdr:rowOff>
    </xdr:from>
    <xdr:to>
      <xdr:col>12</xdr:col>
      <xdr:colOff>0</xdr:colOff>
      <xdr:row>0</xdr:row>
      <xdr:rowOff>583406</xdr:rowOff>
    </xdr:to>
    <xdr:sp macro="" textlink="">
      <xdr:nvSpPr>
        <xdr:cNvPr id="20" name="TextBox 1">
          <a:extLst>
            <a:ext uri="{FF2B5EF4-FFF2-40B4-BE49-F238E27FC236}">
              <a16:creationId xmlns:a16="http://schemas.microsoft.com/office/drawing/2014/main" id="{00000000-0008-0000-1400-000002000000}"/>
            </a:ext>
          </a:extLst>
        </xdr:cNvPr>
        <xdr:cNvSpPr txBox="1"/>
      </xdr:nvSpPr>
      <xdr:spPr>
        <a:xfrm>
          <a:off x="11906" y="107156"/>
          <a:ext cx="7303292" cy="85725"/>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This worksheet shows</a:t>
          </a:r>
          <a:r>
            <a:rPr lang="en-US" sz="1100" baseline="0"/>
            <a:t> the program ramp rate assumptions. The percentages represent the percent of "steady state" participation in each year. 100% percent represents that the program is fully ramped up. </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0</xdr:row>
      <xdr:rowOff>52918</xdr:rowOff>
    </xdr:from>
    <xdr:to>
      <xdr:col>17</xdr:col>
      <xdr:colOff>275166</xdr:colOff>
      <xdr:row>0</xdr:row>
      <xdr:rowOff>529167</xdr:rowOff>
    </xdr:to>
    <xdr:sp macro="" textlink="">
      <xdr:nvSpPr>
        <xdr:cNvPr id="18" name="TextBox 1">
          <a:extLst>
            <a:ext uri="{FF2B5EF4-FFF2-40B4-BE49-F238E27FC236}">
              <a16:creationId xmlns:a16="http://schemas.microsoft.com/office/drawing/2014/main" id="{00000000-0008-0000-1500-000002000000}"/>
            </a:ext>
          </a:extLst>
        </xdr:cNvPr>
        <xdr:cNvSpPr txBox="1"/>
      </xdr:nvSpPr>
      <xdr:spPr>
        <a:xfrm>
          <a:off x="0" y="52918"/>
          <a:ext cx="10638366" cy="133349"/>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This is the annual attrition</a:t>
          </a:r>
          <a:r>
            <a:rPr lang="en-US" sz="1100" baseline="0"/>
            <a:t> rate of participants in DR programs, i.e. the percent of total enrolled participants that drop outof the program in a particular year. Note that the model assumes that additional customers are enrolled to make up for this loss so that the participation rate is maintained at the assumed level.     </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31750</xdr:colOff>
      <xdr:row>0</xdr:row>
      <xdr:rowOff>42334</xdr:rowOff>
    </xdr:from>
    <xdr:to>
      <xdr:col>4</xdr:col>
      <xdr:colOff>25400</xdr:colOff>
      <xdr:row>0</xdr:row>
      <xdr:rowOff>590550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31750" y="42334"/>
          <a:ext cx="7004050" cy="548216"/>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This worksheet shows</a:t>
          </a:r>
          <a:r>
            <a:rPr lang="en-US" sz="1100" baseline="0"/>
            <a:t> the discount rate and inflation asssumptions used for cost and benefits calculations in the model.</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130969</xdr:colOff>
      <xdr:row>0</xdr:row>
      <xdr:rowOff>95250</xdr:rowOff>
    </xdr:from>
    <xdr:to>
      <xdr:col>3</xdr:col>
      <xdr:colOff>522552</xdr:colOff>
      <xdr:row>0</xdr:row>
      <xdr:rowOff>635000</xdr:rowOff>
    </xdr:to>
    <xdr:sp macro="" textlink="">
      <xdr:nvSpPr>
        <xdr:cNvPr id="2" name="TextBox 1">
          <a:extLst>
            <a:ext uri="{FF2B5EF4-FFF2-40B4-BE49-F238E27FC236}">
              <a16:creationId xmlns:a16="http://schemas.microsoft.com/office/drawing/2014/main" id="{00000000-0008-0000-4C00-000002000000}"/>
            </a:ext>
          </a:extLst>
        </xdr:cNvPr>
        <xdr:cNvSpPr txBox="1"/>
      </xdr:nvSpPr>
      <xdr:spPr>
        <a:xfrm>
          <a:off x="130969" y="95250"/>
          <a:ext cx="1610783" cy="92075"/>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Winter peak load, 5-8pm Dec-Feb associated</a:t>
          </a:r>
          <a:r>
            <a:rPr lang="en-US" sz="1100" baseline="0"/>
            <a:t> with each customer segment, customer class and end use. These are the at the meter.</a:t>
          </a:r>
          <a:endParaRPr lang="en-US" sz="1100"/>
        </a:p>
      </xdr:txBody>
    </xdr:sp>
    <xdr:clientData/>
  </xdr:twoCellAnchor>
  <xdr:twoCellAnchor>
    <xdr:from>
      <xdr:col>3</xdr:col>
      <xdr:colOff>695325</xdr:colOff>
      <xdr:row>0</xdr:row>
      <xdr:rowOff>200025</xdr:rowOff>
    </xdr:from>
    <xdr:to>
      <xdr:col>7</xdr:col>
      <xdr:colOff>561976</xdr:colOff>
      <xdr:row>1</xdr:row>
      <xdr:rowOff>123823</xdr:rowOff>
    </xdr:to>
    <xdr:sp macro="" textlink="">
      <xdr:nvSpPr>
        <xdr:cNvPr id="5" name="TextBox 4">
          <a:extLst>
            <a:ext uri="{FF2B5EF4-FFF2-40B4-BE49-F238E27FC236}">
              <a16:creationId xmlns:a16="http://schemas.microsoft.com/office/drawing/2014/main" id="{06B2795F-329E-4E2B-894A-AE2BAB0AE6CB}"/>
            </a:ext>
          </a:extLst>
        </xdr:cNvPr>
        <xdr:cNvSpPr txBox="1"/>
      </xdr:nvSpPr>
      <xdr:spPr>
        <a:xfrm>
          <a:off x="5143500" y="200025"/>
          <a:ext cx="3533776" cy="647698"/>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Scenario Definitions</a:t>
          </a:r>
        </a:p>
        <a:p>
          <a:r>
            <a:rPr lang="en-US" sz="1100">
              <a:solidFill>
                <a:schemeClr val="dk1"/>
              </a:solidFill>
              <a:effectLst/>
              <a:latin typeface="+mn-lt"/>
              <a:ea typeface="+mn-ea"/>
              <a:cs typeface="+mn-cs"/>
            </a:rPr>
            <a:t>"Scenario 2" = Settlement Plan </a:t>
          </a:r>
        </a:p>
        <a:p>
          <a:r>
            <a:rPr lang="en-US" sz="1100">
              <a:solidFill>
                <a:schemeClr val="dk1"/>
              </a:solidFill>
              <a:effectLst/>
              <a:latin typeface="+mn-lt"/>
              <a:ea typeface="+mn-ea"/>
              <a:cs typeface="+mn-cs"/>
            </a:rPr>
            <a:t>"Scenario 1" = Alternate Scenario</a:t>
          </a:r>
          <a:endParaRPr lang="en-US" sz="1100"/>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0</xdr:colOff>
      <xdr:row>0</xdr:row>
      <xdr:rowOff>76200</xdr:rowOff>
    </xdr:from>
    <xdr:to>
      <xdr:col>6</xdr:col>
      <xdr:colOff>328083</xdr:colOff>
      <xdr:row>0</xdr:row>
      <xdr:rowOff>370417</xdr:rowOff>
    </xdr:to>
    <xdr:sp macro="" textlink="">
      <xdr:nvSpPr>
        <xdr:cNvPr id="2" name="TextBox 1">
          <a:extLst>
            <a:ext uri="{FF2B5EF4-FFF2-40B4-BE49-F238E27FC236}">
              <a16:creationId xmlns:a16="http://schemas.microsoft.com/office/drawing/2014/main" id="{00000000-0008-0000-4B00-000002000000}"/>
            </a:ext>
          </a:extLst>
        </xdr:cNvPr>
        <xdr:cNvSpPr txBox="1"/>
      </xdr:nvSpPr>
      <xdr:spPr>
        <a:xfrm>
          <a:off x="0" y="76200"/>
          <a:ext cx="8350250" cy="294217"/>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Number of accounts associated</a:t>
          </a:r>
          <a:r>
            <a:rPr lang="en-US" sz="1100" baseline="0"/>
            <a:t> with each customer segment and customer class. </a:t>
          </a:r>
          <a:endParaRPr lang="en-US" sz="1100" baseline="0">
            <a:solidFill>
              <a:schemeClr val="dk1"/>
            </a:solidFill>
            <a:effectLst/>
            <a:latin typeface="+mn-lt"/>
            <a:ea typeface="+mn-ea"/>
            <a:cs typeface="+mn-cs"/>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83342</xdr:colOff>
      <xdr:row>0</xdr:row>
      <xdr:rowOff>202407</xdr:rowOff>
    </xdr:from>
    <xdr:to>
      <xdr:col>3</xdr:col>
      <xdr:colOff>642936</xdr:colOff>
      <xdr:row>0</xdr:row>
      <xdr:rowOff>495302</xdr:rowOff>
    </xdr:to>
    <xdr:sp macro="" textlink="">
      <xdr:nvSpPr>
        <xdr:cNvPr id="2" name="TextBox 1">
          <a:extLst>
            <a:ext uri="{FF2B5EF4-FFF2-40B4-BE49-F238E27FC236}">
              <a16:creationId xmlns:a16="http://schemas.microsoft.com/office/drawing/2014/main" id="{00000000-0008-0000-2D00-000002000000}"/>
            </a:ext>
          </a:extLst>
        </xdr:cNvPr>
        <xdr:cNvSpPr txBox="1"/>
      </xdr:nvSpPr>
      <xdr:spPr>
        <a:xfrm>
          <a:off x="83342" y="192882"/>
          <a:ext cx="2969419" cy="0"/>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This worksheet</a:t>
          </a:r>
          <a:r>
            <a:rPr lang="en-US" sz="1100" baseline="0"/>
            <a:t> specifies the unit load reduction impacts as either "kW per participant" or as  "% of enduse load"</a:t>
          </a:r>
          <a:endParaRPr lang="en-US" sz="1100"/>
        </a:p>
      </xdr:txBody>
    </xdr:sp>
    <xdr:clientData/>
  </xdr:twoCellAnchor>
  <xdr:twoCellAnchor>
    <xdr:from>
      <xdr:col>1</xdr:col>
      <xdr:colOff>1892300</xdr:colOff>
      <xdr:row>0</xdr:row>
      <xdr:rowOff>101601</xdr:rowOff>
    </xdr:from>
    <xdr:to>
      <xdr:col>3</xdr:col>
      <xdr:colOff>750794</xdr:colOff>
      <xdr:row>1</xdr:row>
      <xdr:rowOff>403413</xdr:rowOff>
    </xdr:to>
    <xdr:sp macro="" textlink="">
      <xdr:nvSpPr>
        <xdr:cNvPr id="7" name="TextBox 2">
          <a:extLst>
            <a:ext uri="{FF2B5EF4-FFF2-40B4-BE49-F238E27FC236}">
              <a16:creationId xmlns:a16="http://schemas.microsoft.com/office/drawing/2014/main" id="{BA5800E2-4332-42EE-A133-0E74A2AAF7DA}"/>
            </a:ext>
          </a:extLst>
        </xdr:cNvPr>
        <xdr:cNvSpPr txBox="1"/>
      </xdr:nvSpPr>
      <xdr:spPr>
        <a:xfrm>
          <a:off x="2867212" y="101601"/>
          <a:ext cx="4270935" cy="481106"/>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These represent the per device or per customer impacts or</a:t>
          </a:r>
          <a:r>
            <a:rPr lang="en-US" sz="1100" baseline="0"/>
            <a:t> impacts represented as "% of enduse load" or "% of total facility load".</a:t>
          </a:r>
          <a:endParaRPr lang="en-US" sz="1100"/>
        </a:p>
      </xdr:txBody>
    </xdr:sp>
    <xdr:clientData/>
  </xdr:twoCellAnchor>
  <xdr:twoCellAnchor>
    <xdr:from>
      <xdr:col>4</xdr:col>
      <xdr:colOff>0</xdr:colOff>
      <xdr:row>1</xdr:row>
      <xdr:rowOff>0</xdr:rowOff>
    </xdr:from>
    <xdr:to>
      <xdr:col>6</xdr:col>
      <xdr:colOff>924486</xdr:colOff>
      <xdr:row>1</xdr:row>
      <xdr:rowOff>647698</xdr:rowOff>
    </xdr:to>
    <xdr:sp macro="" textlink="">
      <xdr:nvSpPr>
        <xdr:cNvPr id="5" name="TextBox 4">
          <a:extLst>
            <a:ext uri="{FF2B5EF4-FFF2-40B4-BE49-F238E27FC236}">
              <a16:creationId xmlns:a16="http://schemas.microsoft.com/office/drawing/2014/main" id="{5E8F4B09-E96D-49C2-9326-43F903EFC043}"/>
            </a:ext>
          </a:extLst>
        </xdr:cNvPr>
        <xdr:cNvSpPr txBox="1"/>
      </xdr:nvSpPr>
      <xdr:spPr>
        <a:xfrm>
          <a:off x="8012206" y="179294"/>
          <a:ext cx="3714751" cy="647698"/>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Scenario Definitions</a:t>
          </a:r>
        </a:p>
        <a:p>
          <a:r>
            <a:rPr lang="en-US" sz="1100">
              <a:solidFill>
                <a:schemeClr val="dk1"/>
              </a:solidFill>
              <a:effectLst/>
              <a:latin typeface="+mn-lt"/>
              <a:ea typeface="+mn-ea"/>
              <a:cs typeface="+mn-cs"/>
            </a:rPr>
            <a:t>"Scenario 2" = Settlement Plan </a:t>
          </a:r>
        </a:p>
        <a:p>
          <a:r>
            <a:rPr lang="en-US" sz="1100">
              <a:solidFill>
                <a:schemeClr val="dk1"/>
              </a:solidFill>
              <a:effectLst/>
              <a:latin typeface="+mn-lt"/>
              <a:ea typeface="+mn-ea"/>
              <a:cs typeface="+mn-cs"/>
            </a:rPr>
            <a:t>"Scenario 1" = Alternate Scenario</a:t>
          </a:r>
          <a:endParaRPr lang="en-US" sz="110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21167</xdr:colOff>
      <xdr:row>0</xdr:row>
      <xdr:rowOff>52917</xdr:rowOff>
    </xdr:from>
    <xdr:to>
      <xdr:col>3</xdr:col>
      <xdr:colOff>2889250</xdr:colOff>
      <xdr:row>0</xdr:row>
      <xdr:rowOff>550333</xdr:rowOff>
    </xdr:to>
    <xdr:sp macro="" textlink="">
      <xdr:nvSpPr>
        <xdr:cNvPr id="2" name="TextBox 1">
          <a:extLst>
            <a:ext uri="{FF2B5EF4-FFF2-40B4-BE49-F238E27FC236}">
              <a16:creationId xmlns:a16="http://schemas.microsoft.com/office/drawing/2014/main" id="{00000000-0008-0000-1600-000002000000}"/>
            </a:ext>
          </a:extLst>
        </xdr:cNvPr>
        <xdr:cNvSpPr txBox="1"/>
      </xdr:nvSpPr>
      <xdr:spPr>
        <a:xfrm>
          <a:off x="21167" y="52917"/>
          <a:ext cx="2420408" cy="135466"/>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 worksheet specifies the event</a:t>
          </a:r>
          <a:r>
            <a:rPr lang="en-US" sz="1100" baseline="0"/>
            <a:t> opt-out rate, which is the percentage of enrolled customers that could opt-out of individual DR events.</a:t>
          </a:r>
          <a:endParaRPr lang="en-US" sz="1100"/>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264584</xdr:colOff>
      <xdr:row>0</xdr:row>
      <xdr:rowOff>2</xdr:rowOff>
    </xdr:from>
    <xdr:to>
      <xdr:col>7</xdr:col>
      <xdr:colOff>190500</xdr:colOff>
      <xdr:row>0</xdr:row>
      <xdr:rowOff>328084</xdr:rowOff>
    </xdr:to>
    <xdr:sp macro="" textlink="">
      <xdr:nvSpPr>
        <xdr:cNvPr id="13" name="TextBox 1">
          <a:extLst>
            <a:ext uri="{FF2B5EF4-FFF2-40B4-BE49-F238E27FC236}">
              <a16:creationId xmlns:a16="http://schemas.microsoft.com/office/drawing/2014/main" id="{EFEFBB5A-B335-47E4-A4A1-E296B1212E55}"/>
            </a:ext>
          </a:extLst>
        </xdr:cNvPr>
        <xdr:cNvSpPr txBox="1"/>
      </xdr:nvSpPr>
      <xdr:spPr>
        <a:xfrm>
          <a:off x="264584" y="2"/>
          <a:ext cx="9736666" cy="328082"/>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aseline="0"/>
            <a:t>Source: Measure input sheet, baseline study</a:t>
          </a:r>
        </a:p>
        <a:p>
          <a:endParaRPr lang="en-US" sz="1100" baseline="0"/>
        </a:p>
        <a:p>
          <a:endParaRPr lang="en-US" sz="1100" b="1">
            <a:solidFill>
              <a:srgbClr val="7030A0"/>
            </a:solidFill>
          </a:endParaRP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26</xdr:col>
      <xdr:colOff>498476</xdr:colOff>
      <xdr:row>6</xdr:row>
      <xdr:rowOff>1</xdr:rowOff>
    </xdr:from>
    <xdr:to>
      <xdr:col>34</xdr:col>
      <xdr:colOff>516826</xdr:colOff>
      <xdr:row>27</xdr:row>
      <xdr:rowOff>11999</xdr:rowOff>
    </xdr:to>
    <xdr:graphicFrame macro="">
      <xdr:nvGraphicFramePr>
        <xdr:cNvPr id="3" name="Chart 2">
          <a:extLst>
            <a:ext uri="{FF2B5EF4-FFF2-40B4-BE49-F238E27FC236}">
              <a16:creationId xmlns:a16="http://schemas.microsoft.com/office/drawing/2014/main" id="{25739DE5-AB2B-40FD-85F2-DEE4D945E16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66262</xdr:colOff>
      <xdr:row>0</xdr:row>
      <xdr:rowOff>51629</xdr:rowOff>
    </xdr:from>
    <xdr:to>
      <xdr:col>4</xdr:col>
      <xdr:colOff>496958</xdr:colOff>
      <xdr:row>1</xdr:row>
      <xdr:rowOff>49697</xdr:rowOff>
    </xdr:to>
    <xdr:sp macro="" textlink="">
      <xdr:nvSpPr>
        <xdr:cNvPr id="4" name="TextBox 1">
          <a:extLst>
            <a:ext uri="{FF2B5EF4-FFF2-40B4-BE49-F238E27FC236}">
              <a16:creationId xmlns:a16="http://schemas.microsoft.com/office/drawing/2014/main" id="{42253AD7-39C1-454B-A4C7-F35778457AF5}"/>
            </a:ext>
          </a:extLst>
        </xdr:cNvPr>
        <xdr:cNvSpPr txBox="1"/>
      </xdr:nvSpPr>
      <xdr:spPr>
        <a:xfrm>
          <a:off x="3569805" y="51629"/>
          <a:ext cx="3925957" cy="63582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Costs</a:t>
          </a:r>
          <a:r>
            <a:rPr lang="en-US" sz="1100" baseline="0"/>
            <a:t> are nominal</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95250</xdr:colOff>
      <xdr:row>0</xdr:row>
      <xdr:rowOff>105834</xdr:rowOff>
    </xdr:from>
    <xdr:to>
      <xdr:col>3</xdr:col>
      <xdr:colOff>582083</xdr:colOff>
      <xdr:row>0</xdr:row>
      <xdr:rowOff>645584</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95250" y="105834"/>
          <a:ext cx="2315633" cy="82550"/>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Line losses to convert</a:t>
          </a:r>
          <a:r>
            <a:rPr lang="en-US" sz="1100" baseline="0"/>
            <a:t> potential@meter to potential@generator for benefit and cost calculations. (Updated 1/26/2022)</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158751</xdr:colOff>
      <xdr:row>0</xdr:row>
      <xdr:rowOff>179917</xdr:rowOff>
    </xdr:from>
    <xdr:to>
      <xdr:col>2</xdr:col>
      <xdr:colOff>657225</xdr:colOff>
      <xdr:row>0</xdr:row>
      <xdr:rowOff>486832</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58751" y="179917"/>
          <a:ext cx="3832224" cy="306915"/>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These</a:t>
          </a:r>
          <a:r>
            <a:rPr lang="en-US" sz="1100" baseline="0"/>
            <a:t> are one-time program set up costs. </a:t>
          </a:r>
          <a:r>
            <a:rPr lang="en-US" sz="1100" baseline="0">
              <a:solidFill>
                <a:schemeClr val="dk1"/>
              </a:solidFill>
              <a:effectLst/>
              <a:latin typeface="+mn-lt"/>
              <a:ea typeface="+mn-ea"/>
              <a:cs typeface="+mn-cs"/>
            </a:rPr>
            <a:t> </a:t>
          </a:r>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158751</xdr:colOff>
      <xdr:row>0</xdr:row>
      <xdr:rowOff>179917</xdr:rowOff>
    </xdr:from>
    <xdr:to>
      <xdr:col>2</xdr:col>
      <xdr:colOff>657225</xdr:colOff>
      <xdr:row>0</xdr:row>
      <xdr:rowOff>486832</xdr:rowOff>
    </xdr:to>
    <xdr:sp macro="" textlink="">
      <xdr:nvSpPr>
        <xdr:cNvPr id="2" name="TextBox 1">
          <a:extLst>
            <a:ext uri="{FF2B5EF4-FFF2-40B4-BE49-F238E27FC236}">
              <a16:creationId xmlns:a16="http://schemas.microsoft.com/office/drawing/2014/main" id="{6C689220-F957-40EA-A8E0-13753F9B7734}"/>
            </a:ext>
          </a:extLst>
        </xdr:cNvPr>
        <xdr:cNvSpPr txBox="1"/>
      </xdr:nvSpPr>
      <xdr:spPr>
        <a:xfrm>
          <a:off x="158751" y="179917"/>
          <a:ext cx="3679824" cy="306915"/>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These</a:t>
          </a:r>
          <a:r>
            <a:rPr lang="en-US" sz="1100" baseline="0"/>
            <a:t> are one-time program set up costs. </a:t>
          </a:r>
          <a:r>
            <a:rPr lang="en-US" sz="1100" baseline="0">
              <a:solidFill>
                <a:schemeClr val="dk1"/>
              </a:solidFill>
              <a:effectLst/>
              <a:latin typeface="+mn-lt"/>
              <a:ea typeface="+mn-ea"/>
              <a:cs typeface="+mn-cs"/>
            </a:rPr>
            <a:t> </a:t>
          </a:r>
        </a:p>
        <a:p>
          <a:endParaRPr lang="en-US" sz="1100" baseline="0">
            <a:solidFill>
              <a:schemeClr val="dk1"/>
            </a:solidFill>
            <a:effectLst/>
            <a:latin typeface="+mn-lt"/>
            <a:ea typeface="+mn-ea"/>
            <a:cs typeface="+mn-cs"/>
          </a:endParaRPr>
        </a:p>
        <a:p>
          <a:endParaRPr lang="en-US" sz="1100" baseline="0">
            <a:solidFill>
              <a:schemeClr val="dk1"/>
            </a:solidFill>
            <a:effectLst/>
            <a:latin typeface="+mn-lt"/>
            <a:ea typeface="+mn-ea"/>
            <a:cs typeface="+mn-cs"/>
          </a:endParaRPr>
        </a:p>
        <a:p>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141818</xdr:colOff>
      <xdr:row>0</xdr:row>
      <xdr:rowOff>116418</xdr:rowOff>
    </xdr:from>
    <xdr:to>
      <xdr:col>3</xdr:col>
      <xdr:colOff>1095375</xdr:colOff>
      <xdr:row>0</xdr:row>
      <xdr:rowOff>501650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41818" y="116418"/>
          <a:ext cx="5992282" cy="385232"/>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These</a:t>
          </a:r>
          <a:r>
            <a:rPr lang="en-US" sz="1100" baseline="0"/>
            <a:t> are annual fixed costs, in terms of $/yr. for administering the programs. </a:t>
          </a:r>
          <a:endParaRPr 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141818</xdr:colOff>
      <xdr:row>0</xdr:row>
      <xdr:rowOff>116418</xdr:rowOff>
    </xdr:from>
    <xdr:to>
      <xdr:col>3</xdr:col>
      <xdr:colOff>180975</xdr:colOff>
      <xdr:row>0</xdr:row>
      <xdr:rowOff>409575</xdr:rowOff>
    </xdr:to>
    <xdr:sp macro="" textlink="">
      <xdr:nvSpPr>
        <xdr:cNvPr id="2" name="TextBox 1">
          <a:extLst>
            <a:ext uri="{FF2B5EF4-FFF2-40B4-BE49-F238E27FC236}">
              <a16:creationId xmlns:a16="http://schemas.microsoft.com/office/drawing/2014/main" id="{7F793489-14F6-4955-B721-2898CD11A6E4}"/>
            </a:ext>
          </a:extLst>
        </xdr:cNvPr>
        <xdr:cNvSpPr txBox="1"/>
      </xdr:nvSpPr>
      <xdr:spPr>
        <a:xfrm>
          <a:off x="141818" y="116418"/>
          <a:ext cx="4849282" cy="293157"/>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These</a:t>
          </a:r>
          <a:r>
            <a:rPr lang="en-US" sz="1100" baseline="0"/>
            <a:t> are annual fixed costs, in terms of $/yr. for administering the programs. </a:t>
          </a:r>
          <a:endParaRPr 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140756</xdr:colOff>
      <xdr:row>0</xdr:row>
      <xdr:rowOff>87843</xdr:rowOff>
    </xdr:from>
    <xdr:to>
      <xdr:col>3</xdr:col>
      <xdr:colOff>1243852</xdr:colOff>
      <xdr:row>0</xdr:row>
      <xdr:rowOff>468843</xdr:rowOff>
    </xdr:to>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140756" y="87843"/>
          <a:ext cx="6762067" cy="381000"/>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These</a:t>
          </a:r>
          <a:r>
            <a:rPr lang="en-US" sz="1100" baseline="0"/>
            <a:t> are one-time variable costs for program marketing, customer education and outreach. Costs in CAD</a:t>
          </a:r>
          <a:endParaRPr lang="en-US" sz="1100"/>
        </a:p>
      </xdr:txBody>
    </xdr:sp>
    <xdr:clientData/>
  </xdr:twoCellAnchor>
  <xdr:twoCellAnchor>
    <xdr:from>
      <xdr:col>4</xdr:col>
      <xdr:colOff>165098</xdr:colOff>
      <xdr:row>0</xdr:row>
      <xdr:rowOff>95251</xdr:rowOff>
    </xdr:from>
    <xdr:to>
      <xdr:col>7</xdr:col>
      <xdr:colOff>203199</xdr:colOff>
      <xdr:row>1</xdr:row>
      <xdr:rowOff>107949</xdr:rowOff>
    </xdr:to>
    <xdr:sp macro="" textlink="">
      <xdr:nvSpPr>
        <xdr:cNvPr id="3" name="TextBox 2">
          <a:extLst>
            <a:ext uri="{FF2B5EF4-FFF2-40B4-BE49-F238E27FC236}">
              <a16:creationId xmlns:a16="http://schemas.microsoft.com/office/drawing/2014/main" id="{8233AF86-9556-40B3-A613-41A503B5C732}"/>
            </a:ext>
          </a:extLst>
        </xdr:cNvPr>
        <xdr:cNvSpPr txBox="1"/>
      </xdr:nvSpPr>
      <xdr:spPr>
        <a:xfrm>
          <a:off x="9947273" y="95251"/>
          <a:ext cx="3714751" cy="650873"/>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Scenario Definitions</a:t>
          </a:r>
        </a:p>
        <a:p>
          <a:r>
            <a:rPr lang="en-US" sz="1100">
              <a:solidFill>
                <a:schemeClr val="dk1"/>
              </a:solidFill>
              <a:effectLst/>
              <a:latin typeface="+mn-lt"/>
              <a:ea typeface="+mn-ea"/>
              <a:cs typeface="+mn-cs"/>
            </a:rPr>
            <a:t>"Scenario 2" = Settlement Plan </a:t>
          </a:r>
        </a:p>
        <a:p>
          <a:r>
            <a:rPr lang="en-US" sz="1100">
              <a:solidFill>
                <a:schemeClr val="dk1"/>
              </a:solidFill>
              <a:effectLst/>
              <a:latin typeface="+mn-lt"/>
              <a:ea typeface="+mn-ea"/>
              <a:cs typeface="+mn-cs"/>
            </a:rPr>
            <a:t>"Scenario 1" = Alternate Scenario</a:t>
          </a:r>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Users\Alvaro%20Lara\Reference%20Case%20Model%20-%20Oct%203,%20201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eamrooms.insidenci.com/Users/jmilford/Documents/BC%20Hydro%202015/Glen's%20Calibration%20with%20Mappings%202016-01-1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teamrooms.insidenci.com/sites/Energy/SaskpowerCPS/Version%20Controlled%20Input%20Files/Global%20Template%202017-203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C R Int"/>
      <sheetName val="RC C Int"/>
      <sheetName val="RC I Int"/>
      <sheetName val="RC R Sales"/>
      <sheetName val="RC C Sales"/>
      <sheetName val="RC I Sales"/>
      <sheetName val="RC Stocks"/>
      <sheetName val="Sales Sum"/>
      <sheetName val="Key Inputs"/>
      <sheetName val="Key Outputs"/>
      <sheetName val="LFs from Utilities &gt;"/>
      <sheetName val="BCH Sales"/>
      <sheetName val="BCH Accts"/>
      <sheetName val="BCH Peak"/>
      <sheetName val="BCH LF"/>
      <sheetName val="BCH LF_GC copy"/>
      <sheetName val="BCH Accts LF"/>
      <sheetName val="Fortis E Sales"/>
      <sheetName val="Fortis E Accts"/>
      <sheetName val="Fortis E Peak"/>
      <sheetName val="Fortis G LF"/>
      <sheetName val="Fortis G Ind RC"/>
      <sheetName val="Fortis G Accts"/>
      <sheetName val="PNG"/>
      <sheetName val="Other &gt;&gt;"/>
      <sheetName val="BCH Load Factors"/>
      <sheetName val="GI Scrip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5">
          <cell r="D5" t="str">
            <v>C_Accommodation</v>
          </cell>
          <cell r="E5" t="str">
            <v>Appliances</v>
          </cell>
        </row>
        <row r="6">
          <cell r="D6" t="str">
            <v>C_Colleges &amp; Universities</v>
          </cell>
          <cell r="E6" t="str">
            <v>Boilers</v>
          </cell>
        </row>
        <row r="7">
          <cell r="D7" t="str">
            <v>C_Food Service</v>
          </cell>
          <cell r="E7" t="str">
            <v>Compressed Air</v>
          </cell>
        </row>
        <row r="8">
          <cell r="D8" t="str">
            <v>C_Hospital</v>
          </cell>
          <cell r="E8" t="str">
            <v>Cooking</v>
          </cell>
        </row>
        <row r="9">
          <cell r="D9" t="str">
            <v>C_Logistics &amp; Warehouses</v>
          </cell>
          <cell r="E9" t="str">
            <v>Cooling/Refrigeration</v>
          </cell>
        </row>
        <row r="10">
          <cell r="D10" t="str">
            <v>C_Long Term Care</v>
          </cell>
          <cell r="E10" t="str">
            <v>Electronics</v>
          </cell>
        </row>
        <row r="11">
          <cell r="D11" t="str">
            <v>C_Office</v>
          </cell>
          <cell r="E11" t="str">
            <v>Fans &amp; Blowers</v>
          </cell>
        </row>
        <row r="12">
          <cell r="D12" t="str">
            <v>C_Other Commercial</v>
          </cell>
          <cell r="E12" t="str">
            <v>Hot Water</v>
          </cell>
        </row>
        <row r="13">
          <cell r="D13" t="str">
            <v>C_Retail - Food</v>
          </cell>
          <cell r="E13" t="str">
            <v>HVAC Fans/Pumps</v>
          </cell>
        </row>
        <row r="14">
          <cell r="D14" t="str">
            <v>C_Retail - Non Food</v>
          </cell>
          <cell r="E14" t="str">
            <v>Industrial Process</v>
          </cell>
        </row>
        <row r="15">
          <cell r="D15" t="str">
            <v>C_Schools</v>
          </cell>
          <cell r="E15" t="str">
            <v>Lighting</v>
          </cell>
        </row>
        <row r="16">
          <cell r="D16" t="str">
            <v>C_Streetlights/Traffic Signals</v>
          </cell>
          <cell r="E16" t="str">
            <v>Material Transport</v>
          </cell>
        </row>
        <row r="17">
          <cell r="D17" t="str">
            <v>I_Agriculture</v>
          </cell>
          <cell r="E17" t="str">
            <v>Office Equipment</v>
          </cell>
        </row>
        <row r="18">
          <cell r="D18" t="str">
            <v>I_Cement</v>
          </cell>
          <cell r="E18" t="str">
            <v>Other</v>
          </cell>
        </row>
        <row r="19">
          <cell r="D19" t="str">
            <v>I_Chemical</v>
          </cell>
          <cell r="E19" t="str">
            <v>Process Compressors</v>
          </cell>
        </row>
        <row r="20">
          <cell r="D20" t="str">
            <v>I_Food &amp; Beverage</v>
          </cell>
          <cell r="E20" t="str">
            <v>Process Heat</v>
          </cell>
        </row>
        <row r="21">
          <cell r="D21" t="str">
            <v>I_Greenhouses</v>
          </cell>
          <cell r="E21" t="str">
            <v>Product Drying</v>
          </cell>
        </row>
        <row r="22">
          <cell r="D22" t="str">
            <v>I_LNG Facilities</v>
          </cell>
          <cell r="E22" t="str">
            <v>Pumps</v>
          </cell>
        </row>
        <row r="23">
          <cell r="D23" t="str">
            <v>I_Manufacturing</v>
          </cell>
          <cell r="E23" t="str">
            <v>Refrigeration</v>
          </cell>
        </row>
        <row r="24">
          <cell r="D24" t="str">
            <v>I_Mining - Coal</v>
          </cell>
          <cell r="E24" t="str">
            <v>Space Cooling</v>
          </cell>
        </row>
        <row r="25">
          <cell r="D25" t="str">
            <v>I_Mining - Metal</v>
          </cell>
          <cell r="E25" t="str">
            <v>Space Heating</v>
          </cell>
        </row>
        <row r="26">
          <cell r="D26" t="str">
            <v>I_Oil and Gas</v>
          </cell>
          <cell r="E26" t="str">
            <v>Ventilation</v>
          </cell>
        </row>
        <row r="27">
          <cell r="D27" t="str">
            <v>I_Other Industrial</v>
          </cell>
        </row>
        <row r="28">
          <cell r="D28" t="str">
            <v>I_Pulp &amp; Paper - Kraft</v>
          </cell>
        </row>
        <row r="29">
          <cell r="D29" t="str">
            <v>I_Pulp &amp; Paper - TMP</v>
          </cell>
        </row>
        <row r="30">
          <cell r="D30" t="str">
            <v>I_Transportation</v>
          </cell>
        </row>
        <row r="31">
          <cell r="D31" t="str">
            <v>I_Wood Products</v>
          </cell>
        </row>
        <row r="32">
          <cell r="D32" t="str">
            <v>R_Apartments =&lt; 4 stories</v>
          </cell>
        </row>
        <row r="33">
          <cell r="D33" t="str">
            <v>R_Apartments &gt; 4 stories</v>
          </cell>
        </row>
        <row r="34">
          <cell r="D34" t="str">
            <v>R_Other Residential</v>
          </cell>
        </row>
        <row r="35">
          <cell r="D35" t="str">
            <v>R_Single Family Attached/Row</v>
          </cell>
        </row>
        <row r="36">
          <cell r="D36" t="str">
            <v>R_Single Family Detached</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bscript Maps"/>
      <sheetName val="Stocks"/>
      <sheetName val="IntensxE Use"/>
      <sheetName val="Fuel Shares (C)"/>
      <sheetName val="Fuel Shares (R)"/>
      <sheetName val="Equip Shares _ Res"/>
      <sheetName val="Equip Shares (C)"/>
      <sheetName val="Segment Calibration Targets"/>
      <sheetName val="Sector Calbrtn Targets"/>
      <sheetName val="Base Case + Calibration Process"/>
      <sheetName val="Segment+End Use"/>
      <sheetName val="Est Use Com E"/>
      <sheetName val="Est Use Com Gas"/>
      <sheetName val="Est Use Res E"/>
      <sheetName val="Est Use Res Gas"/>
      <sheetName val="Old - Do Not Use &gt;&gt;&gt;&gt;"/>
      <sheetName val="Calbrtn Calc"/>
      <sheetName val="End Use Map"/>
    </sheetNames>
    <sheetDataSet>
      <sheetData sheetId="0" refreshError="1">
        <row r="5">
          <cell r="A5" t="str">
            <v>BC Hydro</v>
          </cell>
          <cell r="B5" t="str">
            <v>BC Hydro</v>
          </cell>
          <cell r="C5" t="str">
            <v>Lower Mainland</v>
          </cell>
          <cell r="D5" t="str">
            <v>Lower Mainland</v>
          </cell>
          <cell r="I5" t="str">
            <v>Accommodation</v>
          </cell>
          <cell r="J5" t="str">
            <v>C_Accommodation</v>
          </cell>
          <cell r="K5" t="str">
            <v>Appliances</v>
          </cell>
          <cell r="L5" t="str">
            <v>Appliances</v>
          </cell>
        </row>
        <row r="6">
          <cell r="A6" t="str">
            <v>Fortis BC Electric</v>
          </cell>
          <cell r="B6" t="str">
            <v>FortisBC Electric</v>
          </cell>
          <cell r="C6" t="str">
            <v>Northern BC</v>
          </cell>
          <cell r="D6" t="str">
            <v>Northern BC</v>
          </cell>
          <cell r="I6" t="str">
            <v>Colleges &amp; Universities</v>
          </cell>
          <cell r="J6" t="str">
            <v>C_Colleges &amp; Universities</v>
          </cell>
          <cell r="K6" t="str">
            <v>Boilers</v>
          </cell>
          <cell r="L6" t="str">
            <v>Boilers</v>
          </cell>
        </row>
        <row r="7">
          <cell r="A7" t="str">
            <v>FortisBC Electric</v>
          </cell>
          <cell r="B7" t="str">
            <v>FortisBC Electric</v>
          </cell>
          <cell r="C7" t="str">
            <v>Southern Interior</v>
          </cell>
          <cell r="D7" t="str">
            <v>Southern Interior</v>
          </cell>
          <cell r="I7" t="str">
            <v>Food Service</v>
          </cell>
          <cell r="J7" t="str">
            <v>C_Food Service</v>
          </cell>
          <cell r="K7" t="str">
            <v>Compressed Air</v>
          </cell>
          <cell r="L7" t="str">
            <v>Compressed Air</v>
          </cell>
        </row>
        <row r="8">
          <cell r="A8" t="str">
            <v>FortisBC Gas</v>
          </cell>
          <cell r="B8" t="str">
            <v>FortisBC Gas</v>
          </cell>
          <cell r="C8" t="str">
            <v>Vancouver Island</v>
          </cell>
          <cell r="D8" t="str">
            <v>Vancouver Island</v>
          </cell>
          <cell r="I8" t="str">
            <v>Hospital</v>
          </cell>
          <cell r="J8" t="str">
            <v>C_Hospital</v>
          </cell>
          <cell r="K8" t="str">
            <v>Cooking</v>
          </cell>
          <cell r="L8" t="str">
            <v>Cooking</v>
          </cell>
        </row>
        <row r="9">
          <cell r="A9" t="str">
            <v>Fortis BC Gas</v>
          </cell>
          <cell r="B9" t="str">
            <v>FortisBC Gas</v>
          </cell>
          <cell r="I9" t="str">
            <v>Logistics &amp; Warehouses</v>
          </cell>
          <cell r="J9" t="str">
            <v>C_Logistics &amp; Warehouses</v>
          </cell>
          <cell r="K9" t="str">
            <v>Cooling/Refrigeration</v>
          </cell>
          <cell r="L9" t="str">
            <v>Cooling/Refrigeration</v>
          </cell>
        </row>
        <row r="10">
          <cell r="A10" t="str">
            <v>PNG - Gas</v>
          </cell>
          <cell r="B10" t="str">
            <v>PNG</v>
          </cell>
          <cell r="I10" t="str">
            <v>Long Term Care</v>
          </cell>
          <cell r="J10" t="str">
            <v>C_Long Term Care</v>
          </cell>
          <cell r="K10" t="str">
            <v>Electronics</v>
          </cell>
          <cell r="L10" t="str">
            <v>Electronics</v>
          </cell>
        </row>
        <row r="11">
          <cell r="A11" t="str">
            <v>PNG</v>
          </cell>
          <cell r="B11" t="str">
            <v>PNG</v>
          </cell>
          <cell r="I11" t="str">
            <v xml:space="preserve">Office </v>
          </cell>
          <cell r="J11" t="str">
            <v>C_Office</v>
          </cell>
          <cell r="K11" t="str">
            <v>Fans &amp; Blowers</v>
          </cell>
          <cell r="L11" t="str">
            <v>Fans &amp; Blowers</v>
          </cell>
        </row>
        <row r="12">
          <cell r="I12" t="str">
            <v>Offices</v>
          </cell>
          <cell r="J12" t="str">
            <v>C_Office</v>
          </cell>
          <cell r="K12" t="str">
            <v>Water Heating</v>
          </cell>
          <cell r="L12" t="str">
            <v>Hot Water</v>
          </cell>
        </row>
        <row r="13">
          <cell r="I13" t="str">
            <v>Other Commercial</v>
          </cell>
          <cell r="J13" t="str">
            <v>C_Other Commercial</v>
          </cell>
          <cell r="K13" t="str">
            <v>Hot Water</v>
          </cell>
          <cell r="L13" t="str">
            <v>Hot Water</v>
          </cell>
        </row>
        <row r="14">
          <cell r="I14" t="str">
            <v>Other</v>
          </cell>
          <cell r="J14" t="str">
            <v>C_Other Commercial</v>
          </cell>
          <cell r="K14" t="str">
            <v>HVAC Fans/Pumps</v>
          </cell>
          <cell r="L14" t="str">
            <v>HVAC Fans/Pumps</v>
          </cell>
        </row>
        <row r="15">
          <cell r="I15" t="str">
            <v>Retail - Food</v>
          </cell>
          <cell r="J15" t="str">
            <v>C_Retail - Food</v>
          </cell>
          <cell r="K15" t="str">
            <v>Industrial Process</v>
          </cell>
          <cell r="L15" t="str">
            <v>Industrial Process</v>
          </cell>
        </row>
        <row r="16">
          <cell r="I16" t="str">
            <v>Retail - Non Food</v>
          </cell>
          <cell r="J16" t="str">
            <v>C_Retail - Non Food</v>
          </cell>
          <cell r="K16" t="str">
            <v>Lighting</v>
          </cell>
          <cell r="L16" t="str">
            <v>Lighting</v>
          </cell>
        </row>
        <row r="17">
          <cell r="I17" t="str">
            <v>Schools</v>
          </cell>
          <cell r="J17" t="str">
            <v>C_Schools</v>
          </cell>
          <cell r="K17" t="str">
            <v>Material Transport</v>
          </cell>
          <cell r="L17" t="str">
            <v>Material Transport</v>
          </cell>
        </row>
        <row r="18">
          <cell r="I18" t="str">
            <v>Streetlights/Traffic Signals</v>
          </cell>
          <cell r="J18" t="str">
            <v>C_Streetlights/Traffic Signals</v>
          </cell>
          <cell r="K18" t="str">
            <v>Office Equipment</v>
          </cell>
          <cell r="L18" t="str">
            <v>Office Equipment</v>
          </cell>
        </row>
        <row r="19">
          <cell r="I19" t="str">
            <v>Agriculture</v>
          </cell>
          <cell r="J19" t="str">
            <v>I_Agriculture</v>
          </cell>
          <cell r="K19" t="str">
            <v>Other</v>
          </cell>
          <cell r="L19" t="str">
            <v>Other</v>
          </cell>
        </row>
        <row r="20">
          <cell r="I20" t="str">
            <v>Cement</v>
          </cell>
          <cell r="J20" t="str">
            <v>I_Cement</v>
          </cell>
          <cell r="K20" t="str">
            <v>Process Compressors</v>
          </cell>
          <cell r="L20" t="str">
            <v>Process Compressors</v>
          </cell>
        </row>
        <row r="21">
          <cell r="I21" t="str">
            <v>Chemicals</v>
          </cell>
          <cell r="J21" t="str">
            <v>I_Chemical</v>
          </cell>
          <cell r="K21" t="str">
            <v>Process Heat</v>
          </cell>
          <cell r="L21" t="str">
            <v>Process Heat</v>
          </cell>
        </row>
        <row r="22">
          <cell r="I22" t="str">
            <v>Food + Beverage</v>
          </cell>
          <cell r="J22" t="str">
            <v>I_Food &amp; Beverage</v>
          </cell>
          <cell r="K22" t="str">
            <v>Product Drying</v>
          </cell>
          <cell r="L22" t="str">
            <v>Product Drying</v>
          </cell>
        </row>
        <row r="23">
          <cell r="I23" t="str">
            <v>Greenhouses</v>
          </cell>
          <cell r="J23" t="str">
            <v>I_Greenhouses</v>
          </cell>
          <cell r="K23" t="str">
            <v>Pumps</v>
          </cell>
          <cell r="L23" t="str">
            <v>Pumps</v>
          </cell>
        </row>
        <row r="24">
          <cell r="I24" t="str">
            <v>LNG Facilities</v>
          </cell>
          <cell r="J24" t="str">
            <v>I_LNG Facilities</v>
          </cell>
          <cell r="K24" t="str">
            <v>Refrigeration</v>
          </cell>
          <cell r="L24" t="str">
            <v>Refrigeration</v>
          </cell>
        </row>
        <row r="25">
          <cell r="I25" t="str">
            <v>Other Manufacturing</v>
          </cell>
          <cell r="J25" t="str">
            <v>I_Manufacturing</v>
          </cell>
          <cell r="K25" t="str">
            <v>Cooling</v>
          </cell>
          <cell r="L25" t="str">
            <v>Space Cooling</v>
          </cell>
        </row>
        <row r="26">
          <cell r="I26" t="str">
            <v>Mining - Underground</v>
          </cell>
          <cell r="J26" t="str">
            <v>I_Mining - Coal</v>
          </cell>
          <cell r="K26" t="str">
            <v>Space Cooling</v>
          </cell>
          <cell r="L26" t="str">
            <v>Space Cooling</v>
          </cell>
        </row>
        <row r="27">
          <cell r="I27" t="str">
            <v>Mining - Open Pit</v>
          </cell>
          <cell r="J27" t="str">
            <v>I_Mining - Metal</v>
          </cell>
          <cell r="K27" t="str">
            <v xml:space="preserve">Space Heating </v>
          </cell>
          <cell r="L27" t="str">
            <v>Space Heating</v>
          </cell>
        </row>
        <row r="28">
          <cell r="I28" t="str">
            <v>Oil and Gas</v>
          </cell>
          <cell r="J28" t="str">
            <v>I_Oil and Gas</v>
          </cell>
          <cell r="K28" t="str">
            <v>Space Heating</v>
          </cell>
          <cell r="L28" t="str">
            <v>Space Heating</v>
          </cell>
        </row>
        <row r="29">
          <cell r="I29" t="str">
            <v>Other Industrial</v>
          </cell>
          <cell r="J29" t="str">
            <v>I_Other Industrial</v>
          </cell>
          <cell r="K29" t="str">
            <v>Ventilation</v>
          </cell>
          <cell r="L29" t="str">
            <v>Ventilation</v>
          </cell>
        </row>
        <row r="30">
          <cell r="I30" t="str">
            <v>Pulp &amp; Paper Kraft</v>
          </cell>
          <cell r="J30" t="str">
            <v>I_Pulp &amp; Paper - Kraft</v>
          </cell>
        </row>
        <row r="31">
          <cell r="I31" t="str">
            <v>Pulp &amp; Paper TMP</v>
          </cell>
          <cell r="J31" t="str">
            <v>I_Pulp &amp; Paper - TMP</v>
          </cell>
        </row>
        <row r="32">
          <cell r="I32" t="str">
            <v>Transportation</v>
          </cell>
          <cell r="J32" t="str">
            <v>I_Transportation</v>
          </cell>
        </row>
        <row r="33">
          <cell r="I33" t="str">
            <v>Wood Products</v>
          </cell>
          <cell r="J33" t="str">
            <v>I_Wood Products</v>
          </cell>
        </row>
        <row r="34">
          <cell r="I34" t="str">
            <v>Apartments &lt;=4 Storeys</v>
          </cell>
          <cell r="J34" t="str">
            <v>R_Apartments =&lt; 4 stories</v>
          </cell>
        </row>
        <row r="35">
          <cell r="I35" t="str">
            <v>Apartments &lt;= 4 Storeys</v>
          </cell>
          <cell r="J35" t="str">
            <v>R_Apartments =&lt; 4 stories</v>
          </cell>
        </row>
        <row r="36">
          <cell r="I36" t="str">
            <v>Apartments &gt; 4 Storeys</v>
          </cell>
          <cell r="J36" t="str">
            <v>R_Apartments &gt; 4 stories</v>
          </cell>
        </row>
        <row r="37">
          <cell r="I37" t="str">
            <v>Other Res</v>
          </cell>
          <cell r="J37" t="str">
            <v>R_Other Residential</v>
          </cell>
        </row>
        <row r="38">
          <cell r="I38" t="str">
            <v>Other Residential</v>
          </cell>
          <cell r="J38" t="str">
            <v>R_Other Residential</v>
          </cell>
        </row>
        <row r="39">
          <cell r="I39" t="str">
            <v>Single Family Attached</v>
          </cell>
          <cell r="J39" t="str">
            <v>R_Single Family Attached/Row</v>
          </cell>
        </row>
        <row r="40">
          <cell r="I40" t="str">
            <v>Single Family Detached</v>
          </cell>
          <cell r="J40" t="str">
            <v>R_Single Family Detached</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es"/>
      <sheetName val="Stock"/>
      <sheetName val="StockDemolRate"/>
      <sheetName val="EndUseAlloc"/>
      <sheetName val="ElectricEUI"/>
      <sheetName val="GasEUI"/>
      <sheetName val="FuelShares"/>
      <sheetName val="EquipShares"/>
      <sheetName val="SegmentTargets"/>
      <sheetName val="SectorTargets"/>
      <sheetName val="HeatFuelMults"/>
      <sheetName val="DHWFuelMults"/>
      <sheetName val="kWhLoadshape"/>
      <sheetName val="GasLoadshape"/>
      <sheetName val="OtherLoadshape"/>
      <sheetName val="kWhAvoidCost"/>
      <sheetName val="kWAvoidCost"/>
      <sheetName val="GasEnergyAvoidCost"/>
      <sheetName val="GasDmdAvoidCost"/>
      <sheetName val="OtherAvoidCost"/>
      <sheetName val="kWhRetailRate"/>
      <sheetName val="Old kWhRetailRate"/>
      <sheetName val="GasRetailRate"/>
      <sheetName val="OtherRetailRate"/>
      <sheetName val="kWhSales"/>
      <sheetName val="GasSales"/>
      <sheetName val="OtherSales"/>
      <sheetName val="kWPeakLoad"/>
      <sheetName val="GasPeakLoad"/>
      <sheetName val="FixedProgCost"/>
      <sheetName val="VariableProgCost"/>
      <sheetName val="RecurProgCost"/>
      <sheetName val="DiscntRates"/>
      <sheetName val="LineLosses"/>
      <sheetName val="ReserveMargin"/>
      <sheetName val="Inflation"/>
      <sheetName val="Peak Dmd Loadshapes"/>
    </sheetNames>
    <sheetDataSet>
      <sheetData sheetId="0">
        <row r="3">
          <cell r="P3" t="str">
            <v>Electric Energy (kWh/year)</v>
          </cell>
        </row>
        <row r="4">
          <cell r="P4" t="str">
            <v>Electric Demand (kW)</v>
          </cell>
        </row>
        <row r="5">
          <cell r="P5" t="str">
            <v>Gas Energy (MJ/year)</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GH_contrast">
  <a:themeElements>
    <a:clrScheme name="Navigant Energy">
      <a:dk1>
        <a:srgbClr val="555759"/>
      </a:dk1>
      <a:lt1>
        <a:sysClr val="window" lastClr="FFFFFF"/>
      </a:lt1>
      <a:dk2>
        <a:srgbClr val="555759"/>
      </a:dk2>
      <a:lt2>
        <a:srgbClr val="FFFFFF"/>
      </a:lt2>
      <a:accent1>
        <a:srgbClr val="555759"/>
      </a:accent1>
      <a:accent2>
        <a:srgbClr val="95D600"/>
      </a:accent2>
      <a:accent3>
        <a:srgbClr val="0093C9"/>
      </a:accent3>
      <a:accent4>
        <a:srgbClr val="FFB718"/>
      </a:accent4>
      <a:accent5>
        <a:srgbClr val="E53C2E"/>
      </a:accent5>
      <a:accent6>
        <a:srgbClr val="8B189B"/>
      </a:accent6>
      <a:hlink>
        <a:srgbClr val="648C1A"/>
      </a:hlink>
      <a:folHlink>
        <a:srgbClr val="979A9C"/>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1"/>
  </sheetPr>
  <dimension ref="A1"/>
  <sheetViews>
    <sheetView tabSelected="1" workbookViewId="0">
      <selection sqref="A1:XFD1048576"/>
    </sheetView>
  </sheetViews>
  <sheetFormatPr defaultColWidth="9.09765625" defaultRowHeight="13.8" x14ac:dyDescent="0.25"/>
  <cols>
    <col min="1" max="16384" width="9.09765625" style="405"/>
  </cols>
  <sheetData/>
  <mergeCells count="1">
    <mergeCell ref="A1:XFD1048576"/>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theme="7" tint="0.39997558519241921"/>
  </sheetPr>
  <dimension ref="A1:E18"/>
  <sheetViews>
    <sheetView zoomScale="90" zoomScaleNormal="90" workbookViewId="0">
      <selection activeCell="E31" sqref="E31"/>
    </sheetView>
  </sheetViews>
  <sheetFormatPr defaultColWidth="9.09765625" defaultRowHeight="13.8" outlineLevelRow="1" x14ac:dyDescent="0.25"/>
  <cols>
    <col min="1" max="1" width="10.5" customWidth="1"/>
    <col min="2" max="2" width="41.09765625" style="8" customWidth="1"/>
    <col min="3" max="4" width="20.296875" customWidth="1"/>
    <col min="5" max="5" width="108.59765625" customWidth="1"/>
    <col min="6" max="6" width="11.19921875" customWidth="1"/>
    <col min="7" max="9" width="10.296875" customWidth="1"/>
  </cols>
  <sheetData>
    <row r="1" spans="1:5" ht="50.1" customHeight="1" outlineLevel="1" x14ac:dyDescent="0.25">
      <c r="B1" s="7"/>
      <c r="D1" s="7"/>
    </row>
    <row r="2" spans="1:5" ht="17.25" customHeight="1" outlineLevel="1" x14ac:dyDescent="0.25">
      <c r="A2" s="66" t="s">
        <v>7</v>
      </c>
      <c r="B2" s="63" t="s">
        <v>67</v>
      </c>
    </row>
    <row r="3" spans="1:5" s="14" customFormat="1" ht="28.8" x14ac:dyDescent="0.25">
      <c r="A3" s="148" t="s">
        <v>23</v>
      </c>
      <c r="B3" s="148" t="s">
        <v>68</v>
      </c>
      <c r="C3" s="148" t="s">
        <v>69</v>
      </c>
      <c r="D3" s="148" t="s">
        <v>70</v>
      </c>
      <c r="E3" s="148" t="s">
        <v>26</v>
      </c>
    </row>
    <row r="4" spans="1:5" s="2" customFormat="1" x14ac:dyDescent="0.25">
      <c r="A4" s="195" t="s">
        <v>13</v>
      </c>
      <c r="B4" s="199" t="s">
        <v>50</v>
      </c>
      <c r="C4" s="194">
        <f>'Program Admin Costs_assumptions'!C11</f>
        <v>257550</v>
      </c>
      <c r="D4" s="154" t="s">
        <v>71</v>
      </c>
      <c r="E4" s="412" t="s">
        <v>72</v>
      </c>
    </row>
    <row r="5" spans="1:5" s="2" customFormat="1" x14ac:dyDescent="0.25">
      <c r="A5" s="195" t="s">
        <v>13</v>
      </c>
      <c r="B5" s="199" t="s">
        <v>52</v>
      </c>
      <c r="C5" s="194">
        <f>'Program Admin Costs_assumptions'!C12</f>
        <v>171700</v>
      </c>
      <c r="D5" s="154" t="s">
        <v>71</v>
      </c>
      <c r="E5" s="413"/>
    </row>
    <row r="6" spans="1:5" s="2" customFormat="1" x14ac:dyDescent="0.25">
      <c r="A6" s="195" t="s">
        <v>13</v>
      </c>
      <c r="B6" s="199" t="s">
        <v>53</v>
      </c>
      <c r="C6" s="194">
        <f>'Program Admin Costs_assumptions'!C13</f>
        <v>40400</v>
      </c>
      <c r="D6" s="154" t="s">
        <v>71</v>
      </c>
      <c r="E6" s="413"/>
    </row>
    <row r="7" spans="1:5" x14ac:dyDescent="0.25">
      <c r="A7" s="195" t="s">
        <v>13</v>
      </c>
      <c r="B7" s="199" t="s">
        <v>54</v>
      </c>
      <c r="C7" s="194">
        <f>'Program Admin Costs_assumptions'!C14</f>
        <v>171700</v>
      </c>
      <c r="D7" s="154" t="s">
        <v>71</v>
      </c>
      <c r="E7" s="413"/>
    </row>
    <row r="8" spans="1:5" x14ac:dyDescent="0.25">
      <c r="A8" s="195" t="s">
        <v>13</v>
      </c>
      <c r="B8" s="199" t="s">
        <v>55</v>
      </c>
      <c r="C8" s="194">
        <f>'Program Admin Costs_assumptions'!C15</f>
        <v>85850</v>
      </c>
      <c r="D8" s="154" t="s">
        <v>71</v>
      </c>
      <c r="E8" s="413"/>
    </row>
    <row r="9" spans="1:5" x14ac:dyDescent="0.25">
      <c r="A9" s="195" t="s">
        <v>13</v>
      </c>
      <c r="B9" s="139" t="s">
        <v>56</v>
      </c>
      <c r="C9" s="194">
        <f>'Program Admin Costs_assumptions'!C16</f>
        <v>0</v>
      </c>
      <c r="D9" s="154" t="s">
        <v>71</v>
      </c>
      <c r="E9" s="413"/>
    </row>
    <row r="10" spans="1:5" x14ac:dyDescent="0.25">
      <c r="A10" s="195" t="s">
        <v>20</v>
      </c>
      <c r="B10" s="199" t="s">
        <v>50</v>
      </c>
      <c r="C10" s="194">
        <f>'Program Admin Costs_assumptions'!C17</f>
        <v>70450</v>
      </c>
      <c r="D10" s="154" t="s">
        <v>71</v>
      </c>
      <c r="E10" s="413"/>
    </row>
    <row r="11" spans="1:5" x14ac:dyDescent="0.25">
      <c r="A11" s="195" t="s">
        <v>20</v>
      </c>
      <c r="B11" s="199" t="s">
        <v>52</v>
      </c>
      <c r="C11" s="194">
        <f>'Program Admin Costs_assumptions'!C18</f>
        <v>55300</v>
      </c>
      <c r="D11" s="154" t="s">
        <v>71</v>
      </c>
      <c r="E11" s="413"/>
    </row>
    <row r="12" spans="1:5" x14ac:dyDescent="0.25">
      <c r="A12" s="195" t="s">
        <v>20</v>
      </c>
      <c r="B12" s="199" t="s">
        <v>53</v>
      </c>
      <c r="C12" s="194">
        <f>'Program Admin Costs_assumptions'!C19</f>
        <v>161600</v>
      </c>
      <c r="D12" s="154" t="s">
        <v>71</v>
      </c>
      <c r="E12" s="413"/>
    </row>
    <row r="13" spans="1:5" x14ac:dyDescent="0.25">
      <c r="A13" s="195" t="s">
        <v>20</v>
      </c>
      <c r="B13" s="199" t="s">
        <v>54</v>
      </c>
      <c r="C13" s="194">
        <f>'Program Admin Costs_assumptions'!C20</f>
        <v>55300</v>
      </c>
      <c r="D13" s="154" t="s">
        <v>71</v>
      </c>
      <c r="E13" s="413"/>
    </row>
    <row r="14" spans="1:5" x14ac:dyDescent="0.25">
      <c r="A14" s="195" t="s">
        <v>20</v>
      </c>
      <c r="B14" s="199" t="s">
        <v>55</v>
      </c>
      <c r="C14" s="194">
        <f>'Program Admin Costs_assumptions'!C21</f>
        <v>40150</v>
      </c>
      <c r="D14" s="154" t="s">
        <v>71</v>
      </c>
      <c r="E14" s="413"/>
    </row>
    <row r="15" spans="1:5" x14ac:dyDescent="0.25">
      <c r="A15" s="195" t="s">
        <v>20</v>
      </c>
      <c r="B15" s="139" t="s">
        <v>56</v>
      </c>
      <c r="C15" s="194">
        <f>'Program Admin Costs_assumptions'!C22</f>
        <v>0</v>
      </c>
      <c r="D15" s="154" t="s">
        <v>71</v>
      </c>
      <c r="E15" s="413"/>
    </row>
    <row r="16" spans="1:5" x14ac:dyDescent="0.25">
      <c r="A16" s="195" t="s">
        <v>13</v>
      </c>
      <c r="B16" s="199" t="s">
        <v>57</v>
      </c>
      <c r="C16" s="194">
        <f>'Program Admin Costs_assumptions'!C23</f>
        <v>42925</v>
      </c>
      <c r="D16" s="154" t="s">
        <v>71</v>
      </c>
      <c r="E16" s="414"/>
    </row>
    <row r="17" spans="1:5" x14ac:dyDescent="0.25">
      <c r="A17" s="200" t="s">
        <v>20</v>
      </c>
      <c r="B17" s="201" t="s">
        <v>57</v>
      </c>
      <c r="C17" s="194">
        <f>'Program Admin Costs_assumptions'!C24</f>
        <v>7575.0000000000009</v>
      </c>
      <c r="D17" s="196" t="s">
        <v>71</v>
      </c>
      <c r="E17" s="414"/>
    </row>
    <row r="18" spans="1:5" x14ac:dyDescent="0.25">
      <c r="C18" s="101"/>
    </row>
  </sheetData>
  <autoFilter ref="A3:E16" xr:uid="{96077732-C2B0-4380-9DB0-1EB146D1F30E}"/>
  <mergeCells count="1">
    <mergeCell ref="E4:E17"/>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3BDAC-B4F5-4D5B-8DD1-6600FC19803C}">
  <sheetPr>
    <tabColor theme="7" tint="0.59999389629810485"/>
  </sheetPr>
  <dimension ref="A1:K26"/>
  <sheetViews>
    <sheetView zoomScale="70" zoomScaleNormal="70" workbookViewId="0">
      <selection activeCell="C37" sqref="C37"/>
    </sheetView>
  </sheetViews>
  <sheetFormatPr defaultColWidth="9.09765625" defaultRowHeight="13.8" outlineLevelRow="1" x14ac:dyDescent="0.25"/>
  <cols>
    <col min="1" max="1" width="10.5" customWidth="1"/>
    <col min="2" max="2" width="41.09765625" style="8" customWidth="1"/>
    <col min="3" max="3" width="20.296875" customWidth="1"/>
    <col min="4" max="4" width="10.796875" customWidth="1"/>
    <col min="5" max="5" width="11.796875" customWidth="1"/>
    <col min="6" max="6" width="15.09765625" customWidth="1"/>
    <col min="7" max="7" width="16.796875" customWidth="1"/>
    <col min="8" max="9" width="17.59765625" customWidth="1"/>
    <col min="10" max="10" width="20.296875" customWidth="1"/>
    <col min="11" max="11" width="108.59765625" customWidth="1"/>
    <col min="12" max="12" width="11.19921875" customWidth="1"/>
    <col min="13" max="15" width="10.296875" customWidth="1"/>
  </cols>
  <sheetData>
    <row r="1" spans="1:11" ht="50.1" customHeight="1" outlineLevel="1" x14ac:dyDescent="0.25">
      <c r="B1" s="7"/>
      <c r="J1" s="7"/>
    </row>
    <row r="2" spans="1:11" ht="17.25" customHeight="1" outlineLevel="1" x14ac:dyDescent="0.25">
      <c r="A2" s="66" t="s">
        <v>7</v>
      </c>
      <c r="B2" s="63" t="s">
        <v>67</v>
      </c>
    </row>
    <row r="3" spans="1:11" s="14" customFormat="1" ht="28.8" x14ac:dyDescent="0.25">
      <c r="A3" s="148" t="s">
        <v>23</v>
      </c>
      <c r="B3" s="148" t="s">
        <v>68</v>
      </c>
      <c r="C3" s="148" t="s">
        <v>69</v>
      </c>
      <c r="D3" s="148" t="s">
        <v>58</v>
      </c>
      <c r="E3" s="148" t="s">
        <v>59</v>
      </c>
      <c r="F3" s="148" t="s">
        <v>60</v>
      </c>
      <c r="G3" s="148" t="s">
        <v>73</v>
      </c>
      <c r="H3" s="148" t="s">
        <v>74</v>
      </c>
      <c r="I3" s="148" t="s">
        <v>75</v>
      </c>
      <c r="J3" s="148" t="s">
        <v>70</v>
      </c>
      <c r="K3" s="148" t="s">
        <v>26</v>
      </c>
    </row>
    <row r="4" spans="1:11" s="2" customFormat="1" ht="24.75" customHeight="1" x14ac:dyDescent="0.25">
      <c r="A4" s="154" t="s">
        <v>2</v>
      </c>
      <c r="B4" s="155" t="s">
        <v>50</v>
      </c>
      <c r="C4" s="194"/>
      <c r="D4" s="194">
        <f>202000*1.5</f>
        <v>303000</v>
      </c>
      <c r="E4" s="192">
        <v>0.85</v>
      </c>
      <c r="F4" s="192">
        <f>1-E4</f>
        <v>0.15000000000000002</v>
      </c>
      <c r="G4" s="191">
        <v>25000</v>
      </c>
      <c r="H4" s="192">
        <v>0</v>
      </c>
      <c r="I4" s="192">
        <v>1</v>
      </c>
      <c r="J4" s="154" t="s">
        <v>71</v>
      </c>
      <c r="K4" s="195" t="s">
        <v>469</v>
      </c>
    </row>
    <row r="5" spans="1:11" s="2" customFormat="1" ht="68.25" customHeight="1" x14ac:dyDescent="0.25">
      <c r="A5" s="154" t="s">
        <v>2</v>
      </c>
      <c r="B5" s="155" t="s">
        <v>52</v>
      </c>
      <c r="C5" s="194"/>
      <c r="D5" s="194">
        <f>202000*1</f>
        <v>202000</v>
      </c>
      <c r="E5" s="192">
        <v>0.85</v>
      </c>
      <c r="F5" s="192">
        <f t="shared" ref="F5:F8" si="0">1-E5</f>
        <v>0.15000000000000002</v>
      </c>
      <c r="G5" s="191">
        <v>25000</v>
      </c>
      <c r="H5" s="192">
        <v>0</v>
      </c>
      <c r="I5" s="192">
        <v>1</v>
      </c>
      <c r="J5" s="154" t="s">
        <v>71</v>
      </c>
      <c r="K5" s="202" t="s">
        <v>539</v>
      </c>
    </row>
    <row r="6" spans="1:11" s="2" customFormat="1" ht="30" customHeight="1" x14ac:dyDescent="0.25">
      <c r="A6" s="154" t="s">
        <v>2</v>
      </c>
      <c r="B6" s="155" t="s">
        <v>53</v>
      </c>
      <c r="C6" s="194"/>
      <c r="D6" s="194">
        <v>202000</v>
      </c>
      <c r="E6" s="192">
        <v>0.2</v>
      </c>
      <c r="F6" s="192">
        <f t="shared" si="0"/>
        <v>0.8</v>
      </c>
      <c r="G6" s="191">
        <v>0</v>
      </c>
      <c r="H6" s="192">
        <v>0</v>
      </c>
      <c r="I6" s="192">
        <v>1</v>
      </c>
      <c r="J6" s="154" t="s">
        <v>71</v>
      </c>
      <c r="K6" s="202" t="s">
        <v>76</v>
      </c>
    </row>
    <row r="7" spans="1:11" ht="27.6" x14ac:dyDescent="0.25">
      <c r="A7" s="154" t="s">
        <v>2</v>
      </c>
      <c r="B7" s="155" t="s">
        <v>54</v>
      </c>
      <c r="C7" s="194"/>
      <c r="D7" s="194">
        <f>202000*1</f>
        <v>202000</v>
      </c>
      <c r="E7" s="192">
        <v>0.85</v>
      </c>
      <c r="F7" s="192">
        <f t="shared" si="0"/>
        <v>0.15000000000000002</v>
      </c>
      <c r="G7" s="191">
        <v>25000</v>
      </c>
      <c r="H7" s="192">
        <v>0</v>
      </c>
      <c r="I7" s="192">
        <v>1</v>
      </c>
      <c r="J7" s="154" t="s">
        <v>71</v>
      </c>
      <c r="K7" s="195" t="s">
        <v>470</v>
      </c>
    </row>
    <row r="8" spans="1:11" ht="27.6" x14ac:dyDescent="0.25">
      <c r="A8" s="154" t="s">
        <v>2</v>
      </c>
      <c r="B8" s="155" t="s">
        <v>55</v>
      </c>
      <c r="C8" s="194"/>
      <c r="D8" s="194">
        <f>202000*0.5</f>
        <v>101000</v>
      </c>
      <c r="E8" s="192">
        <v>0.85</v>
      </c>
      <c r="F8" s="192">
        <f t="shared" si="0"/>
        <v>0.15000000000000002</v>
      </c>
      <c r="G8" s="191">
        <v>25000</v>
      </c>
      <c r="H8" s="192">
        <v>0</v>
      </c>
      <c r="I8" s="192">
        <v>1</v>
      </c>
      <c r="J8" s="154" t="s">
        <v>71</v>
      </c>
      <c r="K8" s="195" t="s">
        <v>540</v>
      </c>
    </row>
    <row r="9" spans="1:11" x14ac:dyDescent="0.25">
      <c r="A9" s="154" t="s">
        <v>2</v>
      </c>
      <c r="B9" s="150" t="s">
        <v>56</v>
      </c>
      <c r="C9" s="194"/>
      <c r="D9" s="194"/>
      <c r="E9" s="194"/>
      <c r="F9" s="194"/>
      <c r="G9" s="194"/>
      <c r="H9" s="194"/>
      <c r="I9" s="194"/>
      <c r="J9" s="154" t="s">
        <v>71</v>
      </c>
      <c r="K9" s="195" t="s">
        <v>527</v>
      </c>
    </row>
    <row r="10" spans="1:11" x14ac:dyDescent="0.25">
      <c r="A10" s="154" t="s">
        <v>2</v>
      </c>
      <c r="B10" s="155" t="s">
        <v>57</v>
      </c>
      <c r="C10" s="194"/>
      <c r="D10" s="194">
        <f>0.25*202000</f>
        <v>50500</v>
      </c>
      <c r="E10" s="203">
        <v>0.85</v>
      </c>
      <c r="F10" s="203">
        <f>1-E10</f>
        <v>0.15000000000000002</v>
      </c>
      <c r="G10" s="194"/>
      <c r="H10" s="194"/>
      <c r="I10" s="194"/>
      <c r="J10" s="154"/>
      <c r="K10" s="195"/>
    </row>
    <row r="11" spans="1:11" x14ac:dyDescent="0.25">
      <c r="A11" s="154" t="s">
        <v>13</v>
      </c>
      <c r="B11" s="204" t="s">
        <v>50</v>
      </c>
      <c r="C11" s="191">
        <f>(D4*E4)+(G4*H4)</f>
        <v>257550</v>
      </c>
      <c r="D11" s="191"/>
      <c r="E11" s="192"/>
      <c r="F11" s="192"/>
      <c r="G11" s="191"/>
      <c r="H11" s="192"/>
      <c r="I11" s="192"/>
      <c r="J11" s="154" t="s">
        <v>71</v>
      </c>
      <c r="K11" s="139"/>
    </row>
    <row r="12" spans="1:11" x14ac:dyDescent="0.25">
      <c r="A12" s="154" t="s">
        <v>13</v>
      </c>
      <c r="B12" s="204" t="s">
        <v>52</v>
      </c>
      <c r="C12" s="191">
        <f t="shared" ref="C12:C16" si="1">(D5*E5)+(G5*H5)</f>
        <v>171700</v>
      </c>
      <c r="D12" s="191"/>
      <c r="E12" s="192"/>
      <c r="F12" s="192"/>
      <c r="G12" s="191"/>
      <c r="H12" s="192"/>
      <c r="I12" s="192"/>
      <c r="J12" s="154" t="s">
        <v>71</v>
      </c>
      <c r="K12" s="139"/>
    </row>
    <row r="13" spans="1:11" x14ac:dyDescent="0.25">
      <c r="A13" s="154" t="s">
        <v>13</v>
      </c>
      <c r="B13" s="204" t="s">
        <v>53</v>
      </c>
      <c r="C13" s="191">
        <f t="shared" si="1"/>
        <v>40400</v>
      </c>
      <c r="D13" s="191"/>
      <c r="E13" s="191"/>
      <c r="F13" s="191"/>
      <c r="G13" s="191"/>
      <c r="H13" s="191"/>
      <c r="I13" s="191"/>
      <c r="J13" s="154" t="s">
        <v>71</v>
      </c>
      <c r="K13" s="139"/>
    </row>
    <row r="14" spans="1:11" x14ac:dyDescent="0.25">
      <c r="A14" s="154" t="s">
        <v>13</v>
      </c>
      <c r="B14" s="204" t="s">
        <v>54</v>
      </c>
      <c r="C14" s="191">
        <f t="shared" si="1"/>
        <v>171700</v>
      </c>
      <c r="D14" s="191"/>
      <c r="E14" s="191"/>
      <c r="F14" s="191"/>
      <c r="G14" s="191"/>
      <c r="H14" s="191"/>
      <c r="I14" s="191"/>
      <c r="J14" s="154" t="s">
        <v>71</v>
      </c>
      <c r="K14" s="139"/>
    </row>
    <row r="15" spans="1:11" x14ac:dyDescent="0.25">
      <c r="A15" s="154" t="s">
        <v>13</v>
      </c>
      <c r="B15" s="204" t="s">
        <v>55</v>
      </c>
      <c r="C15" s="191">
        <f t="shared" si="1"/>
        <v>85850</v>
      </c>
      <c r="D15" s="191"/>
      <c r="E15" s="191"/>
      <c r="F15" s="191"/>
      <c r="G15" s="191"/>
      <c r="H15" s="191"/>
      <c r="I15" s="191"/>
      <c r="J15" s="154" t="s">
        <v>71</v>
      </c>
      <c r="K15" s="139"/>
    </row>
    <row r="16" spans="1:11" x14ac:dyDescent="0.25">
      <c r="A16" s="154" t="s">
        <v>13</v>
      </c>
      <c r="B16" s="204" t="s">
        <v>56</v>
      </c>
      <c r="C16" s="191">
        <f t="shared" si="1"/>
        <v>0</v>
      </c>
      <c r="D16" s="194"/>
      <c r="E16" s="194"/>
      <c r="F16" s="194"/>
      <c r="G16" s="194"/>
      <c r="H16" s="194"/>
      <c r="I16" s="194"/>
      <c r="J16" s="154" t="s">
        <v>71</v>
      </c>
      <c r="K16" s="139"/>
    </row>
    <row r="17" spans="1:11" x14ac:dyDescent="0.25">
      <c r="A17" s="154" t="s">
        <v>20</v>
      </c>
      <c r="B17" s="204" t="s">
        <v>50</v>
      </c>
      <c r="C17" s="191">
        <f>(D4*F4)+(G4*I4)</f>
        <v>70450</v>
      </c>
      <c r="D17" s="198"/>
      <c r="E17" s="198"/>
      <c r="F17" s="198"/>
      <c r="G17" s="198"/>
      <c r="H17" s="198"/>
      <c r="I17" s="198"/>
      <c r="J17" s="154" t="s">
        <v>71</v>
      </c>
      <c r="K17" s="139"/>
    </row>
    <row r="18" spans="1:11" x14ac:dyDescent="0.25">
      <c r="A18" s="154" t="s">
        <v>20</v>
      </c>
      <c r="B18" s="204" t="s">
        <v>52</v>
      </c>
      <c r="C18" s="191">
        <f t="shared" ref="C18:C22" si="2">(D5*F5)+(G5*I5)</f>
        <v>55300</v>
      </c>
      <c r="D18" s="198"/>
      <c r="E18" s="198"/>
      <c r="F18" s="198"/>
      <c r="G18" s="198"/>
      <c r="H18" s="198"/>
      <c r="I18" s="198"/>
      <c r="J18" s="154" t="s">
        <v>71</v>
      </c>
      <c r="K18" s="139"/>
    </row>
    <row r="19" spans="1:11" x14ac:dyDescent="0.25">
      <c r="A19" s="154" t="s">
        <v>20</v>
      </c>
      <c r="B19" s="204" t="s">
        <v>53</v>
      </c>
      <c r="C19" s="191">
        <f t="shared" si="2"/>
        <v>161600</v>
      </c>
      <c r="D19" s="198"/>
      <c r="E19" s="198"/>
      <c r="F19" s="198"/>
      <c r="G19" s="198"/>
      <c r="H19" s="198"/>
      <c r="I19" s="198"/>
      <c r="J19" s="154" t="s">
        <v>71</v>
      </c>
      <c r="K19" s="139"/>
    </row>
    <row r="20" spans="1:11" x14ac:dyDescent="0.25">
      <c r="A20" s="154" t="s">
        <v>20</v>
      </c>
      <c r="B20" s="204" t="s">
        <v>54</v>
      </c>
      <c r="C20" s="191">
        <f t="shared" si="2"/>
        <v>55300</v>
      </c>
      <c r="D20" s="198"/>
      <c r="E20" s="198"/>
      <c r="F20" s="198"/>
      <c r="G20" s="198"/>
      <c r="H20" s="198"/>
      <c r="I20" s="198"/>
      <c r="J20" s="154" t="s">
        <v>71</v>
      </c>
      <c r="K20" s="139"/>
    </row>
    <row r="21" spans="1:11" x14ac:dyDescent="0.25">
      <c r="A21" s="154" t="s">
        <v>20</v>
      </c>
      <c r="B21" s="204" t="s">
        <v>55</v>
      </c>
      <c r="C21" s="191">
        <f t="shared" si="2"/>
        <v>40150</v>
      </c>
      <c r="D21" s="198"/>
      <c r="E21" s="198"/>
      <c r="F21" s="198"/>
      <c r="G21" s="198"/>
      <c r="H21" s="198"/>
      <c r="I21" s="198"/>
      <c r="J21" s="154" t="s">
        <v>71</v>
      </c>
      <c r="K21" s="139"/>
    </row>
    <row r="22" spans="1:11" x14ac:dyDescent="0.25">
      <c r="A22" s="154" t="s">
        <v>20</v>
      </c>
      <c r="B22" s="204" t="s">
        <v>56</v>
      </c>
      <c r="C22" s="191">
        <f t="shared" si="2"/>
        <v>0</v>
      </c>
      <c r="D22" s="198"/>
      <c r="E22" s="198"/>
      <c r="F22" s="198"/>
      <c r="G22" s="198"/>
      <c r="H22" s="198"/>
      <c r="I22" s="198"/>
      <c r="J22" s="154" t="s">
        <v>71</v>
      </c>
      <c r="K22" s="139"/>
    </row>
    <row r="23" spans="1:11" x14ac:dyDescent="0.25">
      <c r="A23" s="196" t="s">
        <v>13</v>
      </c>
      <c r="B23" s="201" t="s">
        <v>57</v>
      </c>
      <c r="C23" s="197">
        <f>D10*E10</f>
        <v>42925</v>
      </c>
      <c r="D23" s="198"/>
      <c r="E23" s="198"/>
      <c r="F23" s="198"/>
      <c r="G23" s="198"/>
      <c r="H23" s="198"/>
      <c r="I23" s="198"/>
      <c r="J23" s="154" t="s">
        <v>71</v>
      </c>
      <c r="K23" s="139"/>
    </row>
    <row r="24" spans="1:11" x14ac:dyDescent="0.25">
      <c r="A24" s="196" t="s">
        <v>20</v>
      </c>
      <c r="B24" s="201" t="s">
        <v>57</v>
      </c>
      <c r="C24" s="197">
        <f>D10*F10</f>
        <v>7575.0000000000009</v>
      </c>
      <c r="D24" s="198"/>
      <c r="E24" s="198"/>
      <c r="F24" s="198"/>
      <c r="G24" s="198"/>
      <c r="H24" s="198"/>
      <c r="I24" s="198"/>
      <c r="J24" s="154" t="s">
        <v>71</v>
      </c>
      <c r="K24" s="139"/>
    </row>
    <row r="26" spans="1:11" x14ac:dyDescent="0.25">
      <c r="C26" s="101"/>
    </row>
  </sheetData>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tabColor theme="7" tint="0.39997558519241921"/>
  </sheetPr>
  <dimension ref="A1:O177"/>
  <sheetViews>
    <sheetView zoomScale="70" zoomScaleNormal="70" workbookViewId="0">
      <selection activeCell="G3" sqref="G3"/>
    </sheetView>
  </sheetViews>
  <sheetFormatPr defaultColWidth="9.09765625" defaultRowHeight="13.8" outlineLevelRow="1" x14ac:dyDescent="0.25"/>
  <cols>
    <col min="1" max="1" width="11.09765625" customWidth="1"/>
    <col min="2" max="2" width="64.59765625" style="8" customWidth="1"/>
    <col min="3" max="3" width="28.5" style="2" customWidth="1"/>
    <col min="4" max="4" width="24.09765625" customWidth="1"/>
    <col min="5" max="6" width="18.5" style="208" customWidth="1"/>
    <col min="7" max="7" width="11.19921875" customWidth="1"/>
  </cols>
  <sheetData>
    <row r="1" spans="1:15" ht="50.1" customHeight="1" outlineLevel="1" x14ac:dyDescent="0.25">
      <c r="B1" s="7"/>
      <c r="C1" s="7"/>
    </row>
    <row r="2" spans="1:15" ht="17.25" customHeight="1" outlineLevel="1" x14ac:dyDescent="0.25">
      <c r="A2" s="66" t="s">
        <v>7</v>
      </c>
      <c r="B2" s="63" t="s">
        <v>77</v>
      </c>
      <c r="C2"/>
    </row>
    <row r="3" spans="1:15" s="9" customFormat="1" ht="36.75" customHeight="1" x14ac:dyDescent="0.25">
      <c r="A3" s="179" t="s">
        <v>23</v>
      </c>
      <c r="B3" s="179" t="s">
        <v>78</v>
      </c>
      <c r="C3" s="179" t="s">
        <v>38</v>
      </c>
      <c r="D3" s="179" t="s">
        <v>79</v>
      </c>
      <c r="E3" s="209" t="str">
        <f>EditableIndexes!$Q$5</f>
        <v>Scenario 2</v>
      </c>
      <c r="F3" s="209" t="str">
        <f>EditableIndexes!$Q$6</f>
        <v>Scenario 1</v>
      </c>
      <c r="I3"/>
      <c r="J3"/>
      <c r="K3"/>
      <c r="L3"/>
      <c r="M3"/>
      <c r="N3"/>
      <c r="O3"/>
    </row>
    <row r="4" spans="1:15" ht="17.55" customHeight="1" x14ac:dyDescent="0.25">
      <c r="A4" s="150" t="s">
        <v>13</v>
      </c>
      <c r="B4" s="155" t="s">
        <v>80</v>
      </c>
      <c r="C4" s="155" t="s">
        <v>45</v>
      </c>
      <c r="D4" s="150" t="s">
        <v>77</v>
      </c>
      <c r="E4" s="211">
        <f>'Mkting &amp; Recruit Costs_assump'!E76</f>
        <v>3.75</v>
      </c>
      <c r="F4" s="210">
        <f>E4</f>
        <v>3.75</v>
      </c>
    </row>
    <row r="5" spans="1:15" ht="17.55" customHeight="1" x14ac:dyDescent="0.25">
      <c r="A5" s="150" t="s">
        <v>13</v>
      </c>
      <c r="B5" s="155" t="s">
        <v>81</v>
      </c>
      <c r="C5" s="155" t="s">
        <v>45</v>
      </c>
      <c r="D5" s="150" t="s">
        <v>77</v>
      </c>
      <c r="E5" s="211">
        <f>'Mkting &amp; Recruit Costs_assump'!E77</f>
        <v>8.75</v>
      </c>
      <c r="F5" s="210">
        <f t="shared" ref="F5" si="0">E5</f>
        <v>8.75</v>
      </c>
    </row>
    <row r="6" spans="1:15" ht="17.55" customHeight="1" x14ac:dyDescent="0.25">
      <c r="A6" s="150" t="s">
        <v>13</v>
      </c>
      <c r="B6" s="155" t="s">
        <v>82</v>
      </c>
      <c r="C6" s="155" t="s">
        <v>45</v>
      </c>
      <c r="D6" s="150" t="s">
        <v>77</v>
      </c>
      <c r="E6" s="211">
        <f>'Mkting &amp; Recruit Costs_assump'!E78</f>
        <v>18.75</v>
      </c>
      <c r="F6" s="210">
        <f t="shared" ref="F6" si="1">E6</f>
        <v>18.75</v>
      </c>
    </row>
    <row r="7" spans="1:15" ht="17.55" customHeight="1" x14ac:dyDescent="0.25">
      <c r="A7" s="150" t="s">
        <v>13</v>
      </c>
      <c r="B7" s="155" t="s">
        <v>83</v>
      </c>
      <c r="C7" s="155" t="s">
        <v>45</v>
      </c>
      <c r="D7" s="150" t="s">
        <v>77</v>
      </c>
      <c r="E7" s="211">
        <f>'Mkting &amp; Recruit Costs_assump'!E79</f>
        <v>43.75</v>
      </c>
      <c r="F7" s="210">
        <f t="shared" ref="F7" si="2">E7</f>
        <v>43.75</v>
      </c>
    </row>
    <row r="8" spans="1:15" ht="17.55" customHeight="1" x14ac:dyDescent="0.25">
      <c r="A8" s="150" t="s">
        <v>13</v>
      </c>
      <c r="B8" s="155" t="s">
        <v>84</v>
      </c>
      <c r="C8" s="155" t="s">
        <v>45</v>
      </c>
      <c r="D8" s="150" t="s">
        <v>77</v>
      </c>
      <c r="E8" s="211">
        <f>'Mkting &amp; Recruit Costs_assump'!E80</f>
        <v>3.75</v>
      </c>
      <c r="F8" s="210">
        <f t="shared" ref="F8" si="3">E8</f>
        <v>3.75</v>
      </c>
    </row>
    <row r="9" spans="1:15" ht="17.55" customHeight="1" x14ac:dyDescent="0.25">
      <c r="A9" s="150" t="s">
        <v>13</v>
      </c>
      <c r="B9" s="155" t="s">
        <v>85</v>
      </c>
      <c r="C9" s="155" t="s">
        <v>45</v>
      </c>
      <c r="D9" s="150" t="s">
        <v>77</v>
      </c>
      <c r="E9" s="211">
        <f>'Mkting &amp; Recruit Costs_assump'!E81</f>
        <v>8.75</v>
      </c>
      <c r="F9" s="210">
        <f t="shared" ref="F9" si="4">E9</f>
        <v>8.75</v>
      </c>
    </row>
    <row r="10" spans="1:15" ht="17.55" customHeight="1" x14ac:dyDescent="0.25">
      <c r="A10" s="150" t="s">
        <v>13</v>
      </c>
      <c r="B10" s="155" t="s">
        <v>86</v>
      </c>
      <c r="C10" s="155" t="s">
        <v>45</v>
      </c>
      <c r="D10" s="150" t="s">
        <v>77</v>
      </c>
      <c r="E10" s="211">
        <f>'Mkting &amp; Recruit Costs_assump'!E82</f>
        <v>3.75</v>
      </c>
      <c r="F10" s="210">
        <f t="shared" ref="F10" si="5">E10</f>
        <v>3.75</v>
      </c>
    </row>
    <row r="11" spans="1:15" ht="17.55" customHeight="1" x14ac:dyDescent="0.25">
      <c r="A11" s="150" t="s">
        <v>13</v>
      </c>
      <c r="B11" s="155" t="s">
        <v>87</v>
      </c>
      <c r="C11" s="155" t="s">
        <v>45</v>
      </c>
      <c r="D11" s="150" t="s">
        <v>77</v>
      </c>
      <c r="E11" s="211">
        <f>'Mkting &amp; Recruit Costs_assump'!E83</f>
        <v>8.75</v>
      </c>
      <c r="F11" s="210">
        <f t="shared" ref="F11" si="6">E11</f>
        <v>8.75</v>
      </c>
    </row>
    <row r="12" spans="1:15" ht="17.55" customHeight="1" x14ac:dyDescent="0.25">
      <c r="A12" s="150" t="s">
        <v>13</v>
      </c>
      <c r="B12" s="155" t="s">
        <v>80</v>
      </c>
      <c r="C12" s="155" t="s">
        <v>40</v>
      </c>
      <c r="D12" s="150" t="s">
        <v>77</v>
      </c>
      <c r="E12" s="211">
        <f>'Mkting &amp; Recruit Costs_assump'!E84</f>
        <v>7.5</v>
      </c>
      <c r="F12" s="210">
        <f t="shared" ref="F12" si="7">E12</f>
        <v>7.5</v>
      </c>
    </row>
    <row r="13" spans="1:15" ht="17.55" customHeight="1" x14ac:dyDescent="0.25">
      <c r="A13" s="150" t="s">
        <v>13</v>
      </c>
      <c r="B13" s="155" t="s">
        <v>80</v>
      </c>
      <c r="C13" s="155" t="s">
        <v>42</v>
      </c>
      <c r="D13" s="150" t="s">
        <v>77</v>
      </c>
      <c r="E13" s="211">
        <f>'Mkting &amp; Recruit Costs_assump'!E85</f>
        <v>7.5</v>
      </c>
      <c r="F13" s="210">
        <f t="shared" ref="F13" si="8">E13</f>
        <v>7.5</v>
      </c>
    </row>
    <row r="14" spans="1:15" ht="17.55" customHeight="1" x14ac:dyDescent="0.25">
      <c r="A14" s="150" t="s">
        <v>13</v>
      </c>
      <c r="B14" s="155" t="s">
        <v>81</v>
      </c>
      <c r="C14" s="155" t="s">
        <v>40</v>
      </c>
      <c r="D14" s="150" t="s">
        <v>77</v>
      </c>
      <c r="E14" s="211">
        <f>'Mkting &amp; Recruit Costs_assump'!E86</f>
        <v>17.5</v>
      </c>
      <c r="F14" s="210">
        <f t="shared" ref="F14" si="9">E14</f>
        <v>17.5</v>
      </c>
    </row>
    <row r="15" spans="1:15" ht="17.55" customHeight="1" x14ac:dyDescent="0.25">
      <c r="A15" s="150" t="s">
        <v>13</v>
      </c>
      <c r="B15" s="155" t="s">
        <v>81</v>
      </c>
      <c r="C15" s="155" t="s">
        <v>42</v>
      </c>
      <c r="D15" s="150" t="s">
        <v>77</v>
      </c>
      <c r="E15" s="211">
        <f>'Mkting &amp; Recruit Costs_assump'!E87</f>
        <v>17.5</v>
      </c>
      <c r="F15" s="210">
        <f t="shared" ref="F15" si="10">E15</f>
        <v>17.5</v>
      </c>
    </row>
    <row r="16" spans="1:15" ht="17.55" customHeight="1" x14ac:dyDescent="0.25">
      <c r="A16" s="150" t="s">
        <v>13</v>
      </c>
      <c r="B16" s="155" t="s">
        <v>88</v>
      </c>
      <c r="C16" s="155" t="s">
        <v>40</v>
      </c>
      <c r="D16" s="150" t="s">
        <v>77</v>
      </c>
      <c r="E16" s="211">
        <f>'Mkting &amp; Recruit Costs_assump'!E88</f>
        <v>87.5</v>
      </c>
      <c r="F16" s="210">
        <f t="shared" ref="F16" si="11">E16</f>
        <v>87.5</v>
      </c>
    </row>
    <row r="17" spans="1:6" ht="17.55" customHeight="1" x14ac:dyDescent="0.25">
      <c r="A17" s="150" t="s">
        <v>13</v>
      </c>
      <c r="B17" s="155" t="s">
        <v>88</v>
      </c>
      <c r="C17" s="155" t="s">
        <v>42</v>
      </c>
      <c r="D17" s="150" t="s">
        <v>77</v>
      </c>
      <c r="E17" s="211">
        <f>'Mkting &amp; Recruit Costs_assump'!E89</f>
        <v>87.5</v>
      </c>
      <c r="F17" s="210">
        <f t="shared" ref="F17" si="12">E17</f>
        <v>87.5</v>
      </c>
    </row>
    <row r="18" spans="1:6" ht="17.55" customHeight="1" x14ac:dyDescent="0.25">
      <c r="A18" s="150" t="s">
        <v>13</v>
      </c>
      <c r="B18" s="155" t="s">
        <v>82</v>
      </c>
      <c r="C18" s="155" t="s">
        <v>40</v>
      </c>
      <c r="D18" s="150" t="str">
        <f t="shared" ref="D18:D23" si="13">D4</f>
        <v>$/new participant</v>
      </c>
      <c r="E18" s="212">
        <f>'Mkting &amp; Recruit Costs_assump'!E217</f>
        <v>37.5</v>
      </c>
      <c r="F18" s="210">
        <f t="shared" ref="F18" si="14">E18</f>
        <v>37.5</v>
      </c>
    </row>
    <row r="19" spans="1:6" ht="17.55" customHeight="1" x14ac:dyDescent="0.25">
      <c r="A19" s="150" t="s">
        <v>13</v>
      </c>
      <c r="B19" s="155" t="s">
        <v>83</v>
      </c>
      <c r="C19" s="155" t="s">
        <v>40</v>
      </c>
      <c r="D19" s="150" t="str">
        <f t="shared" si="13"/>
        <v>$/new participant</v>
      </c>
      <c r="E19" s="212">
        <f>'Mkting &amp; Recruit Costs_assump'!E218</f>
        <v>87.5</v>
      </c>
      <c r="F19" s="210">
        <f t="shared" ref="F19" si="15">E19</f>
        <v>87.5</v>
      </c>
    </row>
    <row r="20" spans="1:6" ht="17.55" customHeight="1" x14ac:dyDescent="0.25">
      <c r="A20" s="150" t="s">
        <v>13</v>
      </c>
      <c r="B20" s="155" t="s">
        <v>84</v>
      </c>
      <c r="C20" s="155" t="s">
        <v>40</v>
      </c>
      <c r="D20" s="150" t="str">
        <f t="shared" si="13"/>
        <v>$/new participant</v>
      </c>
      <c r="E20" s="212">
        <f>'Mkting &amp; Recruit Costs_assump'!E225</f>
        <v>7.5</v>
      </c>
      <c r="F20" s="210">
        <f t="shared" ref="F20" si="16">E20</f>
        <v>7.5</v>
      </c>
    </row>
    <row r="21" spans="1:6" ht="17.55" customHeight="1" x14ac:dyDescent="0.25">
      <c r="A21" s="150" t="s">
        <v>13</v>
      </c>
      <c r="B21" s="155" t="s">
        <v>85</v>
      </c>
      <c r="C21" s="155" t="s">
        <v>40</v>
      </c>
      <c r="D21" s="150" t="str">
        <f t="shared" si="13"/>
        <v>$/new participant</v>
      </c>
      <c r="E21" s="212">
        <f>'Mkting &amp; Recruit Costs_assump'!E226</f>
        <v>17.5</v>
      </c>
      <c r="F21" s="210">
        <f t="shared" ref="F21" si="17">E21</f>
        <v>17.5</v>
      </c>
    </row>
    <row r="22" spans="1:6" ht="17.55" customHeight="1" x14ac:dyDescent="0.25">
      <c r="A22" s="150" t="s">
        <v>13</v>
      </c>
      <c r="B22" s="155" t="s">
        <v>86</v>
      </c>
      <c r="C22" s="155" t="s">
        <v>40</v>
      </c>
      <c r="D22" s="150" t="str">
        <f t="shared" si="13"/>
        <v>$/new participant</v>
      </c>
      <c r="E22" s="212">
        <f>'Mkting &amp; Recruit Costs_assump'!E233</f>
        <v>7.5</v>
      </c>
      <c r="F22" s="210">
        <f t="shared" ref="F22" si="18">E22</f>
        <v>7.5</v>
      </c>
    </row>
    <row r="23" spans="1:6" ht="17.55" customHeight="1" x14ac:dyDescent="0.25">
      <c r="A23" s="150" t="s">
        <v>13</v>
      </c>
      <c r="B23" s="155" t="s">
        <v>87</v>
      </c>
      <c r="C23" s="155" t="s">
        <v>40</v>
      </c>
      <c r="D23" s="150" t="str">
        <f t="shared" si="13"/>
        <v>$/new participant</v>
      </c>
      <c r="E23" s="212">
        <f>'Mkting &amp; Recruit Costs_assump'!E234</f>
        <v>17.5</v>
      </c>
      <c r="F23" s="210">
        <f t="shared" ref="F23" si="19">E23</f>
        <v>17.5</v>
      </c>
    </row>
    <row r="24" spans="1:6" ht="17.55" customHeight="1" x14ac:dyDescent="0.25">
      <c r="A24" s="150" t="s">
        <v>13</v>
      </c>
      <c r="B24" s="155" t="s">
        <v>82</v>
      </c>
      <c r="C24" s="155" t="s">
        <v>42</v>
      </c>
      <c r="D24" s="150" t="str">
        <f t="shared" ref="D24:D29" si="20">D18</f>
        <v>$/new participant</v>
      </c>
      <c r="E24" s="212">
        <f>'Mkting &amp; Recruit Costs_assump'!E221</f>
        <v>37.5</v>
      </c>
      <c r="F24" s="210">
        <f t="shared" ref="F24" si="21">E24</f>
        <v>37.5</v>
      </c>
    </row>
    <row r="25" spans="1:6" ht="17.55" customHeight="1" x14ac:dyDescent="0.25">
      <c r="A25" s="150" t="s">
        <v>13</v>
      </c>
      <c r="B25" s="155" t="s">
        <v>83</v>
      </c>
      <c r="C25" s="155" t="s">
        <v>42</v>
      </c>
      <c r="D25" s="150" t="str">
        <f t="shared" si="20"/>
        <v>$/new participant</v>
      </c>
      <c r="E25" s="212">
        <f>'Mkting &amp; Recruit Costs_assump'!E222</f>
        <v>87.5</v>
      </c>
      <c r="F25" s="210">
        <f t="shared" ref="F25" si="22">E25</f>
        <v>87.5</v>
      </c>
    </row>
    <row r="26" spans="1:6" ht="17.55" customHeight="1" x14ac:dyDescent="0.25">
      <c r="A26" s="150" t="s">
        <v>13</v>
      </c>
      <c r="B26" s="155" t="s">
        <v>84</v>
      </c>
      <c r="C26" s="155" t="s">
        <v>42</v>
      </c>
      <c r="D26" s="150" t="str">
        <f t="shared" si="20"/>
        <v>$/new participant</v>
      </c>
      <c r="E26" s="212">
        <f>'Mkting &amp; Recruit Costs_assump'!E229</f>
        <v>7.5</v>
      </c>
      <c r="F26" s="210">
        <f t="shared" ref="F26" si="23">E26</f>
        <v>7.5</v>
      </c>
    </row>
    <row r="27" spans="1:6" ht="17.55" customHeight="1" x14ac:dyDescent="0.25">
      <c r="A27" s="150" t="s">
        <v>13</v>
      </c>
      <c r="B27" s="155" t="s">
        <v>85</v>
      </c>
      <c r="C27" s="155" t="s">
        <v>42</v>
      </c>
      <c r="D27" s="150" t="str">
        <f t="shared" si="20"/>
        <v>$/new participant</v>
      </c>
      <c r="E27" s="212">
        <f>'Mkting &amp; Recruit Costs_assump'!E230</f>
        <v>17.5</v>
      </c>
      <c r="F27" s="210">
        <f t="shared" ref="F27" si="24">E27</f>
        <v>17.5</v>
      </c>
    </row>
    <row r="28" spans="1:6" ht="17.55" customHeight="1" x14ac:dyDescent="0.25">
      <c r="A28" s="150" t="s">
        <v>13</v>
      </c>
      <c r="B28" s="155" t="s">
        <v>86</v>
      </c>
      <c r="C28" s="155" t="s">
        <v>42</v>
      </c>
      <c r="D28" s="150" t="str">
        <f t="shared" si="20"/>
        <v>$/new participant</v>
      </c>
      <c r="E28" s="212">
        <f>'Mkting &amp; Recruit Costs_assump'!E237</f>
        <v>7.5</v>
      </c>
      <c r="F28" s="210">
        <f t="shared" ref="F28" si="25">E28</f>
        <v>7.5</v>
      </c>
    </row>
    <row r="29" spans="1:6" ht="17.55" customHeight="1" x14ac:dyDescent="0.25">
      <c r="A29" s="150" t="s">
        <v>13</v>
      </c>
      <c r="B29" s="155" t="s">
        <v>87</v>
      </c>
      <c r="C29" s="155" t="s">
        <v>42</v>
      </c>
      <c r="D29" s="150" t="str">
        <f t="shared" si="20"/>
        <v>$/new participant</v>
      </c>
      <c r="E29" s="212">
        <f>'Mkting &amp; Recruit Costs_assump'!E238</f>
        <v>17.5</v>
      </c>
      <c r="F29" s="210">
        <f t="shared" ref="F29" si="26">E29</f>
        <v>17.5</v>
      </c>
    </row>
    <row r="30" spans="1:6" x14ac:dyDescent="0.25">
      <c r="A30" s="150" t="s">
        <v>13</v>
      </c>
      <c r="B30" s="155" t="s">
        <v>54</v>
      </c>
      <c r="C30" s="155" t="s">
        <v>40</v>
      </c>
      <c r="D30" s="150" t="s">
        <v>77</v>
      </c>
      <c r="E30" s="211">
        <f>'Mkting &amp; Recruit Costs_assump'!E90</f>
        <v>75</v>
      </c>
      <c r="F30" s="210">
        <f t="shared" ref="F30" si="27">E30</f>
        <v>75</v>
      </c>
    </row>
    <row r="31" spans="1:6" x14ac:dyDescent="0.25">
      <c r="A31" s="150" t="s">
        <v>13</v>
      </c>
      <c r="B31" s="155" t="s">
        <v>54</v>
      </c>
      <c r="C31" s="155" t="s">
        <v>41</v>
      </c>
      <c r="D31" s="150" t="s">
        <v>77</v>
      </c>
      <c r="E31" s="211">
        <f>'Mkting &amp; Recruit Costs_assump'!E91</f>
        <v>150</v>
      </c>
      <c r="F31" s="210">
        <f t="shared" ref="F31" si="28">E31</f>
        <v>150</v>
      </c>
    </row>
    <row r="32" spans="1:6" x14ac:dyDescent="0.25">
      <c r="A32" s="150" t="s">
        <v>13</v>
      </c>
      <c r="B32" s="155" t="s">
        <v>54</v>
      </c>
      <c r="C32" s="155" t="s">
        <v>42</v>
      </c>
      <c r="D32" s="150" t="s">
        <v>77</v>
      </c>
      <c r="E32" s="211">
        <f>'Mkting &amp; Recruit Costs_assump'!E92</f>
        <v>75</v>
      </c>
      <c r="F32" s="210">
        <f t="shared" ref="F32" si="29">E32</f>
        <v>75</v>
      </c>
    </row>
    <row r="33" spans="1:6" x14ac:dyDescent="0.25">
      <c r="A33" s="150" t="s">
        <v>13</v>
      </c>
      <c r="B33" s="155" t="s">
        <v>54</v>
      </c>
      <c r="C33" s="155" t="s">
        <v>43</v>
      </c>
      <c r="D33" s="150" t="s">
        <v>77</v>
      </c>
      <c r="E33" s="211">
        <f>'Mkting &amp; Recruit Costs_assump'!E93</f>
        <v>150</v>
      </c>
      <c r="F33" s="210">
        <f t="shared" ref="F33" si="30">E33</f>
        <v>150</v>
      </c>
    </row>
    <row r="34" spans="1:6" x14ac:dyDescent="0.25">
      <c r="A34" s="150" t="s">
        <v>13</v>
      </c>
      <c r="B34" s="155" t="s">
        <v>54</v>
      </c>
      <c r="C34" s="155" t="s">
        <v>44</v>
      </c>
      <c r="D34" s="150" t="s">
        <v>77</v>
      </c>
      <c r="E34" s="211">
        <f>'Mkting &amp; Recruit Costs_assump'!E94</f>
        <v>150</v>
      </c>
      <c r="F34" s="210">
        <f t="shared" ref="F34" si="31">E34</f>
        <v>150</v>
      </c>
    </row>
    <row r="35" spans="1:6" x14ac:dyDescent="0.25">
      <c r="A35" s="150" t="s">
        <v>13</v>
      </c>
      <c r="B35" s="155" t="s">
        <v>89</v>
      </c>
      <c r="C35" s="155" t="s">
        <v>41</v>
      </c>
      <c r="D35" s="150" t="s">
        <v>77</v>
      </c>
      <c r="E35" s="211">
        <f>'Mkting &amp; Recruit Costs_assump'!E95</f>
        <v>0</v>
      </c>
      <c r="F35" s="210">
        <f t="shared" ref="F35" si="32">E35</f>
        <v>0</v>
      </c>
    </row>
    <row r="36" spans="1:6" x14ac:dyDescent="0.25">
      <c r="A36" s="150" t="s">
        <v>13</v>
      </c>
      <c r="B36" s="155" t="s">
        <v>90</v>
      </c>
      <c r="C36" s="155" t="s">
        <v>41</v>
      </c>
      <c r="D36" s="150" t="s">
        <v>77</v>
      </c>
      <c r="E36" s="211">
        <f>'Mkting &amp; Recruit Costs_assump'!E96</f>
        <v>0</v>
      </c>
      <c r="F36" s="210">
        <f t="shared" ref="F36" si="33">E36</f>
        <v>0</v>
      </c>
    </row>
    <row r="37" spans="1:6" x14ac:dyDescent="0.25">
      <c r="A37" s="150" t="s">
        <v>13</v>
      </c>
      <c r="B37" s="155" t="s">
        <v>91</v>
      </c>
      <c r="C37" s="155" t="s">
        <v>41</v>
      </c>
      <c r="D37" s="150" t="s">
        <v>77</v>
      </c>
      <c r="E37" s="211">
        <f>'Mkting &amp; Recruit Costs_assump'!E97</f>
        <v>0</v>
      </c>
      <c r="F37" s="210">
        <f t="shared" ref="F37" si="34">E37</f>
        <v>0</v>
      </c>
    </row>
    <row r="38" spans="1:6" ht="14.55" customHeight="1" x14ac:dyDescent="0.25">
      <c r="A38" s="150" t="s">
        <v>13</v>
      </c>
      <c r="B38" s="155" t="s">
        <v>92</v>
      </c>
      <c r="C38" s="155" t="s">
        <v>41</v>
      </c>
      <c r="D38" s="150" t="s">
        <v>77</v>
      </c>
      <c r="E38" s="211">
        <f>'Mkting &amp; Recruit Costs_assump'!E98</f>
        <v>0</v>
      </c>
      <c r="F38" s="210">
        <f t="shared" ref="F38" si="35">E38</f>
        <v>0</v>
      </c>
    </row>
    <row r="39" spans="1:6" x14ac:dyDescent="0.25">
      <c r="A39" s="150" t="s">
        <v>13</v>
      </c>
      <c r="B39" s="155" t="s">
        <v>93</v>
      </c>
      <c r="C39" s="155" t="s">
        <v>41</v>
      </c>
      <c r="D39" s="150" t="s">
        <v>77</v>
      </c>
      <c r="E39" s="211">
        <f>'Mkting &amp; Recruit Costs_assump'!E99</f>
        <v>0</v>
      </c>
      <c r="F39" s="210">
        <f t="shared" ref="F39" si="36">E39</f>
        <v>0</v>
      </c>
    </row>
    <row r="40" spans="1:6" x14ac:dyDescent="0.25">
      <c r="A40" s="150" t="s">
        <v>13</v>
      </c>
      <c r="B40" s="155" t="s">
        <v>92</v>
      </c>
      <c r="C40" s="155" t="s">
        <v>41</v>
      </c>
      <c r="D40" s="150" t="s">
        <v>77</v>
      </c>
      <c r="E40" s="211">
        <f>'Mkting &amp; Recruit Costs_assump'!E100</f>
        <v>0</v>
      </c>
      <c r="F40" s="210">
        <f t="shared" ref="F40" si="37">E40</f>
        <v>0</v>
      </c>
    </row>
    <row r="41" spans="1:6" x14ac:dyDescent="0.25">
      <c r="A41" s="150" t="s">
        <v>13</v>
      </c>
      <c r="B41" s="155" t="s">
        <v>94</v>
      </c>
      <c r="C41" s="155" t="s">
        <v>41</v>
      </c>
      <c r="D41" s="150" t="s">
        <v>77</v>
      </c>
      <c r="E41" s="211">
        <f>'Mkting &amp; Recruit Costs_assump'!E101</f>
        <v>0</v>
      </c>
      <c r="F41" s="210">
        <f t="shared" ref="F41" si="38">E41</f>
        <v>0</v>
      </c>
    </row>
    <row r="42" spans="1:6" x14ac:dyDescent="0.25">
      <c r="A42" s="150" t="s">
        <v>13</v>
      </c>
      <c r="B42" s="155" t="s">
        <v>89</v>
      </c>
      <c r="C42" s="155" t="s">
        <v>43</v>
      </c>
      <c r="D42" s="150" t="s">
        <v>77</v>
      </c>
      <c r="E42" s="211">
        <f>'Mkting &amp; Recruit Costs_assump'!E102</f>
        <v>0</v>
      </c>
      <c r="F42" s="210">
        <f t="shared" ref="F42" si="39">E42</f>
        <v>0</v>
      </c>
    </row>
    <row r="43" spans="1:6" x14ac:dyDescent="0.25">
      <c r="A43" s="150" t="s">
        <v>13</v>
      </c>
      <c r="B43" s="155" t="s">
        <v>90</v>
      </c>
      <c r="C43" s="155" t="s">
        <v>43</v>
      </c>
      <c r="D43" s="150" t="s">
        <v>77</v>
      </c>
      <c r="E43" s="211">
        <f>'Mkting &amp; Recruit Costs_assump'!E103</f>
        <v>0</v>
      </c>
      <c r="F43" s="210">
        <f t="shared" ref="F43" si="40">E43</f>
        <v>0</v>
      </c>
    </row>
    <row r="44" spans="1:6" x14ac:dyDescent="0.25">
      <c r="A44" s="150" t="s">
        <v>13</v>
      </c>
      <c r="B44" s="155" t="s">
        <v>91</v>
      </c>
      <c r="C44" s="155" t="s">
        <v>43</v>
      </c>
      <c r="D44" s="150" t="s">
        <v>77</v>
      </c>
      <c r="E44" s="211">
        <f>'Mkting &amp; Recruit Costs_assump'!E104</f>
        <v>0</v>
      </c>
      <c r="F44" s="210">
        <f t="shared" ref="F44" si="41">E44</f>
        <v>0</v>
      </c>
    </row>
    <row r="45" spans="1:6" x14ac:dyDescent="0.25">
      <c r="A45" s="150" t="s">
        <v>13</v>
      </c>
      <c r="B45" s="155" t="s">
        <v>92</v>
      </c>
      <c r="C45" s="155" t="s">
        <v>43</v>
      </c>
      <c r="D45" s="150" t="s">
        <v>77</v>
      </c>
      <c r="E45" s="211">
        <f>'Mkting &amp; Recruit Costs_assump'!E105</f>
        <v>0</v>
      </c>
      <c r="F45" s="210">
        <f t="shared" ref="F45" si="42">E45</f>
        <v>0</v>
      </c>
    </row>
    <row r="46" spans="1:6" x14ac:dyDescent="0.25">
      <c r="A46" s="150" t="s">
        <v>13</v>
      </c>
      <c r="B46" s="155" t="s">
        <v>93</v>
      </c>
      <c r="C46" s="155" t="s">
        <v>43</v>
      </c>
      <c r="D46" s="150" t="s">
        <v>77</v>
      </c>
      <c r="E46" s="211">
        <f>'Mkting &amp; Recruit Costs_assump'!E106</f>
        <v>0</v>
      </c>
      <c r="F46" s="210">
        <f t="shared" ref="F46" si="43">E46</f>
        <v>0</v>
      </c>
    </row>
    <row r="47" spans="1:6" x14ac:dyDescent="0.25">
      <c r="A47" s="150" t="s">
        <v>13</v>
      </c>
      <c r="B47" s="155" t="s">
        <v>92</v>
      </c>
      <c r="C47" s="155" t="s">
        <v>43</v>
      </c>
      <c r="D47" s="150" t="s">
        <v>77</v>
      </c>
      <c r="E47" s="211">
        <f>'Mkting &amp; Recruit Costs_assump'!E107</f>
        <v>0</v>
      </c>
      <c r="F47" s="210">
        <f t="shared" ref="F47" si="44">E47</f>
        <v>0</v>
      </c>
    </row>
    <row r="48" spans="1:6" x14ac:dyDescent="0.25">
      <c r="A48" s="150" t="s">
        <v>13</v>
      </c>
      <c r="B48" s="155" t="s">
        <v>94</v>
      </c>
      <c r="C48" s="155" t="s">
        <v>43</v>
      </c>
      <c r="D48" s="150" t="s">
        <v>77</v>
      </c>
      <c r="E48" s="211">
        <f>'Mkting &amp; Recruit Costs_assump'!E108</f>
        <v>0</v>
      </c>
      <c r="F48" s="210">
        <f t="shared" ref="F48" si="45">E48</f>
        <v>0</v>
      </c>
    </row>
    <row r="49" spans="1:6" x14ac:dyDescent="0.25">
      <c r="A49" s="150" t="s">
        <v>13</v>
      </c>
      <c r="B49" s="155" t="s">
        <v>89</v>
      </c>
      <c r="C49" s="155" t="s">
        <v>44</v>
      </c>
      <c r="D49" s="150" t="s">
        <v>77</v>
      </c>
      <c r="E49" s="211">
        <f>'Mkting &amp; Recruit Costs_assump'!E109</f>
        <v>0</v>
      </c>
      <c r="F49" s="210">
        <f t="shared" ref="F49" si="46">E49</f>
        <v>0</v>
      </c>
    </row>
    <row r="50" spans="1:6" x14ac:dyDescent="0.25">
      <c r="A50" s="150" t="s">
        <v>13</v>
      </c>
      <c r="B50" s="155" t="s">
        <v>90</v>
      </c>
      <c r="C50" s="155" t="s">
        <v>44</v>
      </c>
      <c r="D50" s="150" t="s">
        <v>77</v>
      </c>
      <c r="E50" s="211">
        <f>'Mkting &amp; Recruit Costs_assump'!E110</f>
        <v>0</v>
      </c>
      <c r="F50" s="210">
        <f t="shared" ref="F50" si="47">E50</f>
        <v>0</v>
      </c>
    </row>
    <row r="51" spans="1:6" x14ac:dyDescent="0.25">
      <c r="A51" s="150" t="s">
        <v>13</v>
      </c>
      <c r="B51" s="155" t="s">
        <v>91</v>
      </c>
      <c r="C51" s="155" t="s">
        <v>44</v>
      </c>
      <c r="D51" s="150" t="s">
        <v>77</v>
      </c>
      <c r="E51" s="211">
        <f>'Mkting &amp; Recruit Costs_assump'!E111</f>
        <v>0</v>
      </c>
      <c r="F51" s="210">
        <f t="shared" ref="F51" si="48">E51</f>
        <v>0</v>
      </c>
    </row>
    <row r="52" spans="1:6" x14ac:dyDescent="0.25">
      <c r="A52" s="150" t="s">
        <v>13</v>
      </c>
      <c r="B52" s="155" t="s">
        <v>92</v>
      </c>
      <c r="C52" s="155" t="s">
        <v>44</v>
      </c>
      <c r="D52" s="150" t="s">
        <v>77</v>
      </c>
      <c r="E52" s="211">
        <f>'Mkting &amp; Recruit Costs_assump'!E112</f>
        <v>0</v>
      </c>
      <c r="F52" s="210">
        <f t="shared" ref="F52" si="49">E52</f>
        <v>0</v>
      </c>
    </row>
    <row r="53" spans="1:6" x14ac:dyDescent="0.25">
      <c r="A53" s="150" t="s">
        <v>13</v>
      </c>
      <c r="B53" s="155" t="s">
        <v>93</v>
      </c>
      <c r="C53" s="155" t="s">
        <v>44</v>
      </c>
      <c r="D53" s="150" t="s">
        <v>77</v>
      </c>
      <c r="E53" s="211">
        <f>'Mkting &amp; Recruit Costs_assump'!E113</f>
        <v>0</v>
      </c>
      <c r="F53" s="210">
        <f t="shared" ref="F53" si="50">E53</f>
        <v>0</v>
      </c>
    </row>
    <row r="54" spans="1:6" x14ac:dyDescent="0.25">
      <c r="A54" s="150" t="s">
        <v>13</v>
      </c>
      <c r="B54" s="155" t="s">
        <v>92</v>
      </c>
      <c r="C54" s="155" t="s">
        <v>44</v>
      </c>
      <c r="D54" s="150" t="s">
        <v>77</v>
      </c>
      <c r="E54" s="211">
        <f>'Mkting &amp; Recruit Costs_assump'!E114</f>
        <v>0</v>
      </c>
      <c r="F54" s="210">
        <f t="shared" ref="F54" si="51">E54</f>
        <v>0</v>
      </c>
    </row>
    <row r="55" spans="1:6" x14ac:dyDescent="0.25">
      <c r="A55" s="150" t="s">
        <v>13</v>
      </c>
      <c r="B55" s="155" t="s">
        <v>94</v>
      </c>
      <c r="C55" s="155" t="s">
        <v>44</v>
      </c>
      <c r="D55" s="150" t="s">
        <v>77</v>
      </c>
      <c r="E55" s="211">
        <f>'Mkting &amp; Recruit Costs_assump'!E115</f>
        <v>0</v>
      </c>
      <c r="F55" s="210">
        <f t="shared" ref="F55" si="52">E55</f>
        <v>0</v>
      </c>
    </row>
    <row r="56" spans="1:6" x14ac:dyDescent="0.25">
      <c r="A56" s="150" t="s">
        <v>13</v>
      </c>
      <c r="B56" s="155" t="s">
        <v>95</v>
      </c>
      <c r="C56" s="155" t="s">
        <v>41</v>
      </c>
      <c r="D56" s="150" t="str">
        <f t="shared" ref="D56:D60" si="53">D35</f>
        <v>$/new participant</v>
      </c>
      <c r="E56" s="211">
        <f>'Mkting &amp; Recruit Costs_assump'!E241</f>
        <v>150</v>
      </c>
      <c r="F56" s="211">
        <f t="shared" ref="F56" si="54">E56</f>
        <v>150</v>
      </c>
    </row>
    <row r="57" spans="1:6" x14ac:dyDescent="0.25">
      <c r="A57" s="150" t="s">
        <v>13</v>
      </c>
      <c r="B57" s="155" t="s">
        <v>96</v>
      </c>
      <c r="C57" s="155" t="s">
        <v>41</v>
      </c>
      <c r="D57" s="150" t="str">
        <f t="shared" si="53"/>
        <v>$/new participant</v>
      </c>
      <c r="E57" s="211">
        <f>'Mkting &amp; Recruit Costs_assump'!E242</f>
        <v>150</v>
      </c>
      <c r="F57" s="211">
        <f t="shared" ref="F57" si="55">E57</f>
        <v>150</v>
      </c>
    </row>
    <row r="58" spans="1:6" x14ac:dyDescent="0.25">
      <c r="A58" s="150" t="s">
        <v>13</v>
      </c>
      <c r="B58" s="155" t="s">
        <v>97</v>
      </c>
      <c r="C58" s="155" t="s">
        <v>41</v>
      </c>
      <c r="D58" s="150" t="str">
        <f t="shared" si="53"/>
        <v>$/new participant</v>
      </c>
      <c r="E58" s="211">
        <f>'Mkting &amp; Recruit Costs_assump'!E243</f>
        <v>150</v>
      </c>
      <c r="F58" s="211">
        <f t="shared" ref="F58" si="56">E58</f>
        <v>150</v>
      </c>
    </row>
    <row r="59" spans="1:6" x14ac:dyDescent="0.25">
      <c r="A59" s="150" t="s">
        <v>13</v>
      </c>
      <c r="B59" s="155" t="s">
        <v>98</v>
      </c>
      <c r="C59" s="155" t="s">
        <v>41</v>
      </c>
      <c r="D59" s="150" t="str">
        <f t="shared" si="53"/>
        <v>$/new participant</v>
      </c>
      <c r="E59" s="211">
        <f>'Mkting &amp; Recruit Costs_assump'!E244</f>
        <v>150</v>
      </c>
      <c r="F59" s="211">
        <f t="shared" ref="F59" si="57">E59</f>
        <v>150</v>
      </c>
    </row>
    <row r="60" spans="1:6" x14ac:dyDescent="0.25">
      <c r="A60" s="150" t="s">
        <v>13</v>
      </c>
      <c r="B60" s="155" t="s">
        <v>99</v>
      </c>
      <c r="C60" s="155" t="s">
        <v>41</v>
      </c>
      <c r="D60" s="150" t="str">
        <f t="shared" si="53"/>
        <v>$/new participant</v>
      </c>
      <c r="E60" s="211">
        <f>'Mkting &amp; Recruit Costs_assump'!E245</f>
        <v>150</v>
      </c>
      <c r="F60" s="211">
        <f t="shared" ref="F60" si="58">E60</f>
        <v>150</v>
      </c>
    </row>
    <row r="61" spans="1:6" x14ac:dyDescent="0.25">
      <c r="A61" s="150" t="s">
        <v>13</v>
      </c>
      <c r="B61" s="155" t="s">
        <v>100</v>
      </c>
      <c r="C61" s="155" t="s">
        <v>41</v>
      </c>
      <c r="D61" s="150" t="str">
        <f t="shared" ref="D61:D66" si="59">D41</f>
        <v>$/new participant</v>
      </c>
      <c r="E61" s="211">
        <f>'Mkting &amp; Recruit Costs_assump'!E247</f>
        <v>150</v>
      </c>
      <c r="F61" s="211">
        <f t="shared" ref="F61" si="60">E61</f>
        <v>150</v>
      </c>
    </row>
    <row r="62" spans="1:6" x14ac:dyDescent="0.25">
      <c r="A62" s="150" t="s">
        <v>13</v>
      </c>
      <c r="B62" s="155" t="s">
        <v>95</v>
      </c>
      <c r="C62" s="155" t="s">
        <v>43</v>
      </c>
      <c r="D62" s="150" t="str">
        <f t="shared" si="59"/>
        <v>$/new participant</v>
      </c>
      <c r="E62" s="211">
        <f>'Mkting &amp; Recruit Costs_assump'!E248</f>
        <v>150</v>
      </c>
      <c r="F62" s="211">
        <f t="shared" ref="F62" si="61">E62</f>
        <v>150</v>
      </c>
    </row>
    <row r="63" spans="1:6" x14ac:dyDescent="0.25">
      <c r="A63" s="150" t="s">
        <v>13</v>
      </c>
      <c r="B63" s="155" t="s">
        <v>96</v>
      </c>
      <c r="C63" s="155" t="s">
        <v>43</v>
      </c>
      <c r="D63" s="150" t="str">
        <f t="shared" si="59"/>
        <v>$/new participant</v>
      </c>
      <c r="E63" s="211">
        <f>'Mkting &amp; Recruit Costs_assump'!E249</f>
        <v>150</v>
      </c>
      <c r="F63" s="211">
        <f t="shared" ref="F63" si="62">E63</f>
        <v>150</v>
      </c>
    </row>
    <row r="64" spans="1:6" x14ac:dyDescent="0.25">
      <c r="A64" s="150" t="s">
        <v>13</v>
      </c>
      <c r="B64" s="155" t="s">
        <v>97</v>
      </c>
      <c r="C64" s="155" t="s">
        <v>43</v>
      </c>
      <c r="D64" s="150" t="str">
        <f t="shared" si="59"/>
        <v>$/new participant</v>
      </c>
      <c r="E64" s="211">
        <f>'Mkting &amp; Recruit Costs_assump'!E250</f>
        <v>150</v>
      </c>
      <c r="F64" s="211">
        <f t="shared" ref="F64" si="63">E64</f>
        <v>150</v>
      </c>
    </row>
    <row r="65" spans="1:6" x14ac:dyDescent="0.25">
      <c r="A65" s="150" t="s">
        <v>13</v>
      </c>
      <c r="B65" s="155" t="s">
        <v>98</v>
      </c>
      <c r="C65" s="155" t="s">
        <v>43</v>
      </c>
      <c r="D65" s="150" t="str">
        <f t="shared" si="59"/>
        <v>$/new participant</v>
      </c>
      <c r="E65" s="211">
        <f>'Mkting &amp; Recruit Costs_assump'!E251</f>
        <v>150</v>
      </c>
      <c r="F65" s="211">
        <f t="shared" ref="F65" si="64">E65</f>
        <v>150</v>
      </c>
    </row>
    <row r="66" spans="1:6" x14ac:dyDescent="0.25">
      <c r="A66" s="150" t="s">
        <v>13</v>
      </c>
      <c r="B66" s="155" t="s">
        <v>99</v>
      </c>
      <c r="C66" s="155" t="s">
        <v>43</v>
      </c>
      <c r="D66" s="150" t="str">
        <f t="shared" si="59"/>
        <v>$/new participant</v>
      </c>
      <c r="E66" s="211">
        <f>'Mkting &amp; Recruit Costs_assump'!E252</f>
        <v>150</v>
      </c>
      <c r="F66" s="211">
        <f t="shared" ref="F66" si="65">E66</f>
        <v>150</v>
      </c>
    </row>
    <row r="67" spans="1:6" x14ac:dyDescent="0.25">
      <c r="A67" s="150" t="s">
        <v>13</v>
      </c>
      <c r="B67" s="155" t="s">
        <v>100</v>
      </c>
      <c r="C67" s="155" t="s">
        <v>43</v>
      </c>
      <c r="D67" s="150" t="str">
        <f t="shared" ref="D67:D72" si="66">D48</f>
        <v>$/new participant</v>
      </c>
      <c r="E67" s="211">
        <f>'Mkting &amp; Recruit Costs_assump'!E254</f>
        <v>150</v>
      </c>
      <c r="F67" s="211">
        <f t="shared" ref="F67" si="67">E67</f>
        <v>150</v>
      </c>
    </row>
    <row r="68" spans="1:6" x14ac:dyDescent="0.25">
      <c r="A68" s="150" t="s">
        <v>13</v>
      </c>
      <c r="B68" s="155" t="s">
        <v>95</v>
      </c>
      <c r="C68" s="155" t="s">
        <v>44</v>
      </c>
      <c r="D68" s="150" t="str">
        <f t="shared" si="66"/>
        <v>$/new participant</v>
      </c>
      <c r="E68" s="211">
        <f>'Mkting &amp; Recruit Costs_assump'!E255</f>
        <v>150</v>
      </c>
      <c r="F68" s="211">
        <f t="shared" ref="F68" si="68">E68</f>
        <v>150</v>
      </c>
    </row>
    <row r="69" spans="1:6" x14ac:dyDescent="0.25">
      <c r="A69" s="150" t="s">
        <v>13</v>
      </c>
      <c r="B69" s="155" t="s">
        <v>96</v>
      </c>
      <c r="C69" s="155" t="s">
        <v>44</v>
      </c>
      <c r="D69" s="150" t="str">
        <f t="shared" si="66"/>
        <v>$/new participant</v>
      </c>
      <c r="E69" s="211">
        <f>'Mkting &amp; Recruit Costs_assump'!E256</f>
        <v>150</v>
      </c>
      <c r="F69" s="211">
        <f t="shared" ref="F69" si="69">E69</f>
        <v>150</v>
      </c>
    </row>
    <row r="70" spans="1:6" x14ac:dyDescent="0.25">
      <c r="A70" s="150" t="s">
        <v>13</v>
      </c>
      <c r="B70" s="155" t="s">
        <v>97</v>
      </c>
      <c r="C70" s="155" t="s">
        <v>44</v>
      </c>
      <c r="D70" s="150" t="str">
        <f t="shared" si="66"/>
        <v>$/new participant</v>
      </c>
      <c r="E70" s="211">
        <f>'Mkting &amp; Recruit Costs_assump'!E257</f>
        <v>150</v>
      </c>
      <c r="F70" s="211">
        <f t="shared" ref="F70" si="70">E70</f>
        <v>150</v>
      </c>
    </row>
    <row r="71" spans="1:6" x14ac:dyDescent="0.25">
      <c r="A71" s="150" t="s">
        <v>13</v>
      </c>
      <c r="B71" s="155" t="s">
        <v>98</v>
      </c>
      <c r="C71" s="155" t="s">
        <v>44</v>
      </c>
      <c r="D71" s="150" t="str">
        <f t="shared" si="66"/>
        <v>$/new participant</v>
      </c>
      <c r="E71" s="211">
        <f>'Mkting &amp; Recruit Costs_assump'!E258</f>
        <v>150</v>
      </c>
      <c r="F71" s="211">
        <f t="shared" ref="F71" si="71">E71</f>
        <v>150</v>
      </c>
    </row>
    <row r="72" spans="1:6" x14ac:dyDescent="0.25">
      <c r="A72" s="150" t="s">
        <v>13</v>
      </c>
      <c r="B72" s="155" t="s">
        <v>99</v>
      </c>
      <c r="C72" s="155" t="s">
        <v>44</v>
      </c>
      <c r="D72" s="150" t="str">
        <f t="shared" si="66"/>
        <v>$/new participant</v>
      </c>
      <c r="E72" s="211">
        <f>'Mkting &amp; Recruit Costs_assump'!E259</f>
        <v>150</v>
      </c>
      <c r="F72" s="211">
        <f t="shared" ref="F72" si="72">E72</f>
        <v>150</v>
      </c>
    </row>
    <row r="73" spans="1:6" x14ac:dyDescent="0.25">
      <c r="A73" s="150" t="s">
        <v>13</v>
      </c>
      <c r="B73" s="155" t="s">
        <v>100</v>
      </c>
      <c r="C73" s="155" t="s">
        <v>44</v>
      </c>
      <c r="D73" s="150" t="str">
        <f>D55</f>
        <v>$/new participant</v>
      </c>
      <c r="E73" s="211">
        <f>'Mkting &amp; Recruit Costs_assump'!E261</f>
        <v>150</v>
      </c>
      <c r="F73" s="211">
        <f t="shared" ref="F73" si="73">E73</f>
        <v>150</v>
      </c>
    </row>
    <row r="74" spans="1:6" ht="14.55" customHeight="1" x14ac:dyDescent="0.3">
      <c r="A74" s="150" t="s">
        <v>13</v>
      </c>
      <c r="B74" s="155" t="s">
        <v>101</v>
      </c>
      <c r="C74" s="155" t="s">
        <v>40</v>
      </c>
      <c r="D74" s="207" t="s">
        <v>77</v>
      </c>
      <c r="E74" s="211">
        <f>'Mkting &amp; Recruit Costs_assump'!E116</f>
        <v>50</v>
      </c>
      <c r="F74" s="211">
        <f t="shared" ref="F74" si="74">E74</f>
        <v>50</v>
      </c>
    </row>
    <row r="75" spans="1:6" ht="14.4" x14ac:dyDescent="0.3">
      <c r="A75" s="150" t="s">
        <v>13</v>
      </c>
      <c r="B75" s="155" t="s">
        <v>101</v>
      </c>
      <c r="C75" s="155" t="s">
        <v>41</v>
      </c>
      <c r="D75" s="207" t="s">
        <v>77</v>
      </c>
      <c r="E75" s="211">
        <f>'Mkting &amp; Recruit Costs_assump'!E117</f>
        <v>100</v>
      </c>
      <c r="F75" s="211">
        <f t="shared" ref="F75" si="75">E75</f>
        <v>100</v>
      </c>
    </row>
    <row r="76" spans="1:6" ht="14.4" x14ac:dyDescent="0.3">
      <c r="A76" s="150" t="s">
        <v>13</v>
      </c>
      <c r="B76" s="155" t="s">
        <v>101</v>
      </c>
      <c r="C76" s="155" t="s">
        <v>42</v>
      </c>
      <c r="D76" s="207" t="s">
        <v>77</v>
      </c>
      <c r="E76" s="211">
        <f>'Mkting &amp; Recruit Costs_assump'!E118</f>
        <v>50</v>
      </c>
      <c r="F76" s="211">
        <f t="shared" ref="F76" si="76">E76</f>
        <v>50</v>
      </c>
    </row>
    <row r="77" spans="1:6" ht="14.4" x14ac:dyDescent="0.3">
      <c r="A77" s="150" t="s">
        <v>13</v>
      </c>
      <c r="B77" s="155" t="s">
        <v>101</v>
      </c>
      <c r="C77" s="155" t="s">
        <v>43</v>
      </c>
      <c r="D77" s="207" t="s">
        <v>77</v>
      </c>
      <c r="E77" s="211">
        <f>'Mkting &amp; Recruit Costs_assump'!E119</f>
        <v>100</v>
      </c>
      <c r="F77" s="211">
        <f t="shared" ref="F77" si="77">E77</f>
        <v>100</v>
      </c>
    </row>
    <row r="78" spans="1:6" ht="14.4" x14ac:dyDescent="0.3">
      <c r="A78" s="150" t="s">
        <v>13</v>
      </c>
      <c r="B78" s="155" t="s">
        <v>101</v>
      </c>
      <c r="C78" s="155" t="s">
        <v>44</v>
      </c>
      <c r="D78" s="207" t="s">
        <v>77</v>
      </c>
      <c r="E78" s="211">
        <f>'Mkting &amp; Recruit Costs_assump'!E120</f>
        <v>100</v>
      </c>
      <c r="F78" s="211">
        <f t="shared" ref="F78" si="78">E78</f>
        <v>100</v>
      </c>
    </row>
    <row r="79" spans="1:6" ht="14.4" x14ac:dyDescent="0.3">
      <c r="A79" s="150" t="s">
        <v>13</v>
      </c>
      <c r="B79" s="155" t="s">
        <v>101</v>
      </c>
      <c r="C79" s="155" t="s">
        <v>45</v>
      </c>
      <c r="D79" s="207" t="s">
        <v>77</v>
      </c>
      <c r="E79" s="211">
        <f>'Mkting &amp; Recruit Costs_assump'!E121</f>
        <v>25</v>
      </c>
      <c r="F79" s="211">
        <f t="shared" ref="F79" si="79">E79</f>
        <v>25</v>
      </c>
    </row>
    <row r="80" spans="1:6" ht="14.4" x14ac:dyDescent="0.3">
      <c r="A80" s="150" t="s">
        <v>13</v>
      </c>
      <c r="B80" s="155" t="s">
        <v>102</v>
      </c>
      <c r="C80" s="155" t="s">
        <v>40</v>
      </c>
      <c r="D80" s="207" t="s">
        <v>77</v>
      </c>
      <c r="E80" s="211">
        <f>'Mkting &amp; Recruit Costs_assump'!E122</f>
        <v>0</v>
      </c>
      <c r="F80" s="211">
        <f t="shared" ref="F80" si="80">E80</f>
        <v>0</v>
      </c>
    </row>
    <row r="81" spans="1:6" ht="14.4" x14ac:dyDescent="0.3">
      <c r="A81" s="150" t="s">
        <v>13</v>
      </c>
      <c r="B81" s="155" t="s">
        <v>102</v>
      </c>
      <c r="C81" s="155" t="s">
        <v>41</v>
      </c>
      <c r="D81" s="207" t="s">
        <v>77</v>
      </c>
      <c r="E81" s="211">
        <f>'Mkting &amp; Recruit Costs_assump'!E123</f>
        <v>0</v>
      </c>
      <c r="F81" s="211">
        <f t="shared" ref="F81" si="81">E81</f>
        <v>0</v>
      </c>
    </row>
    <row r="82" spans="1:6" ht="14.4" x14ac:dyDescent="0.3">
      <c r="A82" s="150" t="s">
        <v>13</v>
      </c>
      <c r="B82" s="155" t="s">
        <v>102</v>
      </c>
      <c r="C82" s="155" t="s">
        <v>42</v>
      </c>
      <c r="D82" s="207" t="s">
        <v>77</v>
      </c>
      <c r="E82" s="211">
        <f>'Mkting &amp; Recruit Costs_assump'!E124</f>
        <v>0</v>
      </c>
      <c r="F82" s="211">
        <f t="shared" ref="F82" si="82">E82</f>
        <v>0</v>
      </c>
    </row>
    <row r="83" spans="1:6" ht="14.4" x14ac:dyDescent="0.3">
      <c r="A83" s="150" t="s">
        <v>13</v>
      </c>
      <c r="B83" s="155" t="s">
        <v>102</v>
      </c>
      <c r="C83" s="155" t="s">
        <v>43</v>
      </c>
      <c r="D83" s="207" t="s">
        <v>77</v>
      </c>
      <c r="E83" s="211">
        <f>'Mkting &amp; Recruit Costs_assump'!E125</f>
        <v>0</v>
      </c>
      <c r="F83" s="211">
        <f t="shared" ref="F83" si="83">E83</f>
        <v>0</v>
      </c>
    </row>
    <row r="84" spans="1:6" ht="14.4" x14ac:dyDescent="0.3">
      <c r="A84" s="150" t="s">
        <v>13</v>
      </c>
      <c r="B84" s="155" t="s">
        <v>102</v>
      </c>
      <c r="C84" s="155" t="s">
        <v>44</v>
      </c>
      <c r="D84" s="207" t="s">
        <v>77</v>
      </c>
      <c r="E84" s="211">
        <f>'Mkting &amp; Recruit Costs_assump'!E126</f>
        <v>0</v>
      </c>
      <c r="F84" s="211">
        <f t="shared" ref="F84" si="84">E84</f>
        <v>0</v>
      </c>
    </row>
    <row r="85" spans="1:6" ht="14.4" x14ac:dyDescent="0.3">
      <c r="A85" s="150" t="s">
        <v>13</v>
      </c>
      <c r="B85" s="155" t="s">
        <v>102</v>
      </c>
      <c r="C85" s="155" t="s">
        <v>45</v>
      </c>
      <c r="D85" s="207" t="s">
        <v>77</v>
      </c>
      <c r="E85" s="211">
        <f>'Mkting &amp; Recruit Costs_assump'!E127</f>
        <v>0</v>
      </c>
      <c r="F85" s="211">
        <f t="shared" ref="F85" si="85">E85</f>
        <v>0</v>
      </c>
    </row>
    <row r="86" spans="1:6" ht="14.4" x14ac:dyDescent="0.3">
      <c r="A86" s="150" t="s">
        <v>13</v>
      </c>
      <c r="B86" s="155" t="s">
        <v>56</v>
      </c>
      <c r="C86" s="155" t="s">
        <v>40</v>
      </c>
      <c r="D86" s="207" t="s">
        <v>77</v>
      </c>
      <c r="E86" s="211">
        <f>'Mkting &amp; Recruit Costs_assump'!E128</f>
        <v>0</v>
      </c>
      <c r="F86" s="211">
        <f t="shared" ref="F86" si="86">E86</f>
        <v>0</v>
      </c>
    </row>
    <row r="87" spans="1:6" ht="14.4" x14ac:dyDescent="0.3">
      <c r="A87" s="150" t="s">
        <v>13</v>
      </c>
      <c r="B87" s="155" t="s">
        <v>56</v>
      </c>
      <c r="C87" s="155" t="s">
        <v>41</v>
      </c>
      <c r="D87" s="207" t="s">
        <v>77</v>
      </c>
      <c r="E87" s="211">
        <f>'Mkting &amp; Recruit Costs_assump'!E129</f>
        <v>0</v>
      </c>
      <c r="F87" s="211">
        <f t="shared" ref="F87" si="87">E87</f>
        <v>0</v>
      </c>
    </row>
    <row r="88" spans="1:6" ht="14.4" x14ac:dyDescent="0.3">
      <c r="A88" s="150" t="s">
        <v>13</v>
      </c>
      <c r="B88" s="155" t="s">
        <v>56</v>
      </c>
      <c r="C88" s="155" t="s">
        <v>42</v>
      </c>
      <c r="D88" s="207" t="s">
        <v>77</v>
      </c>
      <c r="E88" s="211">
        <f>'Mkting &amp; Recruit Costs_assump'!E130</f>
        <v>0</v>
      </c>
      <c r="F88" s="211">
        <f t="shared" ref="F88" si="88">E88</f>
        <v>0</v>
      </c>
    </row>
    <row r="89" spans="1:6" ht="14.4" x14ac:dyDescent="0.3">
      <c r="A89" s="150" t="s">
        <v>13</v>
      </c>
      <c r="B89" s="155" t="s">
        <v>56</v>
      </c>
      <c r="C89" s="155" t="s">
        <v>43</v>
      </c>
      <c r="D89" s="207" t="s">
        <v>77</v>
      </c>
      <c r="E89" s="211">
        <f>'Mkting &amp; Recruit Costs_assump'!E131</f>
        <v>0</v>
      </c>
      <c r="F89" s="211">
        <f t="shared" ref="F89" si="89">E89</f>
        <v>0</v>
      </c>
    </row>
    <row r="90" spans="1:6" ht="14.4" x14ac:dyDescent="0.3">
      <c r="A90" s="150" t="s">
        <v>13</v>
      </c>
      <c r="B90" s="155" t="s">
        <v>56</v>
      </c>
      <c r="C90" s="155" t="s">
        <v>44</v>
      </c>
      <c r="D90" s="207" t="s">
        <v>77</v>
      </c>
      <c r="E90" s="211">
        <f>'Mkting &amp; Recruit Costs_assump'!E132</f>
        <v>0</v>
      </c>
      <c r="F90" s="211">
        <f t="shared" ref="F90" si="90">E90</f>
        <v>0</v>
      </c>
    </row>
    <row r="91" spans="1:6" ht="14.4" x14ac:dyDescent="0.3">
      <c r="A91" s="150" t="s">
        <v>13</v>
      </c>
      <c r="B91" s="155" t="s">
        <v>56</v>
      </c>
      <c r="C91" s="155" t="s">
        <v>45</v>
      </c>
      <c r="D91" s="207" t="s">
        <v>77</v>
      </c>
      <c r="E91" s="211">
        <f>'Mkting &amp; Recruit Costs_assump'!E133</f>
        <v>0</v>
      </c>
      <c r="F91" s="211">
        <f t="shared" ref="F91" si="91">E91</f>
        <v>0</v>
      </c>
    </row>
    <row r="92" spans="1:6" x14ac:dyDescent="0.25">
      <c r="A92" s="150" t="s">
        <v>13</v>
      </c>
      <c r="B92" s="155" t="s">
        <v>55</v>
      </c>
      <c r="C92" s="155" t="s">
        <v>46</v>
      </c>
      <c r="D92" s="150" t="s">
        <v>77</v>
      </c>
      <c r="E92" s="211">
        <f>'Mkting &amp; Recruit Costs_assump'!E134</f>
        <v>37.5</v>
      </c>
      <c r="F92" s="211">
        <f t="shared" ref="F92" si="92">E92</f>
        <v>37.5</v>
      </c>
    </row>
    <row r="93" spans="1:6" x14ac:dyDescent="0.25">
      <c r="A93" s="150" t="s">
        <v>13</v>
      </c>
      <c r="B93" s="155" t="s">
        <v>54</v>
      </c>
      <c r="C93" s="155" t="s">
        <v>45</v>
      </c>
      <c r="D93" s="150" t="s">
        <v>77</v>
      </c>
      <c r="E93" s="211">
        <f>'Mkting &amp; Recruit Costs_assump'!E135</f>
        <v>37.5</v>
      </c>
      <c r="F93" s="211">
        <f t="shared" ref="F93" si="93">E93</f>
        <v>37.5</v>
      </c>
    </row>
    <row r="94" spans="1:6" x14ac:dyDescent="0.25">
      <c r="A94" s="150" t="s">
        <v>20</v>
      </c>
      <c r="B94" s="155" t="s">
        <v>80</v>
      </c>
      <c r="C94" s="155" t="s">
        <v>45</v>
      </c>
      <c r="D94" s="150" t="s">
        <v>77</v>
      </c>
      <c r="E94" s="211">
        <f>'Mkting &amp; Recruit Costs_assump'!E136</f>
        <v>1.25</v>
      </c>
      <c r="F94" s="211">
        <f t="shared" ref="F94" si="94">E94</f>
        <v>1.25</v>
      </c>
    </row>
    <row r="95" spans="1:6" x14ac:dyDescent="0.25">
      <c r="A95" s="150" t="s">
        <v>20</v>
      </c>
      <c r="B95" s="155" t="s">
        <v>81</v>
      </c>
      <c r="C95" s="155" t="s">
        <v>45</v>
      </c>
      <c r="D95" s="150" t="s">
        <v>77</v>
      </c>
      <c r="E95" s="211">
        <f>'Mkting &amp; Recruit Costs_assump'!E137</f>
        <v>1.25</v>
      </c>
      <c r="F95" s="211">
        <f t="shared" ref="F95" si="95">E95</f>
        <v>1.25</v>
      </c>
    </row>
    <row r="96" spans="1:6" ht="14.55" customHeight="1" x14ac:dyDescent="0.25">
      <c r="A96" s="150" t="s">
        <v>20</v>
      </c>
      <c r="B96" s="155" t="s">
        <v>82</v>
      </c>
      <c r="C96" s="155" t="s">
        <v>45</v>
      </c>
      <c r="D96" s="150" t="s">
        <v>77</v>
      </c>
      <c r="E96" s="211">
        <f>'Mkting &amp; Recruit Costs_assump'!E138</f>
        <v>6.25</v>
      </c>
      <c r="F96" s="211">
        <f t="shared" ref="F96" si="96">E96</f>
        <v>6.25</v>
      </c>
    </row>
    <row r="97" spans="1:6" x14ac:dyDescent="0.25">
      <c r="A97" s="150" t="s">
        <v>20</v>
      </c>
      <c r="B97" s="155" t="s">
        <v>83</v>
      </c>
      <c r="C97" s="155" t="s">
        <v>45</v>
      </c>
      <c r="D97" s="150" t="s">
        <v>77</v>
      </c>
      <c r="E97" s="211">
        <f>'Mkting &amp; Recruit Costs_assump'!E139</f>
        <v>6.25</v>
      </c>
      <c r="F97" s="211">
        <f t="shared" ref="F97" si="97">E97</f>
        <v>6.25</v>
      </c>
    </row>
    <row r="98" spans="1:6" x14ac:dyDescent="0.25">
      <c r="A98" s="150" t="s">
        <v>20</v>
      </c>
      <c r="B98" s="155" t="s">
        <v>84</v>
      </c>
      <c r="C98" s="155" t="s">
        <v>45</v>
      </c>
      <c r="D98" s="150" t="s">
        <v>77</v>
      </c>
      <c r="E98" s="211">
        <f>'Mkting &amp; Recruit Costs_assump'!E140</f>
        <v>1.25</v>
      </c>
      <c r="F98" s="211">
        <f t="shared" ref="F98" si="98">E98</f>
        <v>1.25</v>
      </c>
    </row>
    <row r="99" spans="1:6" x14ac:dyDescent="0.25">
      <c r="A99" s="150" t="s">
        <v>20</v>
      </c>
      <c r="B99" s="155" t="s">
        <v>85</v>
      </c>
      <c r="C99" s="155" t="s">
        <v>45</v>
      </c>
      <c r="D99" s="150" t="s">
        <v>77</v>
      </c>
      <c r="E99" s="211">
        <f>'Mkting &amp; Recruit Costs_assump'!E141</f>
        <v>1.25</v>
      </c>
      <c r="F99" s="211">
        <f t="shared" ref="F99" si="99">E99</f>
        <v>1.25</v>
      </c>
    </row>
    <row r="100" spans="1:6" x14ac:dyDescent="0.25">
      <c r="A100" s="150" t="s">
        <v>20</v>
      </c>
      <c r="B100" s="155" t="s">
        <v>86</v>
      </c>
      <c r="C100" s="155" t="s">
        <v>45</v>
      </c>
      <c r="D100" s="150" t="s">
        <v>77</v>
      </c>
      <c r="E100" s="211">
        <f>'Mkting &amp; Recruit Costs_assump'!E142</f>
        <v>1.25</v>
      </c>
      <c r="F100" s="211">
        <f t="shared" ref="F100" si="100">E100</f>
        <v>1.25</v>
      </c>
    </row>
    <row r="101" spans="1:6" x14ac:dyDescent="0.25">
      <c r="A101" s="150" t="s">
        <v>20</v>
      </c>
      <c r="B101" s="155" t="s">
        <v>87</v>
      </c>
      <c r="C101" s="155" t="s">
        <v>45</v>
      </c>
      <c r="D101" s="150" t="s">
        <v>77</v>
      </c>
      <c r="E101" s="211">
        <f>'Mkting &amp; Recruit Costs_assump'!E143</f>
        <v>1.25</v>
      </c>
      <c r="F101" s="211">
        <f t="shared" ref="F101" si="101">E101</f>
        <v>1.25</v>
      </c>
    </row>
    <row r="102" spans="1:6" x14ac:dyDescent="0.25">
      <c r="A102" s="150" t="s">
        <v>20</v>
      </c>
      <c r="B102" s="155" t="s">
        <v>80</v>
      </c>
      <c r="C102" s="155" t="s">
        <v>40</v>
      </c>
      <c r="D102" s="150" t="s">
        <v>77</v>
      </c>
      <c r="E102" s="211">
        <f>'Mkting &amp; Recruit Costs_assump'!E144</f>
        <v>2.5</v>
      </c>
      <c r="F102" s="211">
        <f t="shared" ref="F102" si="102">E102</f>
        <v>2.5</v>
      </c>
    </row>
    <row r="103" spans="1:6" x14ac:dyDescent="0.25">
      <c r="A103" s="150" t="s">
        <v>20</v>
      </c>
      <c r="B103" s="155" t="s">
        <v>80</v>
      </c>
      <c r="C103" s="155" t="s">
        <v>42</v>
      </c>
      <c r="D103" s="150" t="s">
        <v>77</v>
      </c>
      <c r="E103" s="211">
        <f>'Mkting &amp; Recruit Costs_assump'!E145</f>
        <v>2.5</v>
      </c>
      <c r="F103" s="211">
        <f t="shared" ref="F103" si="103">E103</f>
        <v>2.5</v>
      </c>
    </row>
    <row r="104" spans="1:6" x14ac:dyDescent="0.25">
      <c r="A104" s="150" t="s">
        <v>20</v>
      </c>
      <c r="B104" s="155" t="s">
        <v>81</v>
      </c>
      <c r="C104" s="155" t="s">
        <v>40</v>
      </c>
      <c r="D104" s="150" t="s">
        <v>77</v>
      </c>
      <c r="E104" s="211">
        <f>'Mkting &amp; Recruit Costs_assump'!E146</f>
        <v>2.5</v>
      </c>
      <c r="F104" s="211">
        <f t="shared" ref="F104" si="104">E104</f>
        <v>2.5</v>
      </c>
    </row>
    <row r="105" spans="1:6" x14ac:dyDescent="0.25">
      <c r="A105" s="150" t="s">
        <v>20</v>
      </c>
      <c r="B105" s="155" t="s">
        <v>81</v>
      </c>
      <c r="C105" s="155" t="s">
        <v>42</v>
      </c>
      <c r="D105" s="150" t="s">
        <v>77</v>
      </c>
      <c r="E105" s="211">
        <f>'Mkting &amp; Recruit Costs_assump'!E147</f>
        <v>2.5</v>
      </c>
      <c r="F105" s="211">
        <f t="shared" ref="F105" si="105">E105</f>
        <v>2.5</v>
      </c>
    </row>
    <row r="106" spans="1:6" x14ac:dyDescent="0.25">
      <c r="A106" s="150" t="s">
        <v>20</v>
      </c>
      <c r="B106" s="155" t="s">
        <v>88</v>
      </c>
      <c r="C106" s="155" t="s">
        <v>40</v>
      </c>
      <c r="D106" s="150" t="s">
        <v>77</v>
      </c>
      <c r="E106" s="211">
        <f>'Mkting &amp; Recruit Costs_assump'!E148</f>
        <v>12.5</v>
      </c>
      <c r="F106" s="211">
        <f t="shared" ref="F106" si="106">E106</f>
        <v>12.5</v>
      </c>
    </row>
    <row r="107" spans="1:6" x14ac:dyDescent="0.25">
      <c r="A107" s="150" t="s">
        <v>20</v>
      </c>
      <c r="B107" s="155" t="s">
        <v>88</v>
      </c>
      <c r="C107" s="155" t="s">
        <v>42</v>
      </c>
      <c r="D107" s="150" t="s">
        <v>77</v>
      </c>
      <c r="E107" s="211">
        <f>'Mkting &amp; Recruit Costs_assump'!E149</f>
        <v>12.5</v>
      </c>
      <c r="F107" s="211">
        <f t="shared" ref="F107" si="107">E107</f>
        <v>12.5</v>
      </c>
    </row>
    <row r="108" spans="1:6" x14ac:dyDescent="0.25">
      <c r="A108" s="150" t="s">
        <v>20</v>
      </c>
      <c r="B108" s="155" t="s">
        <v>54</v>
      </c>
      <c r="C108" s="155" t="s">
        <v>40</v>
      </c>
      <c r="D108" s="150" t="s">
        <v>77</v>
      </c>
      <c r="E108" s="211">
        <f>'Mkting &amp; Recruit Costs_assump'!E150</f>
        <v>25</v>
      </c>
      <c r="F108" s="211">
        <f t="shared" ref="F108" si="108">E108</f>
        <v>25</v>
      </c>
    </row>
    <row r="109" spans="1:6" ht="14.55" customHeight="1" x14ac:dyDescent="0.25">
      <c r="A109" s="150" t="s">
        <v>20</v>
      </c>
      <c r="B109" s="155" t="s">
        <v>54</v>
      </c>
      <c r="C109" s="155" t="s">
        <v>41</v>
      </c>
      <c r="D109" s="150" t="s">
        <v>77</v>
      </c>
      <c r="E109" s="211">
        <f>'Mkting &amp; Recruit Costs_assump'!E151</f>
        <v>50</v>
      </c>
      <c r="F109" s="211">
        <f t="shared" ref="F109" si="109">E109</f>
        <v>50</v>
      </c>
    </row>
    <row r="110" spans="1:6" x14ac:dyDescent="0.25">
      <c r="A110" s="150" t="s">
        <v>20</v>
      </c>
      <c r="B110" s="155" t="s">
        <v>54</v>
      </c>
      <c r="C110" s="155" t="s">
        <v>42</v>
      </c>
      <c r="D110" s="150" t="s">
        <v>77</v>
      </c>
      <c r="E110" s="211">
        <f>'Mkting &amp; Recruit Costs_assump'!E152</f>
        <v>25</v>
      </c>
      <c r="F110" s="211">
        <f t="shared" ref="F110" si="110">E110</f>
        <v>25</v>
      </c>
    </row>
    <row r="111" spans="1:6" x14ac:dyDescent="0.25">
      <c r="A111" s="150" t="s">
        <v>20</v>
      </c>
      <c r="B111" s="155" t="s">
        <v>54</v>
      </c>
      <c r="C111" s="155" t="s">
        <v>43</v>
      </c>
      <c r="D111" s="150" t="s">
        <v>77</v>
      </c>
      <c r="E111" s="211">
        <f>'Mkting &amp; Recruit Costs_assump'!E153</f>
        <v>50</v>
      </c>
      <c r="F111" s="211">
        <f t="shared" ref="F111" si="111">E111</f>
        <v>50</v>
      </c>
    </row>
    <row r="112" spans="1:6" x14ac:dyDescent="0.25">
      <c r="A112" s="150" t="s">
        <v>20</v>
      </c>
      <c r="B112" s="155" t="s">
        <v>54</v>
      </c>
      <c r="C112" s="155" t="s">
        <v>44</v>
      </c>
      <c r="D112" s="150" t="s">
        <v>77</v>
      </c>
      <c r="E112" s="211">
        <f>'Mkting &amp; Recruit Costs_assump'!E154</f>
        <v>50</v>
      </c>
      <c r="F112" s="211">
        <f t="shared" ref="F112" si="112">E112</f>
        <v>50</v>
      </c>
    </row>
    <row r="113" spans="1:6" x14ac:dyDescent="0.25">
      <c r="A113" s="150" t="s">
        <v>20</v>
      </c>
      <c r="B113" s="155" t="str">
        <f>'Mkting &amp; Recruit Costs_assump'!B155</f>
        <v>C&amp;I Curtailment-Turnkey-Manual HVAC Control</v>
      </c>
      <c r="C113" s="155" t="str">
        <f>'Mkting &amp; Recruit Costs_assump'!C155</f>
        <v>Large Commercial</v>
      </c>
      <c r="D113" s="155" t="str">
        <f>'Mkting &amp; Recruit Costs_assump'!D155</f>
        <v>$/new participant</v>
      </c>
      <c r="E113" s="211">
        <f>'Mkting &amp; Recruit Costs_assump'!E155</f>
        <v>200</v>
      </c>
      <c r="F113" s="211">
        <f t="shared" ref="F113" si="113">E113</f>
        <v>200</v>
      </c>
    </row>
    <row r="114" spans="1:6" x14ac:dyDescent="0.25">
      <c r="A114" s="150" t="s">
        <v>20</v>
      </c>
      <c r="B114" s="155" t="str">
        <f>'Mkting &amp; Recruit Costs_assump'!B156</f>
        <v>C&amp;I Curtailment-Turnkey-Auto-DR HVAC Control</v>
      </c>
      <c r="C114" s="155" t="str">
        <f>'Mkting &amp; Recruit Costs_assump'!C156</f>
        <v>Large Commercial</v>
      </c>
      <c r="D114" s="155" t="str">
        <f>'Mkting &amp; Recruit Costs_assump'!D156</f>
        <v>$/new participant</v>
      </c>
      <c r="E114" s="211">
        <f>'Mkting &amp; Recruit Costs_assump'!E156</f>
        <v>200</v>
      </c>
      <c r="F114" s="211">
        <f t="shared" ref="F114" si="114">E114</f>
        <v>200</v>
      </c>
    </row>
    <row r="115" spans="1:6" x14ac:dyDescent="0.25">
      <c r="A115" s="150" t="s">
        <v>20</v>
      </c>
      <c r="B115" s="155" t="str">
        <f>'Mkting &amp; Recruit Costs_assump'!B157</f>
        <v>C&amp;I Curtailment-Turnkey-Standard Lighting Control</v>
      </c>
      <c r="C115" s="155" t="str">
        <f>'Mkting &amp; Recruit Costs_assump'!C157</f>
        <v>Large Commercial</v>
      </c>
      <c r="D115" s="155" t="str">
        <f>'Mkting &amp; Recruit Costs_assump'!D157</f>
        <v>$/new participant</v>
      </c>
      <c r="E115" s="211">
        <f>'Mkting &amp; Recruit Costs_assump'!E157</f>
        <v>200</v>
      </c>
      <c r="F115" s="211">
        <f t="shared" ref="F115" si="115">E115</f>
        <v>200</v>
      </c>
    </row>
    <row r="116" spans="1:6" x14ac:dyDescent="0.25">
      <c r="A116" s="150" t="s">
        <v>20</v>
      </c>
      <c r="B116" s="155" t="str">
        <f>'Mkting &amp; Recruit Costs_assump'!B158</f>
        <v>C&amp;I Curtailment-Turnkey-Advanced Lighting Control</v>
      </c>
      <c r="C116" s="155" t="str">
        <f>'Mkting &amp; Recruit Costs_assump'!C158</f>
        <v>Large Commercial</v>
      </c>
      <c r="D116" s="155" t="str">
        <f>'Mkting &amp; Recruit Costs_assump'!D158</f>
        <v>$/new participant</v>
      </c>
      <c r="E116" s="211">
        <f>'Mkting &amp; Recruit Costs_assump'!E158</f>
        <v>200</v>
      </c>
      <c r="F116" s="211">
        <f t="shared" ref="F116" si="116">E116</f>
        <v>200</v>
      </c>
    </row>
    <row r="117" spans="1:6" x14ac:dyDescent="0.25">
      <c r="A117" s="150" t="s">
        <v>20</v>
      </c>
      <c r="B117" s="155" t="str">
        <f>'Mkting &amp; Recruit Costs_assump'!B159</f>
        <v>C&amp;I Curtailment-Turnkey-Water Heating Control</v>
      </c>
      <c r="C117" s="155" t="str">
        <f>'Mkting &amp; Recruit Costs_assump'!C159</f>
        <v>Large Commercial</v>
      </c>
      <c r="D117" s="155" t="str">
        <f>'Mkting &amp; Recruit Costs_assump'!D159</f>
        <v>$/new participant</v>
      </c>
      <c r="E117" s="211">
        <f>'Mkting &amp; Recruit Costs_assump'!E159</f>
        <v>200</v>
      </c>
      <c r="F117" s="211">
        <f t="shared" ref="F117" si="117">E117</f>
        <v>200</v>
      </c>
    </row>
    <row r="118" spans="1:6" x14ac:dyDescent="0.25">
      <c r="A118" s="150" t="s">
        <v>20</v>
      </c>
      <c r="B118" s="155" t="str">
        <f>'Mkting &amp; Recruit Costs_assump'!B160</f>
        <v>C&amp;I Curtailment-Turnkey-Other</v>
      </c>
      <c r="C118" s="155" t="str">
        <f>'Mkting &amp; Recruit Costs_assump'!C160</f>
        <v>Large Commercial</v>
      </c>
      <c r="D118" s="155" t="str">
        <f>'Mkting &amp; Recruit Costs_assump'!D160</f>
        <v>$/new participant</v>
      </c>
      <c r="E118" s="211">
        <f>'Mkting &amp; Recruit Costs_assump'!E160</f>
        <v>200</v>
      </c>
      <c r="F118" s="211">
        <f t="shared" ref="F118" si="118">E118</f>
        <v>200</v>
      </c>
    </row>
    <row r="119" spans="1:6" x14ac:dyDescent="0.25">
      <c r="A119" s="150" t="s">
        <v>20</v>
      </c>
      <c r="B119" s="155" t="str">
        <f>'Mkting &amp; Recruit Costs_assump'!B161</f>
        <v>C&amp;I Curtailment-Turnkey-Industrial</v>
      </c>
      <c r="C119" s="155" t="str">
        <f>'Mkting &amp; Recruit Costs_assump'!C161</f>
        <v>Large Commercial</v>
      </c>
      <c r="D119" s="155" t="str">
        <f>'Mkting &amp; Recruit Costs_assump'!D161</f>
        <v>$/new participant</v>
      </c>
      <c r="E119" s="211">
        <f>'Mkting &amp; Recruit Costs_assump'!E161</f>
        <v>200</v>
      </c>
      <c r="F119" s="211">
        <f t="shared" ref="F119" si="119">E119</f>
        <v>200</v>
      </c>
    </row>
    <row r="120" spans="1:6" x14ac:dyDescent="0.25">
      <c r="A120" s="150" t="s">
        <v>20</v>
      </c>
      <c r="B120" s="155" t="str">
        <f>'Mkting &amp; Recruit Costs_assump'!B162</f>
        <v>C&amp;I Curtailment-Turnkey-Manual HVAC Control</v>
      </c>
      <c r="C120" s="155" t="str">
        <f>'Mkting &amp; Recruit Costs_assump'!C162</f>
        <v>Large Industrial</v>
      </c>
      <c r="D120" s="155" t="str">
        <f>'Mkting &amp; Recruit Costs_assump'!D162</f>
        <v>$/new participant</v>
      </c>
      <c r="E120" s="211">
        <f>'Mkting &amp; Recruit Costs_assump'!E162</f>
        <v>200</v>
      </c>
      <c r="F120" s="211">
        <f t="shared" ref="F120" si="120">E120</f>
        <v>200</v>
      </c>
    </row>
    <row r="121" spans="1:6" x14ac:dyDescent="0.25">
      <c r="A121" s="150" t="s">
        <v>20</v>
      </c>
      <c r="B121" s="155" t="str">
        <f>'Mkting &amp; Recruit Costs_assump'!B163</f>
        <v>C&amp;I Curtailment-Turnkey-Auto-DR HVAC Control</v>
      </c>
      <c r="C121" s="155" t="str">
        <f>'Mkting &amp; Recruit Costs_assump'!C163</f>
        <v>Large Industrial</v>
      </c>
      <c r="D121" s="155" t="str">
        <f>'Mkting &amp; Recruit Costs_assump'!D163</f>
        <v>$/new participant</v>
      </c>
      <c r="E121" s="211">
        <f>'Mkting &amp; Recruit Costs_assump'!E163</f>
        <v>200</v>
      </c>
      <c r="F121" s="211">
        <f t="shared" ref="F121" si="121">E121</f>
        <v>200</v>
      </c>
    </row>
    <row r="122" spans="1:6" x14ac:dyDescent="0.25">
      <c r="A122" s="150" t="s">
        <v>20</v>
      </c>
      <c r="B122" s="155" t="str">
        <f>'Mkting &amp; Recruit Costs_assump'!B164</f>
        <v>C&amp;I Curtailment-Turnkey-Standard Lighting Control</v>
      </c>
      <c r="C122" s="155" t="str">
        <f>'Mkting &amp; Recruit Costs_assump'!C164</f>
        <v>Large Industrial</v>
      </c>
      <c r="D122" s="155" t="str">
        <f>'Mkting &amp; Recruit Costs_assump'!D164</f>
        <v>$/new participant</v>
      </c>
      <c r="E122" s="211">
        <f>'Mkting &amp; Recruit Costs_assump'!E164</f>
        <v>200</v>
      </c>
      <c r="F122" s="211">
        <f t="shared" ref="F122" si="122">E122</f>
        <v>200</v>
      </c>
    </row>
    <row r="123" spans="1:6" x14ac:dyDescent="0.25">
      <c r="A123" s="150" t="s">
        <v>20</v>
      </c>
      <c r="B123" s="155" t="str">
        <f>'Mkting &amp; Recruit Costs_assump'!B165</f>
        <v>C&amp;I Curtailment-Turnkey-Advanced Lighting Control</v>
      </c>
      <c r="C123" s="155" t="str">
        <f>'Mkting &amp; Recruit Costs_assump'!C165</f>
        <v>Large Industrial</v>
      </c>
      <c r="D123" s="155" t="str">
        <f>'Mkting &amp; Recruit Costs_assump'!D165</f>
        <v>$/new participant</v>
      </c>
      <c r="E123" s="211">
        <f>'Mkting &amp; Recruit Costs_assump'!E165</f>
        <v>200</v>
      </c>
      <c r="F123" s="211">
        <f t="shared" ref="F123" si="123">E123</f>
        <v>200</v>
      </c>
    </row>
    <row r="124" spans="1:6" x14ac:dyDescent="0.25">
      <c r="A124" s="150" t="s">
        <v>20</v>
      </c>
      <c r="B124" s="155" t="str">
        <f>'Mkting &amp; Recruit Costs_assump'!B166</f>
        <v>C&amp;I Curtailment-Turnkey-Water Heating Control</v>
      </c>
      <c r="C124" s="155" t="str">
        <f>'Mkting &amp; Recruit Costs_assump'!C166</f>
        <v>Large Industrial</v>
      </c>
      <c r="D124" s="155" t="str">
        <f>'Mkting &amp; Recruit Costs_assump'!D166</f>
        <v>$/new participant</v>
      </c>
      <c r="E124" s="211">
        <f>'Mkting &amp; Recruit Costs_assump'!E166</f>
        <v>200</v>
      </c>
      <c r="F124" s="211">
        <f t="shared" ref="F124" si="124">E124</f>
        <v>200</v>
      </c>
    </row>
    <row r="125" spans="1:6" x14ac:dyDescent="0.25">
      <c r="A125" s="150" t="s">
        <v>20</v>
      </c>
      <c r="B125" s="155" t="str">
        <f>'Mkting &amp; Recruit Costs_assump'!B167</f>
        <v>C&amp;I Curtailment-Turnkey-Other</v>
      </c>
      <c r="C125" s="155" t="str">
        <f>'Mkting &amp; Recruit Costs_assump'!C167</f>
        <v>Large Industrial</v>
      </c>
      <c r="D125" s="155" t="str">
        <f>'Mkting &amp; Recruit Costs_assump'!D167</f>
        <v>$/new participant</v>
      </c>
      <c r="E125" s="211">
        <f>'Mkting &amp; Recruit Costs_assump'!E167</f>
        <v>200</v>
      </c>
      <c r="F125" s="211">
        <f t="shared" ref="F125" si="125">E125</f>
        <v>200</v>
      </c>
    </row>
    <row r="126" spans="1:6" x14ac:dyDescent="0.25">
      <c r="A126" s="150" t="s">
        <v>20</v>
      </c>
      <c r="B126" s="155" t="str">
        <f>'Mkting &amp; Recruit Costs_assump'!B168</f>
        <v>C&amp;I Curtailment-Turnkey-Industrial</v>
      </c>
      <c r="C126" s="155" t="str">
        <f>'Mkting &amp; Recruit Costs_assump'!C168</f>
        <v>Large Industrial</v>
      </c>
      <c r="D126" s="155" t="str">
        <f>'Mkting &amp; Recruit Costs_assump'!D168</f>
        <v>$/new participant</v>
      </c>
      <c r="E126" s="211">
        <f>'Mkting &amp; Recruit Costs_assump'!E168</f>
        <v>200</v>
      </c>
      <c r="F126" s="211">
        <f t="shared" ref="F126" si="126">E126</f>
        <v>200</v>
      </c>
    </row>
    <row r="127" spans="1:6" x14ac:dyDescent="0.25">
      <c r="A127" s="150" t="s">
        <v>20</v>
      </c>
      <c r="B127" s="155" t="str">
        <f>'Mkting &amp; Recruit Costs_assump'!B169</f>
        <v>C&amp;I Curtailment-Turnkey-Manual HVAC Control</v>
      </c>
      <c r="C127" s="155" t="str">
        <f>'Mkting &amp; Recruit Costs_assump'!C169</f>
        <v>Interruptible Rider</v>
      </c>
      <c r="D127" s="155" t="str">
        <f>'Mkting &amp; Recruit Costs_assump'!D169</f>
        <v>$/new participant</v>
      </c>
      <c r="E127" s="211">
        <f>'Mkting &amp; Recruit Costs_assump'!E169</f>
        <v>200</v>
      </c>
      <c r="F127" s="211">
        <f t="shared" ref="F127" si="127">E127</f>
        <v>200</v>
      </c>
    </row>
    <row r="128" spans="1:6" x14ac:dyDescent="0.25">
      <c r="A128" s="150" t="s">
        <v>20</v>
      </c>
      <c r="B128" s="155" t="str">
        <f>'Mkting &amp; Recruit Costs_assump'!B170</f>
        <v>C&amp;I Curtailment-Turnkey-Auto-DR HVAC Control</v>
      </c>
      <c r="C128" s="155" t="str">
        <f>'Mkting &amp; Recruit Costs_assump'!C170</f>
        <v>Interruptible Rider</v>
      </c>
      <c r="D128" s="155" t="str">
        <f>'Mkting &amp; Recruit Costs_assump'!D170</f>
        <v>$/new participant</v>
      </c>
      <c r="E128" s="211">
        <f>'Mkting &amp; Recruit Costs_assump'!E170</f>
        <v>200</v>
      </c>
      <c r="F128" s="211">
        <f t="shared" ref="F128" si="128">E128</f>
        <v>200</v>
      </c>
    </row>
    <row r="129" spans="1:6" x14ac:dyDescent="0.25">
      <c r="A129" s="150" t="s">
        <v>20</v>
      </c>
      <c r="B129" s="155" t="str">
        <f>'Mkting &amp; Recruit Costs_assump'!B171</f>
        <v>C&amp;I Curtailment-Turnkey-Standard Lighting Control</v>
      </c>
      <c r="C129" s="155" t="str">
        <f>'Mkting &amp; Recruit Costs_assump'!C171</f>
        <v>Interruptible Rider</v>
      </c>
      <c r="D129" s="155" t="str">
        <f>'Mkting &amp; Recruit Costs_assump'!D171</f>
        <v>$/new participant</v>
      </c>
      <c r="E129" s="211">
        <f>'Mkting &amp; Recruit Costs_assump'!E171</f>
        <v>200</v>
      </c>
      <c r="F129" s="211">
        <f t="shared" ref="F129" si="129">E129</f>
        <v>200</v>
      </c>
    </row>
    <row r="130" spans="1:6" x14ac:dyDescent="0.25">
      <c r="A130" s="150" t="s">
        <v>20</v>
      </c>
      <c r="B130" s="155" t="str">
        <f>'Mkting &amp; Recruit Costs_assump'!B172</f>
        <v>C&amp;I Curtailment-Turnkey-Advanced Lighting Control</v>
      </c>
      <c r="C130" s="155" t="str">
        <f>'Mkting &amp; Recruit Costs_assump'!C172</f>
        <v>Interruptible Rider</v>
      </c>
      <c r="D130" s="155" t="str">
        <f>'Mkting &amp; Recruit Costs_assump'!D172</f>
        <v>$/new participant</v>
      </c>
      <c r="E130" s="211">
        <f>'Mkting &amp; Recruit Costs_assump'!E172</f>
        <v>200</v>
      </c>
      <c r="F130" s="211">
        <f t="shared" ref="F130" si="130">E130</f>
        <v>200</v>
      </c>
    </row>
    <row r="131" spans="1:6" x14ac:dyDescent="0.25">
      <c r="A131" s="150" t="s">
        <v>20</v>
      </c>
      <c r="B131" s="155" t="str">
        <f>'Mkting &amp; Recruit Costs_assump'!B173</f>
        <v>C&amp;I Curtailment-Turnkey-Water Heating Control</v>
      </c>
      <c r="C131" s="155" t="str">
        <f>'Mkting &amp; Recruit Costs_assump'!C173</f>
        <v>Interruptible Rider</v>
      </c>
      <c r="D131" s="155" t="str">
        <f>'Mkting &amp; Recruit Costs_assump'!D173</f>
        <v>$/new participant</v>
      </c>
      <c r="E131" s="211">
        <f>'Mkting &amp; Recruit Costs_assump'!E173</f>
        <v>200</v>
      </c>
      <c r="F131" s="211">
        <f t="shared" ref="F131" si="131">E131</f>
        <v>200</v>
      </c>
    </row>
    <row r="132" spans="1:6" x14ac:dyDescent="0.25">
      <c r="A132" s="150" t="s">
        <v>20</v>
      </c>
      <c r="B132" s="155" t="str">
        <f>'Mkting &amp; Recruit Costs_assump'!B174</f>
        <v>C&amp;I Curtailment-Turnkey-Other</v>
      </c>
      <c r="C132" s="155" t="str">
        <f>'Mkting &amp; Recruit Costs_assump'!C174</f>
        <v>Interruptible Rider</v>
      </c>
      <c r="D132" s="155" t="str">
        <f>'Mkting &amp; Recruit Costs_assump'!D174</f>
        <v>$/new participant</v>
      </c>
      <c r="E132" s="211">
        <f>'Mkting &amp; Recruit Costs_assump'!E174</f>
        <v>200</v>
      </c>
      <c r="F132" s="211">
        <f t="shared" ref="F132" si="132">E132</f>
        <v>200</v>
      </c>
    </row>
    <row r="133" spans="1:6" x14ac:dyDescent="0.25">
      <c r="A133" s="150" t="s">
        <v>20</v>
      </c>
      <c r="B133" s="155" t="str">
        <f>'Mkting &amp; Recruit Costs_assump'!B175</f>
        <v>C&amp;I Curtailment-Turnkey-Industrial</v>
      </c>
      <c r="C133" s="155" t="str">
        <f>'Mkting &amp; Recruit Costs_assump'!C175</f>
        <v>Interruptible Rider</v>
      </c>
      <c r="D133" s="155" t="str">
        <f>'Mkting &amp; Recruit Costs_assump'!D175</f>
        <v>$/new participant</v>
      </c>
      <c r="E133" s="211">
        <f>'Mkting &amp; Recruit Costs_assump'!E175</f>
        <v>200</v>
      </c>
      <c r="F133" s="211">
        <f t="shared" ref="F133" si="133">E133</f>
        <v>200</v>
      </c>
    </row>
    <row r="134" spans="1:6" x14ac:dyDescent="0.25">
      <c r="A134" s="150" t="s">
        <v>20</v>
      </c>
      <c r="B134" s="155" t="str">
        <f>'Mkting &amp; Recruit Costs_assump'!B176</f>
        <v>C&amp;I Curtailment-Enabling Tech-Manual HVAC Control</v>
      </c>
      <c r="C134" s="155" t="str">
        <f>'Mkting &amp; Recruit Costs_assump'!C176</f>
        <v>Large Commercial</v>
      </c>
      <c r="D134" s="155" t="str">
        <f>'Mkting &amp; Recruit Costs_assump'!D176</f>
        <v>$/new participant</v>
      </c>
      <c r="E134" s="211">
        <f>'Mkting &amp; Recruit Costs_assump'!E176</f>
        <v>50</v>
      </c>
      <c r="F134" s="211">
        <f t="shared" ref="F134" si="134">E134</f>
        <v>50</v>
      </c>
    </row>
    <row r="135" spans="1:6" x14ac:dyDescent="0.25">
      <c r="A135" s="150" t="s">
        <v>20</v>
      </c>
      <c r="B135" s="155" t="str">
        <f>'Mkting &amp; Recruit Costs_assump'!B177</f>
        <v>C&amp;I Curtailment-Enabling Tech-Auto-DR HVAC Control</v>
      </c>
      <c r="C135" s="155" t="str">
        <f>'Mkting &amp; Recruit Costs_assump'!C177</f>
        <v>Large Commercial</v>
      </c>
      <c r="D135" s="155" t="str">
        <f>'Mkting &amp; Recruit Costs_assump'!D177</f>
        <v>$/new participant</v>
      </c>
      <c r="E135" s="211">
        <f>'Mkting &amp; Recruit Costs_assump'!E177</f>
        <v>50</v>
      </c>
      <c r="F135" s="211">
        <f t="shared" ref="F135" si="135">E135</f>
        <v>50</v>
      </c>
    </row>
    <row r="136" spans="1:6" x14ac:dyDescent="0.25">
      <c r="A136" s="150" t="s">
        <v>20</v>
      </c>
      <c r="B136" s="155" t="str">
        <f>'Mkting &amp; Recruit Costs_assump'!B178</f>
        <v>C&amp;I Curtailment-Enabling Tech-Standard Lighting Control</v>
      </c>
      <c r="C136" s="155" t="str">
        <f>'Mkting &amp; Recruit Costs_assump'!C178</f>
        <v>Large Commercial</v>
      </c>
      <c r="D136" s="155" t="str">
        <f>'Mkting &amp; Recruit Costs_assump'!D178</f>
        <v>$/new participant</v>
      </c>
      <c r="E136" s="211">
        <f>'Mkting &amp; Recruit Costs_assump'!E178</f>
        <v>50</v>
      </c>
      <c r="F136" s="211">
        <f t="shared" ref="F136" si="136">E136</f>
        <v>50</v>
      </c>
    </row>
    <row r="137" spans="1:6" x14ac:dyDescent="0.25">
      <c r="A137" s="150" t="s">
        <v>20</v>
      </c>
      <c r="B137" s="155" t="str">
        <f>'Mkting &amp; Recruit Costs_assump'!B179</f>
        <v>C&amp;I Curtailment-Enabling Tech-Advanced Lighting Control</v>
      </c>
      <c r="C137" s="155" t="str">
        <f>'Mkting &amp; Recruit Costs_assump'!C179</f>
        <v>Large Commercial</v>
      </c>
      <c r="D137" s="155" t="str">
        <f>'Mkting &amp; Recruit Costs_assump'!D179</f>
        <v>$/new participant</v>
      </c>
      <c r="E137" s="211">
        <f>'Mkting &amp; Recruit Costs_assump'!E179</f>
        <v>50</v>
      </c>
      <c r="F137" s="211">
        <f t="shared" ref="F137" si="137">E137</f>
        <v>50</v>
      </c>
    </row>
    <row r="138" spans="1:6" x14ac:dyDescent="0.25">
      <c r="A138" s="150" t="s">
        <v>20</v>
      </c>
      <c r="B138" s="155" t="str">
        <f>'Mkting &amp; Recruit Costs_assump'!B180</f>
        <v>C&amp;I Curtailment-Enabling Tech-Water Heating Control</v>
      </c>
      <c r="C138" s="155" t="str">
        <f>'Mkting &amp; Recruit Costs_assump'!C180</f>
        <v>Large Commercial</v>
      </c>
      <c r="D138" s="155" t="str">
        <f>'Mkting &amp; Recruit Costs_assump'!D180</f>
        <v>$/new participant</v>
      </c>
      <c r="E138" s="211">
        <f>'Mkting &amp; Recruit Costs_assump'!E180</f>
        <v>50</v>
      </c>
      <c r="F138" s="211">
        <f t="shared" ref="F138" si="138">E138</f>
        <v>50</v>
      </c>
    </row>
    <row r="139" spans="1:6" x14ac:dyDescent="0.25">
      <c r="A139" s="150" t="s">
        <v>20</v>
      </c>
      <c r="B139" s="155" t="str">
        <f>'Mkting &amp; Recruit Costs_assump'!B181</f>
        <v>C&amp;I Curtailment-Enabling Tech-Other</v>
      </c>
      <c r="C139" s="155" t="str">
        <f>'Mkting &amp; Recruit Costs_assump'!C181</f>
        <v>Large Commercial</v>
      </c>
      <c r="D139" s="155" t="str">
        <f>'Mkting &amp; Recruit Costs_assump'!D181</f>
        <v>$/new participant</v>
      </c>
      <c r="E139" s="211">
        <f>'Mkting &amp; Recruit Costs_assump'!E181</f>
        <v>50</v>
      </c>
      <c r="F139" s="211">
        <f t="shared" ref="F139" si="139">E139</f>
        <v>50</v>
      </c>
    </row>
    <row r="140" spans="1:6" x14ac:dyDescent="0.25">
      <c r="A140" s="150" t="s">
        <v>20</v>
      </c>
      <c r="B140" s="155" t="str">
        <f>'Mkting &amp; Recruit Costs_assump'!B182</f>
        <v>C&amp;I Curtailment-Enabling Tech-Industrial</v>
      </c>
      <c r="C140" s="155" t="str">
        <f>'Mkting &amp; Recruit Costs_assump'!C182</f>
        <v>Large Commercial</v>
      </c>
      <c r="D140" s="155" t="str">
        <f>'Mkting &amp; Recruit Costs_assump'!D182</f>
        <v>$/new participant</v>
      </c>
      <c r="E140" s="211">
        <f>'Mkting &amp; Recruit Costs_assump'!E182</f>
        <v>50</v>
      </c>
      <c r="F140" s="211">
        <f t="shared" ref="F140" si="140">E140</f>
        <v>50</v>
      </c>
    </row>
    <row r="141" spans="1:6" x14ac:dyDescent="0.25">
      <c r="A141" s="150" t="s">
        <v>20</v>
      </c>
      <c r="B141" s="155" t="str">
        <f>'Mkting &amp; Recruit Costs_assump'!B183</f>
        <v>C&amp;I Curtailment-Enabling Tech-Manual HVAC Control</v>
      </c>
      <c r="C141" s="155" t="str">
        <f>'Mkting &amp; Recruit Costs_assump'!C183</f>
        <v>Large Industrial</v>
      </c>
      <c r="D141" s="155" t="str">
        <f>'Mkting &amp; Recruit Costs_assump'!D183</f>
        <v>$/new participant</v>
      </c>
      <c r="E141" s="211">
        <f>'Mkting &amp; Recruit Costs_assump'!E183</f>
        <v>50</v>
      </c>
      <c r="F141" s="211">
        <f t="shared" ref="F141" si="141">E141</f>
        <v>50</v>
      </c>
    </row>
    <row r="142" spans="1:6" x14ac:dyDescent="0.25">
      <c r="A142" s="150" t="s">
        <v>20</v>
      </c>
      <c r="B142" s="155" t="str">
        <f>'Mkting &amp; Recruit Costs_assump'!B184</f>
        <v>C&amp;I Curtailment-Enabling Tech-Auto-DR HVAC Control</v>
      </c>
      <c r="C142" s="155" t="str">
        <f>'Mkting &amp; Recruit Costs_assump'!C184</f>
        <v>Large Industrial</v>
      </c>
      <c r="D142" s="155" t="str">
        <f>'Mkting &amp; Recruit Costs_assump'!D184</f>
        <v>$/new participant</v>
      </c>
      <c r="E142" s="211">
        <f>'Mkting &amp; Recruit Costs_assump'!E184</f>
        <v>50</v>
      </c>
      <c r="F142" s="211">
        <f t="shared" ref="F142" si="142">E142</f>
        <v>50</v>
      </c>
    </row>
    <row r="143" spans="1:6" x14ac:dyDescent="0.25">
      <c r="A143" s="150" t="s">
        <v>20</v>
      </c>
      <c r="B143" s="155" t="str">
        <f>'Mkting &amp; Recruit Costs_assump'!B185</f>
        <v>C&amp;I Curtailment-Enabling Tech-Standard Lighting Control</v>
      </c>
      <c r="C143" s="155" t="str">
        <f>'Mkting &amp; Recruit Costs_assump'!C185</f>
        <v>Large Industrial</v>
      </c>
      <c r="D143" s="155" t="str">
        <f>'Mkting &amp; Recruit Costs_assump'!D185</f>
        <v>$/new participant</v>
      </c>
      <c r="E143" s="211">
        <f>'Mkting &amp; Recruit Costs_assump'!E185</f>
        <v>50</v>
      </c>
      <c r="F143" s="211">
        <f t="shared" ref="F143" si="143">E143</f>
        <v>50</v>
      </c>
    </row>
    <row r="144" spans="1:6" x14ac:dyDescent="0.25">
      <c r="A144" s="150" t="s">
        <v>20</v>
      </c>
      <c r="B144" s="155" t="str">
        <f>'Mkting &amp; Recruit Costs_assump'!B186</f>
        <v>C&amp;I Curtailment-Enabling Tech-Advanced Lighting Control</v>
      </c>
      <c r="C144" s="155" t="str">
        <f>'Mkting &amp; Recruit Costs_assump'!C186</f>
        <v>Large Industrial</v>
      </c>
      <c r="D144" s="155" t="str">
        <f>'Mkting &amp; Recruit Costs_assump'!D186</f>
        <v>$/new participant</v>
      </c>
      <c r="E144" s="211">
        <f>'Mkting &amp; Recruit Costs_assump'!E186</f>
        <v>50</v>
      </c>
      <c r="F144" s="211">
        <f t="shared" ref="F144" si="144">E144</f>
        <v>50</v>
      </c>
    </row>
    <row r="145" spans="1:6" x14ac:dyDescent="0.25">
      <c r="A145" s="150" t="s">
        <v>20</v>
      </c>
      <c r="B145" s="155" t="str">
        <f>'Mkting &amp; Recruit Costs_assump'!B187</f>
        <v>C&amp;I Curtailment-Enabling Tech-Water Heating Control</v>
      </c>
      <c r="C145" s="155" t="str">
        <f>'Mkting &amp; Recruit Costs_assump'!C187</f>
        <v>Large Industrial</v>
      </c>
      <c r="D145" s="155" t="str">
        <f>'Mkting &amp; Recruit Costs_assump'!D187</f>
        <v>$/new participant</v>
      </c>
      <c r="E145" s="211">
        <f>'Mkting &amp; Recruit Costs_assump'!E187</f>
        <v>50</v>
      </c>
      <c r="F145" s="211">
        <f t="shared" ref="F145" si="145">E145</f>
        <v>50</v>
      </c>
    </row>
    <row r="146" spans="1:6" x14ac:dyDescent="0.25">
      <c r="A146" s="150" t="s">
        <v>20</v>
      </c>
      <c r="B146" s="155" t="str">
        <f>'Mkting &amp; Recruit Costs_assump'!B188</f>
        <v>C&amp;I Curtailment-Enabling Tech-Other</v>
      </c>
      <c r="C146" s="155" t="str">
        <f>'Mkting &amp; Recruit Costs_assump'!C188</f>
        <v>Large Industrial</v>
      </c>
      <c r="D146" s="155" t="str">
        <f>'Mkting &amp; Recruit Costs_assump'!D188</f>
        <v>$/new participant</v>
      </c>
      <c r="E146" s="211">
        <f>'Mkting &amp; Recruit Costs_assump'!E188</f>
        <v>50</v>
      </c>
      <c r="F146" s="211">
        <f t="shared" ref="F146" si="146">E146</f>
        <v>50</v>
      </c>
    </row>
    <row r="147" spans="1:6" x14ac:dyDescent="0.25">
      <c r="A147" s="150" t="s">
        <v>20</v>
      </c>
      <c r="B147" s="155" t="str">
        <f>'Mkting &amp; Recruit Costs_assump'!B189</f>
        <v>C&amp;I Curtailment-Enabling Tech-Industrial</v>
      </c>
      <c r="C147" s="155" t="str">
        <f>'Mkting &amp; Recruit Costs_assump'!C189</f>
        <v>Large Industrial</v>
      </c>
      <c r="D147" s="155" t="str">
        <f>'Mkting &amp; Recruit Costs_assump'!D189</f>
        <v>$/new participant</v>
      </c>
      <c r="E147" s="211">
        <f>'Mkting &amp; Recruit Costs_assump'!E189</f>
        <v>50</v>
      </c>
      <c r="F147" s="211">
        <f t="shared" ref="F147" si="147">E147</f>
        <v>50</v>
      </c>
    </row>
    <row r="148" spans="1:6" x14ac:dyDescent="0.25">
      <c r="A148" s="150" t="s">
        <v>20</v>
      </c>
      <c r="B148" s="155" t="str">
        <f>'Mkting &amp; Recruit Costs_assump'!B190</f>
        <v>C&amp;I Curtailment-Enabling Tech-Manual HVAC Control</v>
      </c>
      <c r="C148" s="155" t="str">
        <f>'Mkting &amp; Recruit Costs_assump'!C190</f>
        <v>Interruptible Rider</v>
      </c>
      <c r="D148" s="155" t="str">
        <f>'Mkting &amp; Recruit Costs_assump'!D190</f>
        <v>$/new participant</v>
      </c>
      <c r="E148" s="211">
        <f>'Mkting &amp; Recruit Costs_assump'!E190</f>
        <v>50</v>
      </c>
      <c r="F148" s="211">
        <f t="shared" ref="F148" si="148">E148</f>
        <v>50</v>
      </c>
    </row>
    <row r="149" spans="1:6" x14ac:dyDescent="0.25">
      <c r="A149" s="150" t="s">
        <v>20</v>
      </c>
      <c r="B149" s="155" t="str">
        <f>'Mkting &amp; Recruit Costs_assump'!B191</f>
        <v>C&amp;I Curtailment-Enabling Tech-Auto-DR HVAC Control</v>
      </c>
      <c r="C149" s="155" t="str">
        <f>'Mkting &amp; Recruit Costs_assump'!C191</f>
        <v>Interruptible Rider</v>
      </c>
      <c r="D149" s="155" t="str">
        <f>'Mkting &amp; Recruit Costs_assump'!D191</f>
        <v>$/new participant</v>
      </c>
      <c r="E149" s="211">
        <f>'Mkting &amp; Recruit Costs_assump'!E191</f>
        <v>50</v>
      </c>
      <c r="F149" s="211">
        <f t="shared" ref="F149" si="149">E149</f>
        <v>50</v>
      </c>
    </row>
    <row r="150" spans="1:6" x14ac:dyDescent="0.25">
      <c r="A150" s="150" t="s">
        <v>20</v>
      </c>
      <c r="B150" s="155" t="str">
        <f>'Mkting &amp; Recruit Costs_assump'!B192</f>
        <v>C&amp;I Curtailment-Enabling Tech-Standard Lighting Control</v>
      </c>
      <c r="C150" s="155" t="str">
        <f>'Mkting &amp; Recruit Costs_assump'!C192</f>
        <v>Interruptible Rider</v>
      </c>
      <c r="D150" s="155" t="str">
        <f>'Mkting &amp; Recruit Costs_assump'!D192</f>
        <v>$/new participant</v>
      </c>
      <c r="E150" s="211">
        <f>'Mkting &amp; Recruit Costs_assump'!E192</f>
        <v>50</v>
      </c>
      <c r="F150" s="211">
        <f t="shared" ref="F150" si="150">E150</f>
        <v>50</v>
      </c>
    </row>
    <row r="151" spans="1:6" x14ac:dyDescent="0.25">
      <c r="A151" s="150" t="s">
        <v>20</v>
      </c>
      <c r="B151" s="155" t="str">
        <f>'Mkting &amp; Recruit Costs_assump'!B193</f>
        <v>C&amp;I Curtailment-Enabling Tech-Advanced Lighting Control</v>
      </c>
      <c r="C151" s="155" t="str">
        <f>'Mkting &amp; Recruit Costs_assump'!C193</f>
        <v>Interruptible Rider</v>
      </c>
      <c r="D151" s="155" t="str">
        <f>'Mkting &amp; Recruit Costs_assump'!D193</f>
        <v>$/new participant</v>
      </c>
      <c r="E151" s="211">
        <f>'Mkting &amp; Recruit Costs_assump'!E193</f>
        <v>50</v>
      </c>
      <c r="F151" s="211">
        <f t="shared" ref="F151" si="151">E151</f>
        <v>50</v>
      </c>
    </row>
    <row r="152" spans="1:6" x14ac:dyDescent="0.25">
      <c r="A152" s="150" t="s">
        <v>20</v>
      </c>
      <c r="B152" s="155" t="str">
        <f>'Mkting &amp; Recruit Costs_assump'!B194</f>
        <v>C&amp;I Curtailment-Enabling Tech-Water Heating Control</v>
      </c>
      <c r="C152" s="155" t="str">
        <f>'Mkting &amp; Recruit Costs_assump'!C194</f>
        <v>Interruptible Rider</v>
      </c>
      <c r="D152" s="155" t="str">
        <f>'Mkting &amp; Recruit Costs_assump'!D194</f>
        <v>$/new participant</v>
      </c>
      <c r="E152" s="211">
        <f>'Mkting &amp; Recruit Costs_assump'!E194</f>
        <v>50</v>
      </c>
      <c r="F152" s="211">
        <f t="shared" ref="F152" si="152">E152</f>
        <v>50</v>
      </c>
    </row>
    <row r="153" spans="1:6" x14ac:dyDescent="0.25">
      <c r="A153" s="150" t="s">
        <v>20</v>
      </c>
      <c r="B153" s="155" t="str">
        <f>'Mkting &amp; Recruit Costs_assump'!B195</f>
        <v>C&amp;I Curtailment-Enabling Tech-Other</v>
      </c>
      <c r="C153" s="155" t="str">
        <f>'Mkting &amp; Recruit Costs_assump'!C195</f>
        <v>Interruptible Rider</v>
      </c>
      <c r="D153" s="155" t="str">
        <f>'Mkting &amp; Recruit Costs_assump'!D195</f>
        <v>$/new participant</v>
      </c>
      <c r="E153" s="211">
        <f>'Mkting &amp; Recruit Costs_assump'!E195</f>
        <v>50</v>
      </c>
      <c r="F153" s="211">
        <f t="shared" ref="F153" si="153">E153</f>
        <v>50</v>
      </c>
    </row>
    <row r="154" spans="1:6" x14ac:dyDescent="0.25">
      <c r="A154" s="150" t="s">
        <v>20</v>
      </c>
      <c r="B154" s="155" t="str">
        <f>'Mkting &amp; Recruit Costs_assump'!B196</f>
        <v>C&amp;I Curtailment-Enabling Tech-Industrial</v>
      </c>
      <c r="C154" s="155" t="str">
        <f>'Mkting &amp; Recruit Costs_assump'!C196</f>
        <v>Interruptible Rider</v>
      </c>
      <c r="D154" s="155" t="str">
        <f>'Mkting &amp; Recruit Costs_assump'!D196</f>
        <v>$/new participant</v>
      </c>
      <c r="E154" s="211">
        <f>'Mkting &amp; Recruit Costs_assump'!E196</f>
        <v>50</v>
      </c>
      <c r="F154" s="211">
        <f t="shared" ref="F154" si="154">E154</f>
        <v>50</v>
      </c>
    </row>
    <row r="155" spans="1:6" x14ac:dyDescent="0.25">
      <c r="A155" s="150" t="s">
        <v>13</v>
      </c>
      <c r="B155" s="155" t="s">
        <v>57</v>
      </c>
      <c r="C155" s="155" t="s">
        <v>45</v>
      </c>
      <c r="D155" s="150" t="s">
        <v>77</v>
      </c>
      <c r="E155" s="211">
        <v>0</v>
      </c>
      <c r="F155" s="211">
        <f t="shared" ref="F155" si="155">E155</f>
        <v>0</v>
      </c>
    </row>
    <row r="156" spans="1:6" x14ac:dyDescent="0.25">
      <c r="A156" s="150" t="s">
        <v>20</v>
      </c>
      <c r="B156" s="155" t="s">
        <v>82</v>
      </c>
      <c r="C156" s="155" t="s">
        <v>40</v>
      </c>
      <c r="D156" s="150" t="s">
        <v>77</v>
      </c>
      <c r="E156" s="211">
        <f>'Mkting &amp; Recruit Costs_assump'!E219</f>
        <v>12.5</v>
      </c>
      <c r="F156" s="211">
        <f t="shared" ref="F156" si="156">E156</f>
        <v>12.5</v>
      </c>
    </row>
    <row r="157" spans="1:6" x14ac:dyDescent="0.25">
      <c r="A157" s="150" t="s">
        <v>20</v>
      </c>
      <c r="B157" s="155" t="s">
        <v>83</v>
      </c>
      <c r="C157" s="155" t="s">
        <v>40</v>
      </c>
      <c r="D157" s="150" t="s">
        <v>77</v>
      </c>
      <c r="E157" s="211">
        <f>'Mkting &amp; Recruit Costs_assump'!E220</f>
        <v>12.5</v>
      </c>
      <c r="F157" s="211">
        <f t="shared" ref="F157" si="157">E157</f>
        <v>12.5</v>
      </c>
    </row>
    <row r="158" spans="1:6" x14ac:dyDescent="0.25">
      <c r="A158" s="150" t="s">
        <v>20</v>
      </c>
      <c r="B158" s="155" t="s">
        <v>82</v>
      </c>
      <c r="C158" s="155" t="s">
        <v>42</v>
      </c>
      <c r="D158" s="150" t="s">
        <v>77</v>
      </c>
      <c r="E158" s="211">
        <f>'Mkting &amp; Recruit Costs_assump'!E223</f>
        <v>12.5</v>
      </c>
      <c r="F158" s="211">
        <f t="shared" ref="F158" si="158">E158</f>
        <v>12.5</v>
      </c>
    </row>
    <row r="159" spans="1:6" x14ac:dyDescent="0.25">
      <c r="A159" s="150" t="s">
        <v>20</v>
      </c>
      <c r="B159" s="155" t="s">
        <v>83</v>
      </c>
      <c r="C159" s="155" t="s">
        <v>42</v>
      </c>
      <c r="D159" s="150" t="s">
        <v>77</v>
      </c>
      <c r="E159" s="211">
        <f>'Mkting &amp; Recruit Costs_assump'!E224</f>
        <v>12.5</v>
      </c>
      <c r="F159" s="211">
        <f t="shared" ref="F159" si="159">E159</f>
        <v>12.5</v>
      </c>
    </row>
    <row r="160" spans="1:6" x14ac:dyDescent="0.25">
      <c r="A160" s="150" t="s">
        <v>20</v>
      </c>
      <c r="B160" s="201" t="s">
        <v>84</v>
      </c>
      <c r="C160" s="201" t="s">
        <v>40</v>
      </c>
      <c r="D160" s="150" t="s">
        <v>77</v>
      </c>
      <c r="E160" s="211">
        <f>'Mkting &amp; Recruit Costs_assump'!E227</f>
        <v>2.5</v>
      </c>
      <c r="F160" s="211">
        <f t="shared" ref="F160" si="160">E160</f>
        <v>2.5</v>
      </c>
    </row>
    <row r="161" spans="1:6" x14ac:dyDescent="0.25">
      <c r="A161" s="150" t="s">
        <v>20</v>
      </c>
      <c r="B161" s="201" t="s">
        <v>85</v>
      </c>
      <c r="C161" s="201" t="s">
        <v>40</v>
      </c>
      <c r="D161" s="150" t="s">
        <v>77</v>
      </c>
      <c r="E161" s="211">
        <f>'Mkting &amp; Recruit Costs_assump'!E228</f>
        <v>2.5</v>
      </c>
      <c r="F161" s="211">
        <f t="shared" ref="F161" si="161">E161</f>
        <v>2.5</v>
      </c>
    </row>
    <row r="162" spans="1:6" x14ac:dyDescent="0.25">
      <c r="A162" s="150" t="s">
        <v>20</v>
      </c>
      <c r="B162" s="201" t="s">
        <v>84</v>
      </c>
      <c r="C162" s="201" t="s">
        <v>42</v>
      </c>
      <c r="D162" s="150" t="s">
        <v>77</v>
      </c>
      <c r="E162" s="211">
        <f>'Mkting &amp; Recruit Costs_assump'!E231</f>
        <v>2.5</v>
      </c>
      <c r="F162" s="211">
        <f t="shared" ref="F162" si="162">E162</f>
        <v>2.5</v>
      </c>
    </row>
    <row r="163" spans="1:6" x14ac:dyDescent="0.25">
      <c r="A163" s="150" t="s">
        <v>20</v>
      </c>
      <c r="B163" s="201" t="s">
        <v>85</v>
      </c>
      <c r="C163" s="201" t="s">
        <v>42</v>
      </c>
      <c r="D163" s="150" t="s">
        <v>77</v>
      </c>
      <c r="E163" s="211">
        <f>'Mkting &amp; Recruit Costs_assump'!E232</f>
        <v>2.5</v>
      </c>
      <c r="F163" s="211">
        <f t="shared" ref="F163" si="163">E163</f>
        <v>2.5</v>
      </c>
    </row>
    <row r="164" spans="1:6" x14ac:dyDescent="0.25">
      <c r="A164" s="150" t="s">
        <v>20</v>
      </c>
      <c r="B164" s="201" t="s">
        <v>86</v>
      </c>
      <c r="C164" s="201" t="s">
        <v>40</v>
      </c>
      <c r="D164" s="150" t="s">
        <v>77</v>
      </c>
      <c r="E164" s="211">
        <f>'Mkting &amp; Recruit Costs_assump'!E235</f>
        <v>2.5</v>
      </c>
      <c r="F164" s="211">
        <f t="shared" ref="F164" si="164">E164</f>
        <v>2.5</v>
      </c>
    </row>
    <row r="165" spans="1:6" x14ac:dyDescent="0.25">
      <c r="A165" s="150" t="s">
        <v>20</v>
      </c>
      <c r="B165" s="201" t="s">
        <v>87</v>
      </c>
      <c r="C165" s="201" t="s">
        <v>40</v>
      </c>
      <c r="D165" s="150" t="s">
        <v>77</v>
      </c>
      <c r="E165" s="211">
        <f>'Mkting &amp; Recruit Costs_assump'!E236</f>
        <v>2.5</v>
      </c>
      <c r="F165" s="211">
        <f t="shared" ref="F165" si="165">E165</f>
        <v>2.5</v>
      </c>
    </row>
    <row r="166" spans="1:6" x14ac:dyDescent="0.25">
      <c r="A166" s="150" t="s">
        <v>20</v>
      </c>
      <c r="B166" s="201" t="s">
        <v>86</v>
      </c>
      <c r="C166" s="201" t="s">
        <v>42</v>
      </c>
      <c r="D166" s="150" t="s">
        <v>77</v>
      </c>
      <c r="E166" s="211">
        <f>'Mkting &amp; Recruit Costs_assump'!E239</f>
        <v>2.5</v>
      </c>
      <c r="F166" s="211">
        <f t="shared" ref="F166" si="166">E166</f>
        <v>2.5</v>
      </c>
    </row>
    <row r="167" spans="1:6" x14ac:dyDescent="0.25">
      <c r="A167" s="150" t="s">
        <v>20</v>
      </c>
      <c r="B167" s="201" t="s">
        <v>87</v>
      </c>
      <c r="C167" s="201" t="s">
        <v>42</v>
      </c>
      <c r="D167" s="150" t="s">
        <v>77</v>
      </c>
      <c r="E167" s="211">
        <f>'Mkting &amp; Recruit Costs_assump'!E240</f>
        <v>2.5</v>
      </c>
      <c r="F167" s="211">
        <f t="shared" ref="F167" si="167">E167</f>
        <v>2.5</v>
      </c>
    </row>
    <row r="168" spans="1:6" x14ac:dyDescent="0.25">
      <c r="A168" s="150" t="s">
        <v>20</v>
      </c>
      <c r="B168" s="150" t="s">
        <v>54</v>
      </c>
      <c r="C168" s="150" t="s">
        <v>45</v>
      </c>
      <c r="D168" s="150" t="s">
        <v>77</v>
      </c>
      <c r="E168" s="211">
        <f>'Mkting &amp; Recruit Costs_assump'!E216</f>
        <v>12.5</v>
      </c>
      <c r="F168" s="211">
        <f>E168</f>
        <v>12.5</v>
      </c>
    </row>
    <row r="169" spans="1:6" s="40" customFormat="1" x14ac:dyDescent="0.25">
      <c r="A169" s="150" t="s">
        <v>13</v>
      </c>
      <c r="B169" s="150" t="s">
        <v>129</v>
      </c>
      <c r="C169" s="150" t="s">
        <v>41</v>
      </c>
      <c r="D169" s="150" t="s">
        <v>77</v>
      </c>
      <c r="E169" s="211">
        <f>'Mkting &amp; Recruit Costs_assump'!E246</f>
        <v>150</v>
      </c>
      <c r="F169" s="211"/>
    </row>
    <row r="170" spans="1:6" s="40" customFormat="1" x14ac:dyDescent="0.25">
      <c r="A170" s="150" t="s">
        <v>13</v>
      </c>
      <c r="B170" s="150" t="s">
        <v>129</v>
      </c>
      <c r="C170" s="150" t="s">
        <v>43</v>
      </c>
      <c r="D170" s="150" t="s">
        <v>77</v>
      </c>
      <c r="E170" s="211">
        <f>'Mkting &amp; Recruit Costs_assump'!E253</f>
        <v>150</v>
      </c>
      <c r="F170" s="211"/>
    </row>
    <row r="171" spans="1:6" s="40" customFormat="1" x14ac:dyDescent="0.25">
      <c r="A171" s="150" t="s">
        <v>13</v>
      </c>
      <c r="B171" s="150" t="s">
        <v>129</v>
      </c>
      <c r="C171" s="150" t="s">
        <v>44</v>
      </c>
      <c r="D171" s="150" t="s">
        <v>77</v>
      </c>
      <c r="E171" s="211">
        <f>'Mkting &amp; Recruit Costs_assump'!E260</f>
        <v>150</v>
      </c>
      <c r="F171" s="211"/>
    </row>
    <row r="172" spans="1:6" s="40" customFormat="1" x14ac:dyDescent="0.25">
      <c r="A172" s="150" t="s">
        <v>20</v>
      </c>
      <c r="B172" s="150" t="s">
        <v>102</v>
      </c>
      <c r="C172" s="150" t="s">
        <v>40</v>
      </c>
      <c r="D172" s="150" t="s">
        <v>77</v>
      </c>
      <c r="E172" s="211">
        <f>'Mkting &amp; Recruit Costs_assump'!E203</f>
        <v>100</v>
      </c>
      <c r="F172" s="211">
        <f t="shared" ref="F172:F177" si="168">E172</f>
        <v>100</v>
      </c>
    </row>
    <row r="173" spans="1:6" s="40" customFormat="1" x14ac:dyDescent="0.25">
      <c r="A173" s="150" t="s">
        <v>20</v>
      </c>
      <c r="B173" s="150" t="s">
        <v>102</v>
      </c>
      <c r="C173" s="150" t="s">
        <v>41</v>
      </c>
      <c r="D173" s="150" t="s">
        <v>77</v>
      </c>
      <c r="E173" s="211">
        <f>'Mkting &amp; Recruit Costs_assump'!E204</f>
        <v>200</v>
      </c>
      <c r="F173" s="211">
        <f t="shared" si="168"/>
        <v>200</v>
      </c>
    </row>
    <row r="174" spans="1:6" s="40" customFormat="1" x14ac:dyDescent="0.25">
      <c r="A174" s="150" t="s">
        <v>20</v>
      </c>
      <c r="B174" s="150" t="s">
        <v>102</v>
      </c>
      <c r="C174" s="150" t="s">
        <v>42</v>
      </c>
      <c r="D174" s="150" t="s">
        <v>77</v>
      </c>
      <c r="E174" s="211">
        <f>'Mkting &amp; Recruit Costs_assump'!E205</f>
        <v>100</v>
      </c>
      <c r="F174" s="211">
        <f t="shared" si="168"/>
        <v>100</v>
      </c>
    </row>
    <row r="175" spans="1:6" s="40" customFormat="1" x14ac:dyDescent="0.25">
      <c r="A175" s="150" t="s">
        <v>20</v>
      </c>
      <c r="B175" s="150" t="s">
        <v>102</v>
      </c>
      <c r="C175" s="150" t="s">
        <v>43</v>
      </c>
      <c r="D175" s="150" t="s">
        <v>77</v>
      </c>
      <c r="E175" s="211">
        <f>'Mkting &amp; Recruit Costs_assump'!E206</f>
        <v>200</v>
      </c>
      <c r="F175" s="211">
        <f t="shared" si="168"/>
        <v>200</v>
      </c>
    </row>
    <row r="176" spans="1:6" s="40" customFormat="1" x14ac:dyDescent="0.25">
      <c r="A176" s="150" t="s">
        <v>20</v>
      </c>
      <c r="B176" s="150" t="s">
        <v>102</v>
      </c>
      <c r="C176" s="150" t="s">
        <v>44</v>
      </c>
      <c r="D176" s="150" t="s">
        <v>77</v>
      </c>
      <c r="E176" s="211">
        <f>'Mkting &amp; Recruit Costs_assump'!E207</f>
        <v>200</v>
      </c>
      <c r="F176" s="211">
        <f t="shared" si="168"/>
        <v>200</v>
      </c>
    </row>
    <row r="177" spans="1:6" s="40" customFormat="1" x14ac:dyDescent="0.25">
      <c r="A177" s="150" t="s">
        <v>20</v>
      </c>
      <c r="B177" s="150" t="s">
        <v>102</v>
      </c>
      <c r="C177" s="150" t="s">
        <v>45</v>
      </c>
      <c r="D177" s="150" t="s">
        <v>77</v>
      </c>
      <c r="E177" s="211">
        <f>'Mkting &amp; Recruit Costs_assump'!E208</f>
        <v>50</v>
      </c>
      <c r="F177" s="211">
        <f t="shared" si="168"/>
        <v>50</v>
      </c>
    </row>
  </sheetData>
  <autoFilter ref="A3:F177" xr:uid="{00000000-0009-0000-0000-000007000000}"/>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10C71B8-4948-45CE-8CED-20715E039AC1}">
          <x14:formula1>
            <xm:f>EditableIndexes!$E$5:$E$33</xm:f>
          </x14:formula1>
          <xm:sqref>C113:E155 B168:B177 B4:B159 C169:D171</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09501-D2BA-4C7D-A196-674EF041CB47}">
  <sheetPr>
    <tabColor theme="7" tint="0.59999389629810485"/>
  </sheetPr>
  <dimension ref="A1:L261"/>
  <sheetViews>
    <sheetView zoomScale="60" zoomScaleNormal="60" workbookViewId="0">
      <selection activeCell="B12" sqref="B12"/>
    </sheetView>
  </sheetViews>
  <sheetFormatPr defaultColWidth="9.09765625" defaultRowHeight="13.8" outlineLevelRow="1" x14ac:dyDescent="0.25"/>
  <cols>
    <col min="1" max="1" width="8.5" customWidth="1"/>
    <col min="2" max="2" width="56.59765625" style="8" customWidth="1"/>
    <col min="3" max="3" width="28.5" style="2" customWidth="1"/>
    <col min="4" max="4" width="24.09765625" customWidth="1"/>
    <col min="5" max="5" width="18.5" style="7" customWidth="1"/>
    <col min="6" max="6" width="13.5" customWidth="1"/>
    <col min="7" max="7" width="14.09765625" customWidth="1"/>
    <col min="8" max="8" width="15.09765625" customWidth="1"/>
    <col min="9" max="9" width="13.5" customWidth="1"/>
    <col min="10" max="10" width="17.69921875" customWidth="1"/>
    <col min="11" max="11" width="16.59765625" customWidth="1"/>
    <col min="12" max="12" width="104.09765625" style="175" customWidth="1"/>
    <col min="13" max="13" width="11.19921875" customWidth="1"/>
  </cols>
  <sheetData>
    <row r="1" spans="1:12" ht="50.1" customHeight="1" outlineLevel="1" x14ac:dyDescent="0.25">
      <c r="B1" s="7"/>
      <c r="C1" s="7"/>
    </row>
    <row r="2" spans="1:12" ht="17.25" customHeight="1" outlineLevel="1" x14ac:dyDescent="0.25">
      <c r="A2" s="146" t="s">
        <v>7</v>
      </c>
      <c r="B2" s="153" t="s">
        <v>77</v>
      </c>
      <c r="C2" s="138"/>
      <c r="D2" s="138"/>
      <c r="E2" s="235"/>
      <c r="F2" s="138"/>
      <c r="G2" s="138"/>
      <c r="H2" s="138"/>
      <c r="I2" s="138"/>
      <c r="J2" s="138"/>
      <c r="K2" s="138"/>
      <c r="L2" s="137"/>
    </row>
    <row r="3" spans="1:12" s="9" customFormat="1" ht="52.5" customHeight="1" x14ac:dyDescent="0.25">
      <c r="A3" s="147" t="s">
        <v>23</v>
      </c>
      <c r="B3" s="147" t="s">
        <v>528</v>
      </c>
      <c r="C3" s="147" t="s">
        <v>266</v>
      </c>
      <c r="D3" s="147" t="s">
        <v>529</v>
      </c>
      <c r="E3" s="147" t="s">
        <v>103</v>
      </c>
      <c r="F3" s="147" t="s">
        <v>104</v>
      </c>
      <c r="G3" s="147" t="s">
        <v>105</v>
      </c>
      <c r="H3" s="147" t="s">
        <v>106</v>
      </c>
      <c r="I3" s="147" t="s">
        <v>107</v>
      </c>
      <c r="J3" s="147" t="s">
        <v>536</v>
      </c>
      <c r="K3" s="147" t="s">
        <v>537</v>
      </c>
      <c r="L3" s="206" t="s">
        <v>26</v>
      </c>
    </row>
    <row r="4" spans="1:12" ht="54" customHeight="1" x14ac:dyDescent="0.25">
      <c r="A4" s="138" t="s">
        <v>2</v>
      </c>
      <c r="B4" s="161" t="s">
        <v>80</v>
      </c>
      <c r="C4" s="161" t="s">
        <v>45</v>
      </c>
      <c r="D4" s="138" t="s">
        <v>77</v>
      </c>
      <c r="E4" s="236"/>
      <c r="F4" s="232">
        <v>5</v>
      </c>
      <c r="G4" s="192">
        <v>0.75</v>
      </c>
      <c r="H4" s="192">
        <v>0.25</v>
      </c>
      <c r="I4" s="232">
        <v>0</v>
      </c>
      <c r="J4" s="192">
        <v>1</v>
      </c>
      <c r="K4" s="192">
        <v>0</v>
      </c>
      <c r="L4" s="237" t="s">
        <v>108</v>
      </c>
    </row>
    <row r="5" spans="1:12" ht="37.5" customHeight="1" x14ac:dyDescent="0.25">
      <c r="A5" s="138" t="s">
        <v>2</v>
      </c>
      <c r="B5" s="161" t="s">
        <v>81</v>
      </c>
      <c r="C5" s="161" t="s">
        <v>45</v>
      </c>
      <c r="D5" s="138" t="s">
        <v>77</v>
      </c>
      <c r="E5" s="236"/>
      <c r="F5" s="232">
        <v>5</v>
      </c>
      <c r="G5" s="192">
        <v>0.75</v>
      </c>
      <c r="H5" s="192">
        <v>0.25</v>
      </c>
      <c r="I5" s="232">
        <v>5</v>
      </c>
      <c r="J5" s="192">
        <v>1</v>
      </c>
      <c r="K5" s="192">
        <v>0</v>
      </c>
      <c r="L5" s="237" t="s">
        <v>109</v>
      </c>
    </row>
    <row r="6" spans="1:12" ht="43.5" customHeight="1" x14ac:dyDescent="0.25">
      <c r="A6" s="138" t="s">
        <v>2</v>
      </c>
      <c r="B6" s="161" t="s">
        <v>82</v>
      </c>
      <c r="C6" s="161" t="s">
        <v>45</v>
      </c>
      <c r="D6" s="138" t="s">
        <v>77</v>
      </c>
      <c r="E6" s="236"/>
      <c r="F6" s="232">
        <v>25</v>
      </c>
      <c r="G6" s="192">
        <v>0.75</v>
      </c>
      <c r="H6" s="192">
        <v>0.25</v>
      </c>
      <c r="I6" s="232">
        <v>0</v>
      </c>
      <c r="J6" s="192">
        <v>1</v>
      </c>
      <c r="K6" s="192">
        <v>0</v>
      </c>
      <c r="L6" s="237" t="s">
        <v>110</v>
      </c>
    </row>
    <row r="7" spans="1:12" ht="39" customHeight="1" x14ac:dyDescent="0.25">
      <c r="A7" s="138" t="s">
        <v>2</v>
      </c>
      <c r="B7" s="161" t="s">
        <v>83</v>
      </c>
      <c r="C7" s="161" t="s">
        <v>45</v>
      </c>
      <c r="D7" s="138" t="s">
        <v>77</v>
      </c>
      <c r="E7" s="236"/>
      <c r="F7" s="232">
        <v>25</v>
      </c>
      <c r="G7" s="192">
        <v>0.75</v>
      </c>
      <c r="H7" s="192">
        <v>0.25</v>
      </c>
      <c r="I7" s="232">
        <v>25</v>
      </c>
      <c r="J7" s="192">
        <v>1</v>
      </c>
      <c r="K7" s="192">
        <v>0</v>
      </c>
      <c r="L7" s="237" t="s">
        <v>111</v>
      </c>
    </row>
    <row r="8" spans="1:12" ht="37.5" customHeight="1" x14ac:dyDescent="0.25">
      <c r="A8" s="138" t="s">
        <v>2</v>
      </c>
      <c r="B8" s="161" t="s">
        <v>84</v>
      </c>
      <c r="C8" s="161" t="s">
        <v>45</v>
      </c>
      <c r="D8" s="138" t="s">
        <v>77</v>
      </c>
      <c r="E8" s="236"/>
      <c r="F8" s="232">
        <v>5</v>
      </c>
      <c r="G8" s="192">
        <v>0.75</v>
      </c>
      <c r="H8" s="192">
        <v>0.25</v>
      </c>
      <c r="I8" s="232">
        <v>0</v>
      </c>
      <c r="J8" s="192">
        <v>1</v>
      </c>
      <c r="K8" s="192">
        <v>0</v>
      </c>
      <c r="L8" s="237" t="s">
        <v>112</v>
      </c>
    </row>
    <row r="9" spans="1:12" ht="42" customHeight="1" x14ac:dyDescent="0.25">
      <c r="A9" s="138" t="s">
        <v>2</v>
      </c>
      <c r="B9" s="161" t="s">
        <v>85</v>
      </c>
      <c r="C9" s="161" t="s">
        <v>45</v>
      </c>
      <c r="D9" s="138" t="s">
        <v>77</v>
      </c>
      <c r="E9" s="236"/>
      <c r="F9" s="232">
        <v>5</v>
      </c>
      <c r="G9" s="192">
        <v>0.75</v>
      </c>
      <c r="H9" s="192">
        <v>0.25</v>
      </c>
      <c r="I9" s="232">
        <v>5</v>
      </c>
      <c r="J9" s="192">
        <v>1</v>
      </c>
      <c r="K9" s="192">
        <v>0</v>
      </c>
      <c r="L9" s="237" t="s">
        <v>113</v>
      </c>
    </row>
    <row r="10" spans="1:12" ht="42" customHeight="1" x14ac:dyDescent="0.25">
      <c r="A10" s="138" t="s">
        <v>2</v>
      </c>
      <c r="B10" s="161" t="s">
        <v>86</v>
      </c>
      <c r="C10" s="161" t="s">
        <v>45</v>
      </c>
      <c r="D10" s="138" t="s">
        <v>77</v>
      </c>
      <c r="E10" s="236"/>
      <c r="F10" s="232">
        <v>5</v>
      </c>
      <c r="G10" s="192">
        <v>0.75</v>
      </c>
      <c r="H10" s="192">
        <v>0.25</v>
      </c>
      <c r="I10" s="232">
        <v>0</v>
      </c>
      <c r="J10" s="192">
        <v>1</v>
      </c>
      <c r="K10" s="192">
        <v>0</v>
      </c>
      <c r="L10" s="237" t="s">
        <v>112</v>
      </c>
    </row>
    <row r="11" spans="1:12" ht="42" customHeight="1" x14ac:dyDescent="0.25">
      <c r="A11" s="138" t="s">
        <v>2</v>
      </c>
      <c r="B11" s="161" t="s">
        <v>87</v>
      </c>
      <c r="C11" s="161" t="s">
        <v>45</v>
      </c>
      <c r="D11" s="138" t="s">
        <v>77</v>
      </c>
      <c r="E11" s="236"/>
      <c r="F11" s="232">
        <v>5</v>
      </c>
      <c r="G11" s="192">
        <v>0.75</v>
      </c>
      <c r="H11" s="192">
        <v>0.25</v>
      </c>
      <c r="I11" s="232">
        <v>5</v>
      </c>
      <c r="J11" s="192">
        <v>1</v>
      </c>
      <c r="K11" s="192">
        <v>0</v>
      </c>
      <c r="L11" s="237" t="s">
        <v>113</v>
      </c>
    </row>
    <row r="12" spans="1:12" ht="36.75" customHeight="1" x14ac:dyDescent="0.25">
      <c r="A12" s="138" t="s">
        <v>2</v>
      </c>
      <c r="B12" s="161" t="s">
        <v>80</v>
      </c>
      <c r="C12" s="161" t="s">
        <v>40</v>
      </c>
      <c r="D12" s="138" t="s">
        <v>77</v>
      </c>
      <c r="E12" s="236"/>
      <c r="F12" s="232">
        <v>10</v>
      </c>
      <c r="G12" s="192">
        <v>0.75</v>
      </c>
      <c r="H12" s="192">
        <v>0.25</v>
      </c>
      <c r="I12" s="232">
        <v>0</v>
      </c>
      <c r="J12" s="192">
        <v>1</v>
      </c>
      <c r="K12" s="192">
        <v>0</v>
      </c>
      <c r="L12" s="237" t="s">
        <v>114</v>
      </c>
    </row>
    <row r="13" spans="1:12" ht="36.75" customHeight="1" x14ac:dyDescent="0.25">
      <c r="A13" s="138" t="s">
        <v>2</v>
      </c>
      <c r="B13" s="161" t="s">
        <v>80</v>
      </c>
      <c r="C13" s="161" t="s">
        <v>42</v>
      </c>
      <c r="D13" s="138" t="s">
        <v>77</v>
      </c>
      <c r="E13" s="236"/>
      <c r="F13" s="232">
        <v>10</v>
      </c>
      <c r="G13" s="192">
        <v>0.75</v>
      </c>
      <c r="H13" s="192">
        <v>0.25</v>
      </c>
      <c r="I13" s="232">
        <v>0</v>
      </c>
      <c r="J13" s="192">
        <v>1</v>
      </c>
      <c r="K13" s="192">
        <v>0</v>
      </c>
      <c r="L13" s="237" t="s">
        <v>114</v>
      </c>
    </row>
    <row r="14" spans="1:12" ht="36.75" customHeight="1" x14ac:dyDescent="0.25">
      <c r="A14" s="138" t="s">
        <v>2</v>
      </c>
      <c r="B14" s="161" t="s">
        <v>81</v>
      </c>
      <c r="C14" s="161" t="s">
        <v>40</v>
      </c>
      <c r="D14" s="138" t="s">
        <v>77</v>
      </c>
      <c r="E14" s="236"/>
      <c r="F14" s="232">
        <v>10</v>
      </c>
      <c r="G14" s="192">
        <v>0.75</v>
      </c>
      <c r="H14" s="192">
        <v>0.25</v>
      </c>
      <c r="I14" s="232">
        <v>10</v>
      </c>
      <c r="J14" s="192">
        <v>1</v>
      </c>
      <c r="K14" s="192">
        <v>0</v>
      </c>
      <c r="L14" s="237" t="s">
        <v>115</v>
      </c>
    </row>
    <row r="15" spans="1:12" ht="36.75" customHeight="1" x14ac:dyDescent="0.25">
      <c r="A15" s="138" t="s">
        <v>2</v>
      </c>
      <c r="B15" s="161" t="s">
        <v>81</v>
      </c>
      <c r="C15" s="161" t="s">
        <v>42</v>
      </c>
      <c r="D15" s="138" t="s">
        <v>77</v>
      </c>
      <c r="E15" s="236"/>
      <c r="F15" s="232">
        <v>10</v>
      </c>
      <c r="G15" s="192">
        <v>0.75</v>
      </c>
      <c r="H15" s="192">
        <v>0.25</v>
      </c>
      <c r="I15" s="232">
        <v>10</v>
      </c>
      <c r="J15" s="192">
        <v>1</v>
      </c>
      <c r="K15" s="192">
        <v>0</v>
      </c>
      <c r="L15" s="237" t="s">
        <v>115</v>
      </c>
    </row>
    <row r="16" spans="1:12" ht="29.1" customHeight="1" x14ac:dyDescent="0.25">
      <c r="A16" s="138" t="s">
        <v>2</v>
      </c>
      <c r="B16" s="161" t="s">
        <v>88</v>
      </c>
      <c r="C16" s="161" t="s">
        <v>40</v>
      </c>
      <c r="D16" s="138" t="s">
        <v>77</v>
      </c>
      <c r="E16" s="236"/>
      <c r="F16" s="232">
        <v>50</v>
      </c>
      <c r="G16" s="192">
        <v>0.75</v>
      </c>
      <c r="H16" s="192">
        <v>0.25</v>
      </c>
      <c r="I16" s="232">
        <v>50</v>
      </c>
      <c r="J16" s="192">
        <v>1</v>
      </c>
      <c r="K16" s="192">
        <v>0</v>
      </c>
      <c r="L16" s="237" t="s">
        <v>116</v>
      </c>
    </row>
    <row r="17" spans="1:12" ht="29.1" customHeight="1" x14ac:dyDescent="0.25">
      <c r="A17" s="138" t="s">
        <v>2</v>
      </c>
      <c r="B17" s="161" t="s">
        <v>88</v>
      </c>
      <c r="C17" s="161" t="s">
        <v>42</v>
      </c>
      <c r="D17" s="138" t="s">
        <v>77</v>
      </c>
      <c r="E17" s="236"/>
      <c r="F17" s="232">
        <v>50</v>
      </c>
      <c r="G17" s="192">
        <v>0.75</v>
      </c>
      <c r="H17" s="192">
        <v>0.25</v>
      </c>
      <c r="I17" s="232">
        <v>50</v>
      </c>
      <c r="J17" s="192">
        <v>1</v>
      </c>
      <c r="K17" s="192">
        <v>0</v>
      </c>
      <c r="L17" s="237" t="s">
        <v>116</v>
      </c>
    </row>
    <row r="18" spans="1:12" ht="29.1" customHeight="1" x14ac:dyDescent="0.25">
      <c r="A18" s="138"/>
      <c r="B18" s="161" t="s">
        <v>82</v>
      </c>
      <c r="C18" s="161" t="s">
        <v>40</v>
      </c>
      <c r="D18" s="138" t="s">
        <v>77</v>
      </c>
      <c r="E18" s="236">
        <f>E6</f>
        <v>0</v>
      </c>
      <c r="F18" s="232">
        <f>F6*2</f>
        <v>50</v>
      </c>
      <c r="G18" s="192">
        <f>G6</f>
        <v>0.75</v>
      </c>
      <c r="H18" s="192">
        <f>H6</f>
        <v>0.25</v>
      </c>
      <c r="I18" s="232">
        <f t="shared" ref="I18:I24" si="0">I6*2</f>
        <v>0</v>
      </c>
      <c r="J18" s="192">
        <f>J6</f>
        <v>1</v>
      </c>
      <c r="K18" s="192">
        <f>K6</f>
        <v>0</v>
      </c>
      <c r="L18" s="237" t="s">
        <v>117</v>
      </c>
    </row>
    <row r="19" spans="1:12" ht="29.1" customHeight="1" x14ac:dyDescent="0.25">
      <c r="A19" s="138"/>
      <c r="B19" s="161" t="s">
        <v>83</v>
      </c>
      <c r="C19" s="161" t="s">
        <v>40</v>
      </c>
      <c r="D19" s="138" t="s">
        <v>77</v>
      </c>
      <c r="E19" s="236">
        <f t="shared" ref="E19:K19" si="1">E7</f>
        <v>0</v>
      </c>
      <c r="F19" s="232">
        <f>F7*2</f>
        <v>50</v>
      </c>
      <c r="G19" s="192">
        <f t="shared" si="1"/>
        <v>0.75</v>
      </c>
      <c r="H19" s="192">
        <f t="shared" si="1"/>
        <v>0.25</v>
      </c>
      <c r="I19" s="232">
        <f t="shared" si="0"/>
        <v>50</v>
      </c>
      <c r="J19" s="192">
        <f t="shared" si="1"/>
        <v>1</v>
      </c>
      <c r="K19" s="192">
        <f t="shared" si="1"/>
        <v>0</v>
      </c>
      <c r="L19" s="237" t="s">
        <v>117</v>
      </c>
    </row>
    <row r="20" spans="1:12" ht="29.1" customHeight="1" x14ac:dyDescent="0.25">
      <c r="A20" s="138"/>
      <c r="B20" s="161" t="s">
        <v>84</v>
      </c>
      <c r="C20" s="161" t="s">
        <v>40</v>
      </c>
      <c r="D20" s="138" t="s">
        <v>77</v>
      </c>
      <c r="E20" s="236">
        <f t="shared" ref="E20:K20" si="2">E8</f>
        <v>0</v>
      </c>
      <c r="F20" s="232">
        <f>F8*2</f>
        <v>10</v>
      </c>
      <c r="G20" s="192">
        <f t="shared" si="2"/>
        <v>0.75</v>
      </c>
      <c r="H20" s="192">
        <f t="shared" si="2"/>
        <v>0.25</v>
      </c>
      <c r="I20" s="232">
        <f t="shared" si="0"/>
        <v>0</v>
      </c>
      <c r="J20" s="192">
        <f t="shared" si="2"/>
        <v>1</v>
      </c>
      <c r="K20" s="192">
        <f t="shared" si="2"/>
        <v>0</v>
      </c>
      <c r="L20" s="237" t="s">
        <v>117</v>
      </c>
    </row>
    <row r="21" spans="1:12" ht="29.1" customHeight="1" x14ac:dyDescent="0.25">
      <c r="A21" s="138"/>
      <c r="B21" s="161" t="s">
        <v>85</v>
      </c>
      <c r="C21" s="161" t="s">
        <v>40</v>
      </c>
      <c r="D21" s="138" t="s">
        <v>77</v>
      </c>
      <c r="E21" s="236">
        <f t="shared" ref="E21:K21" si="3">E9</f>
        <v>0</v>
      </c>
      <c r="F21" s="232">
        <v>10</v>
      </c>
      <c r="G21" s="192">
        <f t="shared" si="3"/>
        <v>0.75</v>
      </c>
      <c r="H21" s="192">
        <f t="shared" si="3"/>
        <v>0.25</v>
      </c>
      <c r="I21" s="232">
        <f t="shared" si="0"/>
        <v>10</v>
      </c>
      <c r="J21" s="192">
        <f t="shared" si="3"/>
        <v>1</v>
      </c>
      <c r="K21" s="192">
        <f t="shared" si="3"/>
        <v>0</v>
      </c>
      <c r="L21" s="237" t="s">
        <v>117</v>
      </c>
    </row>
    <row r="22" spans="1:12" ht="29.1" customHeight="1" x14ac:dyDescent="0.25">
      <c r="A22" s="138"/>
      <c r="B22" s="161" t="s">
        <v>86</v>
      </c>
      <c r="C22" s="161" t="s">
        <v>40</v>
      </c>
      <c r="D22" s="138" t="s">
        <v>77</v>
      </c>
      <c r="E22" s="236">
        <f t="shared" ref="E22:K22" si="4">E10</f>
        <v>0</v>
      </c>
      <c r="F22" s="232">
        <v>10</v>
      </c>
      <c r="G22" s="192">
        <f t="shared" si="4"/>
        <v>0.75</v>
      </c>
      <c r="H22" s="192">
        <f t="shared" si="4"/>
        <v>0.25</v>
      </c>
      <c r="I22" s="232">
        <f t="shared" si="0"/>
        <v>0</v>
      </c>
      <c r="J22" s="192">
        <f t="shared" si="4"/>
        <v>1</v>
      </c>
      <c r="K22" s="192">
        <f t="shared" si="4"/>
        <v>0</v>
      </c>
      <c r="L22" s="237" t="s">
        <v>117</v>
      </c>
    </row>
    <row r="23" spans="1:12" ht="29.1" customHeight="1" x14ac:dyDescent="0.25">
      <c r="A23" s="138"/>
      <c r="B23" s="161" t="s">
        <v>87</v>
      </c>
      <c r="C23" s="161" t="s">
        <v>40</v>
      </c>
      <c r="D23" s="138" t="s">
        <v>77</v>
      </c>
      <c r="E23" s="236">
        <f t="shared" ref="E23:K23" si="5">E11</f>
        <v>0</v>
      </c>
      <c r="F23" s="232">
        <v>10</v>
      </c>
      <c r="G23" s="192">
        <f t="shared" si="5"/>
        <v>0.75</v>
      </c>
      <c r="H23" s="192">
        <f t="shared" si="5"/>
        <v>0.25</v>
      </c>
      <c r="I23" s="232">
        <f t="shared" si="0"/>
        <v>10</v>
      </c>
      <c r="J23" s="192">
        <f t="shared" si="5"/>
        <v>1</v>
      </c>
      <c r="K23" s="192">
        <f t="shared" si="5"/>
        <v>0</v>
      </c>
      <c r="L23" s="237" t="s">
        <v>117</v>
      </c>
    </row>
    <row r="24" spans="1:12" ht="29.1" customHeight="1" x14ac:dyDescent="0.25">
      <c r="A24" s="138"/>
      <c r="B24" s="161" t="s">
        <v>82</v>
      </c>
      <c r="C24" s="161" t="s">
        <v>42</v>
      </c>
      <c r="D24" s="138" t="s">
        <v>77</v>
      </c>
      <c r="E24" s="236">
        <f t="shared" ref="E24:K24" si="6">E12</f>
        <v>0</v>
      </c>
      <c r="F24" s="232">
        <f>F6*2</f>
        <v>50</v>
      </c>
      <c r="G24" s="192">
        <f t="shared" si="6"/>
        <v>0.75</v>
      </c>
      <c r="H24" s="192">
        <f t="shared" si="6"/>
        <v>0.25</v>
      </c>
      <c r="I24" s="232">
        <f t="shared" si="0"/>
        <v>0</v>
      </c>
      <c r="J24" s="192">
        <f t="shared" si="6"/>
        <v>1</v>
      </c>
      <c r="K24" s="192">
        <f t="shared" si="6"/>
        <v>0</v>
      </c>
      <c r="L24" s="237" t="s">
        <v>117</v>
      </c>
    </row>
    <row r="25" spans="1:12" ht="29.1" customHeight="1" x14ac:dyDescent="0.25">
      <c r="A25" s="138"/>
      <c r="B25" s="161" t="s">
        <v>83</v>
      </c>
      <c r="C25" s="161" t="s">
        <v>42</v>
      </c>
      <c r="D25" s="138" t="s">
        <v>77</v>
      </c>
      <c r="E25" s="236">
        <f t="shared" ref="E25:K25" si="7">E13</f>
        <v>0</v>
      </c>
      <c r="F25" s="232">
        <f>F7*2</f>
        <v>50</v>
      </c>
      <c r="G25" s="192">
        <f t="shared" si="7"/>
        <v>0.75</v>
      </c>
      <c r="H25" s="192">
        <f t="shared" si="7"/>
        <v>0.25</v>
      </c>
      <c r="I25" s="232">
        <f>I7*2</f>
        <v>50</v>
      </c>
      <c r="J25" s="192">
        <f t="shared" si="7"/>
        <v>1</v>
      </c>
      <c r="K25" s="192">
        <f t="shared" si="7"/>
        <v>0</v>
      </c>
      <c r="L25" s="237" t="s">
        <v>117</v>
      </c>
    </row>
    <row r="26" spans="1:12" ht="29.1" customHeight="1" x14ac:dyDescent="0.25">
      <c r="A26" s="138"/>
      <c r="B26" s="161" t="s">
        <v>84</v>
      </c>
      <c r="C26" s="161" t="s">
        <v>42</v>
      </c>
      <c r="D26" s="138" t="s">
        <v>77</v>
      </c>
      <c r="E26" s="236">
        <f t="shared" ref="E26:K26" si="8">E14</f>
        <v>0</v>
      </c>
      <c r="F26" s="232">
        <f t="shared" si="8"/>
        <v>10</v>
      </c>
      <c r="G26" s="192">
        <f t="shared" si="8"/>
        <v>0.75</v>
      </c>
      <c r="H26" s="192">
        <f t="shared" si="8"/>
        <v>0.25</v>
      </c>
      <c r="I26" s="232">
        <v>0</v>
      </c>
      <c r="J26" s="192">
        <f t="shared" si="8"/>
        <v>1</v>
      </c>
      <c r="K26" s="192">
        <f t="shared" si="8"/>
        <v>0</v>
      </c>
      <c r="L26" s="237" t="s">
        <v>117</v>
      </c>
    </row>
    <row r="27" spans="1:12" ht="29.1" customHeight="1" x14ac:dyDescent="0.25">
      <c r="A27" s="138"/>
      <c r="B27" s="161" t="s">
        <v>85</v>
      </c>
      <c r="C27" s="161" t="s">
        <v>42</v>
      </c>
      <c r="D27" s="138" t="s">
        <v>77</v>
      </c>
      <c r="E27" s="236">
        <f t="shared" ref="E27:K27" si="9">E15</f>
        <v>0</v>
      </c>
      <c r="F27" s="232">
        <f t="shared" si="9"/>
        <v>10</v>
      </c>
      <c r="G27" s="192">
        <f t="shared" si="9"/>
        <v>0.75</v>
      </c>
      <c r="H27" s="192">
        <f t="shared" si="9"/>
        <v>0.25</v>
      </c>
      <c r="I27" s="232">
        <f>I9*2</f>
        <v>10</v>
      </c>
      <c r="J27" s="192">
        <f t="shared" si="9"/>
        <v>1</v>
      </c>
      <c r="K27" s="192">
        <f t="shared" si="9"/>
        <v>0</v>
      </c>
      <c r="L27" s="237" t="s">
        <v>117</v>
      </c>
    </row>
    <row r="28" spans="1:12" ht="29.1" customHeight="1" x14ac:dyDescent="0.25">
      <c r="A28" s="138"/>
      <c r="B28" s="161" t="s">
        <v>86</v>
      </c>
      <c r="C28" s="161" t="s">
        <v>42</v>
      </c>
      <c r="D28" s="138" t="s">
        <v>77</v>
      </c>
      <c r="E28" s="236">
        <f t="shared" ref="E28:K28" si="10">E16</f>
        <v>0</v>
      </c>
      <c r="F28" s="232">
        <v>10</v>
      </c>
      <c r="G28" s="192">
        <f t="shared" si="10"/>
        <v>0.75</v>
      </c>
      <c r="H28" s="192">
        <f t="shared" si="10"/>
        <v>0.25</v>
      </c>
      <c r="I28" s="232">
        <f>2*I10</f>
        <v>0</v>
      </c>
      <c r="J28" s="192">
        <f t="shared" si="10"/>
        <v>1</v>
      </c>
      <c r="K28" s="192">
        <f t="shared" si="10"/>
        <v>0</v>
      </c>
      <c r="L28" s="237" t="s">
        <v>117</v>
      </c>
    </row>
    <row r="29" spans="1:12" ht="29.1" customHeight="1" x14ac:dyDescent="0.25">
      <c r="A29" s="138"/>
      <c r="B29" s="161" t="s">
        <v>87</v>
      </c>
      <c r="C29" s="161" t="s">
        <v>42</v>
      </c>
      <c r="D29" s="138" t="s">
        <v>77</v>
      </c>
      <c r="E29" s="236">
        <f t="shared" ref="E29:K29" si="11">E17</f>
        <v>0</v>
      </c>
      <c r="F29" s="232">
        <v>10</v>
      </c>
      <c r="G29" s="192">
        <f t="shared" si="11"/>
        <v>0.75</v>
      </c>
      <c r="H29" s="192">
        <f t="shared" si="11"/>
        <v>0.25</v>
      </c>
      <c r="I29" s="232">
        <f>2*I11</f>
        <v>10</v>
      </c>
      <c r="J29" s="192">
        <f t="shared" si="11"/>
        <v>1</v>
      </c>
      <c r="K29" s="192">
        <f t="shared" si="11"/>
        <v>0</v>
      </c>
      <c r="L29" s="237" t="s">
        <v>117</v>
      </c>
    </row>
    <row r="30" spans="1:12" x14ac:dyDescent="0.25">
      <c r="A30" s="138" t="s">
        <v>2</v>
      </c>
      <c r="B30" s="161" t="s">
        <v>54</v>
      </c>
      <c r="C30" s="161" t="s">
        <v>40</v>
      </c>
      <c r="D30" s="138" t="s">
        <v>77</v>
      </c>
      <c r="E30" s="236"/>
      <c r="F30" s="232">
        <v>100</v>
      </c>
      <c r="G30" s="192">
        <v>0.75</v>
      </c>
      <c r="H30" s="192">
        <v>0.25</v>
      </c>
      <c r="I30" s="232">
        <v>0</v>
      </c>
      <c r="J30" s="192">
        <v>1</v>
      </c>
      <c r="K30" s="192">
        <v>0</v>
      </c>
      <c r="L30" s="416" t="s">
        <v>118</v>
      </c>
    </row>
    <row r="31" spans="1:12" x14ac:dyDescent="0.25">
      <c r="A31" s="138" t="s">
        <v>2</v>
      </c>
      <c r="B31" s="161" t="s">
        <v>54</v>
      </c>
      <c r="C31" s="161" t="s">
        <v>41</v>
      </c>
      <c r="D31" s="138" t="s">
        <v>77</v>
      </c>
      <c r="E31" s="236"/>
      <c r="F31" s="232">
        <v>200</v>
      </c>
      <c r="G31" s="192">
        <v>0.75</v>
      </c>
      <c r="H31" s="192">
        <v>0.25</v>
      </c>
      <c r="I31" s="232">
        <v>0</v>
      </c>
      <c r="J31" s="192">
        <v>1</v>
      </c>
      <c r="K31" s="192">
        <v>0</v>
      </c>
      <c r="L31" s="416"/>
    </row>
    <row r="32" spans="1:12" x14ac:dyDescent="0.25">
      <c r="A32" s="138" t="s">
        <v>2</v>
      </c>
      <c r="B32" s="161" t="s">
        <v>54</v>
      </c>
      <c r="C32" s="161" t="s">
        <v>42</v>
      </c>
      <c r="D32" s="138" t="s">
        <v>77</v>
      </c>
      <c r="E32" s="236"/>
      <c r="F32" s="232">
        <v>100</v>
      </c>
      <c r="G32" s="192">
        <v>0.75</v>
      </c>
      <c r="H32" s="192">
        <v>0.25</v>
      </c>
      <c r="I32" s="232">
        <v>0</v>
      </c>
      <c r="J32" s="192">
        <v>1</v>
      </c>
      <c r="K32" s="192">
        <v>0</v>
      </c>
      <c r="L32" s="416"/>
    </row>
    <row r="33" spans="1:12" x14ac:dyDescent="0.25">
      <c r="A33" s="138" t="s">
        <v>2</v>
      </c>
      <c r="B33" s="161" t="s">
        <v>54</v>
      </c>
      <c r="C33" s="161" t="s">
        <v>43</v>
      </c>
      <c r="D33" s="138" t="s">
        <v>77</v>
      </c>
      <c r="E33" s="236"/>
      <c r="F33" s="232">
        <v>200</v>
      </c>
      <c r="G33" s="192">
        <v>0.75</v>
      </c>
      <c r="H33" s="192">
        <v>0.25</v>
      </c>
      <c r="I33" s="232">
        <v>0</v>
      </c>
      <c r="J33" s="192">
        <v>1</v>
      </c>
      <c r="K33" s="192">
        <v>0</v>
      </c>
      <c r="L33" s="416"/>
    </row>
    <row r="34" spans="1:12" x14ac:dyDescent="0.25">
      <c r="A34" s="138" t="s">
        <v>2</v>
      </c>
      <c r="B34" s="161" t="s">
        <v>54</v>
      </c>
      <c r="C34" s="161" t="s">
        <v>44</v>
      </c>
      <c r="D34" s="138" t="s">
        <v>77</v>
      </c>
      <c r="E34" s="236"/>
      <c r="F34" s="232">
        <v>200</v>
      </c>
      <c r="G34" s="192">
        <v>0.75</v>
      </c>
      <c r="H34" s="192">
        <v>0.25</v>
      </c>
      <c r="I34" s="232">
        <v>0</v>
      </c>
      <c r="J34" s="192">
        <v>1</v>
      </c>
      <c r="K34" s="192">
        <v>0</v>
      </c>
      <c r="L34" s="416"/>
    </row>
    <row r="35" spans="1:12" x14ac:dyDescent="0.25">
      <c r="A35" s="138" t="s">
        <v>2</v>
      </c>
      <c r="B35" s="161" t="s">
        <v>119</v>
      </c>
      <c r="C35" s="161" t="s">
        <v>41</v>
      </c>
      <c r="D35" s="138" t="s">
        <v>77</v>
      </c>
      <c r="E35" s="236"/>
      <c r="F35" s="232">
        <v>200</v>
      </c>
      <c r="G35" s="192">
        <v>0.75</v>
      </c>
      <c r="H35" s="192">
        <v>0.25</v>
      </c>
      <c r="I35" s="232">
        <v>0</v>
      </c>
      <c r="J35" s="192">
        <v>1</v>
      </c>
      <c r="K35" s="192">
        <v>0</v>
      </c>
      <c r="L35" s="417" t="s">
        <v>530</v>
      </c>
    </row>
    <row r="36" spans="1:12" x14ac:dyDescent="0.25">
      <c r="A36" s="138" t="s">
        <v>2</v>
      </c>
      <c r="B36" s="161" t="s">
        <v>120</v>
      </c>
      <c r="C36" s="161" t="s">
        <v>41</v>
      </c>
      <c r="D36" s="138" t="s">
        <v>77</v>
      </c>
      <c r="E36" s="236"/>
      <c r="F36" s="232">
        <v>200</v>
      </c>
      <c r="G36" s="192">
        <v>0.75</v>
      </c>
      <c r="H36" s="192">
        <v>0.25</v>
      </c>
      <c r="I36" s="232">
        <v>0</v>
      </c>
      <c r="J36" s="192">
        <v>1</v>
      </c>
      <c r="K36" s="192">
        <v>0</v>
      </c>
      <c r="L36" s="418"/>
    </row>
    <row r="37" spans="1:12" x14ac:dyDescent="0.25">
      <c r="A37" s="138" t="s">
        <v>2</v>
      </c>
      <c r="B37" s="161" t="s">
        <v>121</v>
      </c>
      <c r="C37" s="161" t="s">
        <v>41</v>
      </c>
      <c r="D37" s="138" t="s">
        <v>77</v>
      </c>
      <c r="E37" s="236"/>
      <c r="F37" s="232">
        <v>200</v>
      </c>
      <c r="G37" s="192">
        <v>0.75</v>
      </c>
      <c r="H37" s="192">
        <v>0.25</v>
      </c>
      <c r="I37" s="232">
        <v>0</v>
      </c>
      <c r="J37" s="192">
        <v>1</v>
      </c>
      <c r="K37" s="192">
        <v>0</v>
      </c>
      <c r="L37" s="418"/>
    </row>
    <row r="38" spans="1:12" ht="14.55" customHeight="1" x14ac:dyDescent="0.25">
      <c r="A38" s="138" t="s">
        <v>2</v>
      </c>
      <c r="B38" s="161" t="s">
        <v>122</v>
      </c>
      <c r="C38" s="161" t="s">
        <v>41</v>
      </c>
      <c r="D38" s="138" t="s">
        <v>77</v>
      </c>
      <c r="E38" s="236"/>
      <c r="F38" s="232">
        <v>200</v>
      </c>
      <c r="G38" s="192">
        <v>0.75</v>
      </c>
      <c r="H38" s="192">
        <v>0.25</v>
      </c>
      <c r="I38" s="232">
        <v>0</v>
      </c>
      <c r="J38" s="192">
        <v>1</v>
      </c>
      <c r="K38" s="192">
        <v>0</v>
      </c>
      <c r="L38" s="418"/>
    </row>
    <row r="39" spans="1:12" x14ac:dyDescent="0.25">
      <c r="A39" s="138" t="s">
        <v>2</v>
      </c>
      <c r="B39" s="161" t="s">
        <v>123</v>
      </c>
      <c r="C39" s="161" t="s">
        <v>41</v>
      </c>
      <c r="D39" s="138" t="s">
        <v>77</v>
      </c>
      <c r="E39" s="236"/>
      <c r="F39" s="232">
        <v>200</v>
      </c>
      <c r="G39" s="192">
        <v>0.75</v>
      </c>
      <c r="H39" s="192">
        <v>0.25</v>
      </c>
      <c r="I39" s="232">
        <v>0</v>
      </c>
      <c r="J39" s="192">
        <v>1</v>
      </c>
      <c r="K39" s="192">
        <v>0</v>
      </c>
      <c r="L39" s="418"/>
    </row>
    <row r="40" spans="1:12" x14ac:dyDescent="0.25">
      <c r="A40" s="138" t="s">
        <v>2</v>
      </c>
      <c r="B40" s="161" t="s">
        <v>124</v>
      </c>
      <c r="C40" s="161" t="s">
        <v>41</v>
      </c>
      <c r="D40" s="138" t="s">
        <v>77</v>
      </c>
      <c r="E40" s="236"/>
      <c r="F40" s="232">
        <v>200</v>
      </c>
      <c r="G40" s="192">
        <v>0.75</v>
      </c>
      <c r="H40" s="192">
        <v>0.25</v>
      </c>
      <c r="I40" s="232">
        <v>0</v>
      </c>
      <c r="J40" s="192">
        <v>1</v>
      </c>
      <c r="K40" s="192">
        <v>0</v>
      </c>
      <c r="L40" s="418"/>
    </row>
    <row r="41" spans="1:12" x14ac:dyDescent="0.25">
      <c r="A41" s="138" t="s">
        <v>2</v>
      </c>
      <c r="B41" s="161" t="s">
        <v>125</v>
      </c>
      <c r="C41" s="161" t="s">
        <v>41</v>
      </c>
      <c r="D41" s="138" t="s">
        <v>77</v>
      </c>
      <c r="E41" s="236"/>
      <c r="F41" s="232">
        <v>200</v>
      </c>
      <c r="G41" s="192">
        <v>0.75</v>
      </c>
      <c r="H41" s="192">
        <v>0.25</v>
      </c>
      <c r="I41" s="232">
        <v>0</v>
      </c>
      <c r="J41" s="192">
        <v>1</v>
      </c>
      <c r="K41" s="192">
        <v>0</v>
      </c>
      <c r="L41" s="418"/>
    </row>
    <row r="42" spans="1:12" x14ac:dyDescent="0.25">
      <c r="A42" s="138" t="s">
        <v>2</v>
      </c>
      <c r="B42" s="161" t="s">
        <v>119</v>
      </c>
      <c r="C42" s="161" t="s">
        <v>43</v>
      </c>
      <c r="D42" s="138" t="s">
        <v>77</v>
      </c>
      <c r="E42" s="236"/>
      <c r="F42" s="232">
        <v>200</v>
      </c>
      <c r="G42" s="192">
        <v>0.75</v>
      </c>
      <c r="H42" s="192">
        <v>0.25</v>
      </c>
      <c r="I42" s="232">
        <v>0</v>
      </c>
      <c r="J42" s="192">
        <v>1</v>
      </c>
      <c r="K42" s="192">
        <v>0</v>
      </c>
      <c r="L42" s="418"/>
    </row>
    <row r="43" spans="1:12" x14ac:dyDescent="0.25">
      <c r="A43" s="138" t="s">
        <v>2</v>
      </c>
      <c r="B43" s="161" t="s">
        <v>120</v>
      </c>
      <c r="C43" s="161" t="s">
        <v>43</v>
      </c>
      <c r="D43" s="138" t="s">
        <v>77</v>
      </c>
      <c r="E43" s="236"/>
      <c r="F43" s="232">
        <v>200</v>
      </c>
      <c r="G43" s="192">
        <v>0.75</v>
      </c>
      <c r="H43" s="192">
        <v>0.25</v>
      </c>
      <c r="I43" s="232">
        <v>0</v>
      </c>
      <c r="J43" s="192">
        <v>1</v>
      </c>
      <c r="K43" s="192">
        <v>0</v>
      </c>
      <c r="L43" s="418"/>
    </row>
    <row r="44" spans="1:12" x14ac:dyDescent="0.25">
      <c r="A44" s="138" t="s">
        <v>2</v>
      </c>
      <c r="B44" s="161" t="s">
        <v>121</v>
      </c>
      <c r="C44" s="161" t="s">
        <v>43</v>
      </c>
      <c r="D44" s="138" t="s">
        <v>77</v>
      </c>
      <c r="E44" s="236"/>
      <c r="F44" s="232">
        <v>200</v>
      </c>
      <c r="G44" s="192">
        <v>0.75</v>
      </c>
      <c r="H44" s="192">
        <v>0.25</v>
      </c>
      <c r="I44" s="232">
        <v>0</v>
      </c>
      <c r="J44" s="192">
        <v>1</v>
      </c>
      <c r="K44" s="192">
        <v>0</v>
      </c>
      <c r="L44" s="418"/>
    </row>
    <row r="45" spans="1:12" x14ac:dyDescent="0.25">
      <c r="A45" s="138" t="s">
        <v>2</v>
      </c>
      <c r="B45" s="161" t="s">
        <v>122</v>
      </c>
      <c r="C45" s="161" t="s">
        <v>43</v>
      </c>
      <c r="D45" s="138" t="s">
        <v>77</v>
      </c>
      <c r="E45" s="236"/>
      <c r="F45" s="232">
        <v>200</v>
      </c>
      <c r="G45" s="192">
        <v>0.75</v>
      </c>
      <c r="H45" s="192">
        <v>0.25</v>
      </c>
      <c r="I45" s="232">
        <v>0</v>
      </c>
      <c r="J45" s="192">
        <v>1</v>
      </c>
      <c r="K45" s="192">
        <v>0</v>
      </c>
      <c r="L45" s="418"/>
    </row>
    <row r="46" spans="1:12" x14ac:dyDescent="0.25">
      <c r="A46" s="138" t="s">
        <v>2</v>
      </c>
      <c r="B46" s="161" t="s">
        <v>123</v>
      </c>
      <c r="C46" s="161" t="s">
        <v>43</v>
      </c>
      <c r="D46" s="138" t="s">
        <v>77</v>
      </c>
      <c r="E46" s="236"/>
      <c r="F46" s="232">
        <v>200</v>
      </c>
      <c r="G46" s="192">
        <v>0.75</v>
      </c>
      <c r="H46" s="192">
        <v>0.25</v>
      </c>
      <c r="I46" s="232">
        <v>0</v>
      </c>
      <c r="J46" s="192">
        <v>1</v>
      </c>
      <c r="K46" s="192">
        <v>0</v>
      </c>
      <c r="L46" s="418"/>
    </row>
    <row r="47" spans="1:12" x14ac:dyDescent="0.25">
      <c r="A47" s="138" t="s">
        <v>2</v>
      </c>
      <c r="B47" s="161" t="s">
        <v>124</v>
      </c>
      <c r="C47" s="161" t="s">
        <v>43</v>
      </c>
      <c r="D47" s="138" t="s">
        <v>77</v>
      </c>
      <c r="E47" s="236"/>
      <c r="F47" s="232">
        <v>200</v>
      </c>
      <c r="G47" s="192">
        <v>0.75</v>
      </c>
      <c r="H47" s="192">
        <v>0.25</v>
      </c>
      <c r="I47" s="232">
        <v>0</v>
      </c>
      <c r="J47" s="192">
        <v>1</v>
      </c>
      <c r="K47" s="192">
        <v>0</v>
      </c>
      <c r="L47" s="418"/>
    </row>
    <row r="48" spans="1:12" x14ac:dyDescent="0.25">
      <c r="A48" s="138" t="s">
        <v>2</v>
      </c>
      <c r="B48" s="161" t="s">
        <v>125</v>
      </c>
      <c r="C48" s="161" t="s">
        <v>43</v>
      </c>
      <c r="D48" s="138" t="s">
        <v>77</v>
      </c>
      <c r="E48" s="236"/>
      <c r="F48" s="232">
        <v>200</v>
      </c>
      <c r="G48" s="192">
        <v>0.75</v>
      </c>
      <c r="H48" s="192">
        <v>0.25</v>
      </c>
      <c r="I48" s="232">
        <v>0</v>
      </c>
      <c r="J48" s="192">
        <v>1</v>
      </c>
      <c r="K48" s="192">
        <v>0</v>
      </c>
      <c r="L48" s="418"/>
    </row>
    <row r="49" spans="1:12" x14ac:dyDescent="0.25">
      <c r="A49" s="138" t="s">
        <v>2</v>
      </c>
      <c r="B49" s="161" t="s">
        <v>119</v>
      </c>
      <c r="C49" s="161" t="s">
        <v>44</v>
      </c>
      <c r="D49" s="138" t="s">
        <v>77</v>
      </c>
      <c r="E49" s="236"/>
      <c r="F49" s="232">
        <v>200</v>
      </c>
      <c r="G49" s="192">
        <v>0.75</v>
      </c>
      <c r="H49" s="192">
        <v>0.25</v>
      </c>
      <c r="I49" s="232">
        <v>0</v>
      </c>
      <c r="J49" s="192">
        <v>1</v>
      </c>
      <c r="K49" s="192">
        <v>0</v>
      </c>
      <c r="L49" s="418"/>
    </row>
    <row r="50" spans="1:12" x14ac:dyDescent="0.25">
      <c r="A50" s="138" t="s">
        <v>2</v>
      </c>
      <c r="B50" s="161" t="s">
        <v>120</v>
      </c>
      <c r="C50" s="161" t="s">
        <v>44</v>
      </c>
      <c r="D50" s="138" t="s">
        <v>77</v>
      </c>
      <c r="E50" s="236"/>
      <c r="F50" s="232">
        <v>200</v>
      </c>
      <c r="G50" s="192">
        <v>0.75</v>
      </c>
      <c r="H50" s="192">
        <v>0.25</v>
      </c>
      <c r="I50" s="232">
        <v>0</v>
      </c>
      <c r="J50" s="192">
        <v>1</v>
      </c>
      <c r="K50" s="192">
        <v>0</v>
      </c>
      <c r="L50" s="418"/>
    </row>
    <row r="51" spans="1:12" x14ac:dyDescent="0.25">
      <c r="A51" s="138" t="s">
        <v>2</v>
      </c>
      <c r="B51" s="161" t="s">
        <v>121</v>
      </c>
      <c r="C51" s="161" t="s">
        <v>44</v>
      </c>
      <c r="D51" s="138" t="s">
        <v>77</v>
      </c>
      <c r="E51" s="236"/>
      <c r="F51" s="232">
        <v>200</v>
      </c>
      <c r="G51" s="192">
        <v>0.75</v>
      </c>
      <c r="H51" s="192">
        <v>0.25</v>
      </c>
      <c r="I51" s="232">
        <v>0</v>
      </c>
      <c r="J51" s="192">
        <v>1</v>
      </c>
      <c r="K51" s="192">
        <v>0</v>
      </c>
      <c r="L51" s="418"/>
    </row>
    <row r="52" spans="1:12" x14ac:dyDescent="0.25">
      <c r="A52" s="138" t="s">
        <v>2</v>
      </c>
      <c r="B52" s="161" t="s">
        <v>122</v>
      </c>
      <c r="C52" s="161" t="s">
        <v>44</v>
      </c>
      <c r="D52" s="138" t="s">
        <v>77</v>
      </c>
      <c r="E52" s="236"/>
      <c r="F52" s="232">
        <v>200</v>
      </c>
      <c r="G52" s="192">
        <v>0.75</v>
      </c>
      <c r="H52" s="192">
        <v>0.25</v>
      </c>
      <c r="I52" s="232">
        <v>0</v>
      </c>
      <c r="J52" s="192">
        <v>1</v>
      </c>
      <c r="K52" s="192">
        <v>0</v>
      </c>
      <c r="L52" s="418"/>
    </row>
    <row r="53" spans="1:12" x14ac:dyDescent="0.25">
      <c r="A53" s="138" t="s">
        <v>2</v>
      </c>
      <c r="B53" s="161" t="s">
        <v>123</v>
      </c>
      <c r="C53" s="161" t="s">
        <v>44</v>
      </c>
      <c r="D53" s="138" t="s">
        <v>77</v>
      </c>
      <c r="E53" s="236"/>
      <c r="F53" s="232">
        <v>200</v>
      </c>
      <c r="G53" s="192">
        <v>0.75</v>
      </c>
      <c r="H53" s="192">
        <v>0.25</v>
      </c>
      <c r="I53" s="232">
        <v>0</v>
      </c>
      <c r="J53" s="192">
        <v>1</v>
      </c>
      <c r="K53" s="192">
        <v>0</v>
      </c>
      <c r="L53" s="418"/>
    </row>
    <row r="54" spans="1:12" x14ac:dyDescent="0.25">
      <c r="A54" s="138" t="s">
        <v>2</v>
      </c>
      <c r="B54" s="161" t="s">
        <v>124</v>
      </c>
      <c r="C54" s="161" t="s">
        <v>44</v>
      </c>
      <c r="D54" s="138" t="s">
        <v>77</v>
      </c>
      <c r="E54" s="236"/>
      <c r="F54" s="232">
        <v>200</v>
      </c>
      <c r="G54" s="192">
        <v>0.75</v>
      </c>
      <c r="H54" s="192">
        <v>0.25</v>
      </c>
      <c r="I54" s="232">
        <v>0</v>
      </c>
      <c r="J54" s="192">
        <v>1</v>
      </c>
      <c r="K54" s="192">
        <v>0</v>
      </c>
      <c r="L54" s="418"/>
    </row>
    <row r="55" spans="1:12" x14ac:dyDescent="0.25">
      <c r="A55" s="138" t="s">
        <v>2</v>
      </c>
      <c r="B55" s="161" t="s">
        <v>125</v>
      </c>
      <c r="C55" s="161" t="s">
        <v>44</v>
      </c>
      <c r="D55" s="138" t="s">
        <v>77</v>
      </c>
      <c r="E55" s="236"/>
      <c r="F55" s="232">
        <v>200</v>
      </c>
      <c r="G55" s="192">
        <v>0.75</v>
      </c>
      <c r="H55" s="192">
        <v>0.25</v>
      </c>
      <c r="I55" s="232">
        <v>0</v>
      </c>
      <c r="J55" s="192">
        <v>1</v>
      </c>
      <c r="K55" s="192">
        <v>0</v>
      </c>
      <c r="L55" s="418"/>
    </row>
    <row r="56" spans="1:12" ht="14.55" customHeight="1" x14ac:dyDescent="0.3">
      <c r="A56" s="138" t="s">
        <v>2</v>
      </c>
      <c r="B56" s="161" t="s">
        <v>101</v>
      </c>
      <c r="C56" s="161" t="s">
        <v>40</v>
      </c>
      <c r="D56" s="152" t="s">
        <v>77</v>
      </c>
      <c r="E56" s="238"/>
      <c r="F56" s="239">
        <v>100</v>
      </c>
      <c r="G56" s="192">
        <v>0.5</v>
      </c>
      <c r="H56" s="192">
        <f t="shared" ref="H56:H67" si="12">100%-G56</f>
        <v>0.5</v>
      </c>
      <c r="I56" s="239">
        <v>0</v>
      </c>
      <c r="J56" s="192">
        <v>0.5</v>
      </c>
      <c r="K56" s="192">
        <f t="shared" ref="K56:K61" si="13">100%-J56</f>
        <v>0.5</v>
      </c>
      <c r="L56" s="419" t="s">
        <v>126</v>
      </c>
    </row>
    <row r="57" spans="1:12" ht="14.4" x14ac:dyDescent="0.3">
      <c r="A57" s="138" t="s">
        <v>2</v>
      </c>
      <c r="B57" s="161" t="s">
        <v>101</v>
      </c>
      <c r="C57" s="161" t="s">
        <v>41</v>
      </c>
      <c r="D57" s="152" t="s">
        <v>77</v>
      </c>
      <c r="E57" s="238"/>
      <c r="F57" s="239">
        <v>200</v>
      </c>
      <c r="G57" s="192">
        <v>0.5</v>
      </c>
      <c r="H57" s="192">
        <f t="shared" si="12"/>
        <v>0.5</v>
      </c>
      <c r="I57" s="239">
        <v>0</v>
      </c>
      <c r="J57" s="192">
        <v>0.5</v>
      </c>
      <c r="K57" s="192">
        <f t="shared" si="13"/>
        <v>0.5</v>
      </c>
      <c r="L57" s="419"/>
    </row>
    <row r="58" spans="1:12" ht="14.4" x14ac:dyDescent="0.3">
      <c r="A58" s="138" t="s">
        <v>2</v>
      </c>
      <c r="B58" s="161" t="s">
        <v>101</v>
      </c>
      <c r="C58" s="161" t="s">
        <v>42</v>
      </c>
      <c r="D58" s="152" t="s">
        <v>77</v>
      </c>
      <c r="E58" s="238"/>
      <c r="F58" s="239">
        <v>100</v>
      </c>
      <c r="G58" s="192">
        <v>0.5</v>
      </c>
      <c r="H58" s="192">
        <f t="shared" si="12"/>
        <v>0.5</v>
      </c>
      <c r="I58" s="239">
        <v>0</v>
      </c>
      <c r="J58" s="192">
        <v>0.5</v>
      </c>
      <c r="K58" s="192">
        <f t="shared" si="13"/>
        <v>0.5</v>
      </c>
      <c r="L58" s="419"/>
    </row>
    <row r="59" spans="1:12" ht="14.4" x14ac:dyDescent="0.3">
      <c r="A59" s="138" t="s">
        <v>2</v>
      </c>
      <c r="B59" s="161" t="s">
        <v>101</v>
      </c>
      <c r="C59" s="161" t="s">
        <v>43</v>
      </c>
      <c r="D59" s="152" t="s">
        <v>77</v>
      </c>
      <c r="E59" s="238"/>
      <c r="F59" s="239">
        <v>200</v>
      </c>
      <c r="G59" s="192">
        <v>0.5</v>
      </c>
      <c r="H59" s="192">
        <f t="shared" si="12"/>
        <v>0.5</v>
      </c>
      <c r="I59" s="239">
        <v>0</v>
      </c>
      <c r="J59" s="192">
        <v>0.5</v>
      </c>
      <c r="K59" s="192">
        <f t="shared" si="13"/>
        <v>0.5</v>
      </c>
      <c r="L59" s="419"/>
    </row>
    <row r="60" spans="1:12" ht="14.4" x14ac:dyDescent="0.3">
      <c r="A60" s="138" t="s">
        <v>2</v>
      </c>
      <c r="B60" s="161" t="s">
        <v>101</v>
      </c>
      <c r="C60" s="161" t="s">
        <v>44</v>
      </c>
      <c r="D60" s="152" t="s">
        <v>77</v>
      </c>
      <c r="E60" s="238"/>
      <c r="F60" s="239">
        <v>200</v>
      </c>
      <c r="G60" s="192">
        <v>0.5</v>
      </c>
      <c r="H60" s="192">
        <f t="shared" si="12"/>
        <v>0.5</v>
      </c>
      <c r="I60" s="239">
        <v>0</v>
      </c>
      <c r="J60" s="192">
        <v>0.5</v>
      </c>
      <c r="K60" s="192">
        <f t="shared" si="13"/>
        <v>0.5</v>
      </c>
      <c r="L60" s="419"/>
    </row>
    <row r="61" spans="1:12" ht="14.4" x14ac:dyDescent="0.3">
      <c r="A61" s="138" t="s">
        <v>2</v>
      </c>
      <c r="B61" s="161" t="s">
        <v>101</v>
      </c>
      <c r="C61" s="161" t="s">
        <v>45</v>
      </c>
      <c r="D61" s="152" t="s">
        <v>77</v>
      </c>
      <c r="E61" s="238"/>
      <c r="F61" s="239">
        <v>50</v>
      </c>
      <c r="G61" s="192">
        <v>0.5</v>
      </c>
      <c r="H61" s="192">
        <f t="shared" si="12"/>
        <v>0.5</v>
      </c>
      <c r="I61" s="239">
        <v>0</v>
      </c>
      <c r="J61" s="192">
        <v>0.5</v>
      </c>
      <c r="K61" s="192">
        <f t="shared" si="13"/>
        <v>0.5</v>
      </c>
      <c r="L61" s="419"/>
    </row>
    <row r="62" spans="1:12" ht="14.4" x14ac:dyDescent="0.3">
      <c r="A62" s="138" t="s">
        <v>2</v>
      </c>
      <c r="B62" s="161" t="s">
        <v>102</v>
      </c>
      <c r="C62" s="161" t="s">
        <v>40</v>
      </c>
      <c r="D62" s="152" t="s">
        <v>77</v>
      </c>
      <c r="E62" s="238"/>
      <c r="F62" s="239">
        <f t="shared" ref="F62:F67" si="14">F56</f>
        <v>100</v>
      </c>
      <c r="G62" s="192">
        <v>0</v>
      </c>
      <c r="H62" s="192">
        <f t="shared" si="12"/>
        <v>1</v>
      </c>
      <c r="I62" s="239">
        <v>0</v>
      </c>
      <c r="J62" s="192">
        <v>1</v>
      </c>
      <c r="K62" s="192">
        <v>0</v>
      </c>
      <c r="L62" s="419"/>
    </row>
    <row r="63" spans="1:12" ht="14.4" x14ac:dyDescent="0.3">
      <c r="A63" s="138" t="s">
        <v>2</v>
      </c>
      <c r="B63" s="161" t="s">
        <v>102</v>
      </c>
      <c r="C63" s="161" t="s">
        <v>41</v>
      </c>
      <c r="D63" s="152" t="s">
        <v>77</v>
      </c>
      <c r="E63" s="238"/>
      <c r="F63" s="239">
        <v>200</v>
      </c>
      <c r="G63" s="192">
        <v>0</v>
      </c>
      <c r="H63" s="192">
        <f t="shared" si="12"/>
        <v>1</v>
      </c>
      <c r="I63" s="239">
        <v>0</v>
      </c>
      <c r="J63" s="192">
        <v>1</v>
      </c>
      <c r="K63" s="192">
        <v>0</v>
      </c>
      <c r="L63" s="419"/>
    </row>
    <row r="64" spans="1:12" ht="14.4" x14ac:dyDescent="0.3">
      <c r="A64" s="138" t="s">
        <v>2</v>
      </c>
      <c r="B64" s="161" t="s">
        <v>102</v>
      </c>
      <c r="C64" s="161" t="s">
        <v>42</v>
      </c>
      <c r="D64" s="152" t="s">
        <v>77</v>
      </c>
      <c r="E64" s="238"/>
      <c r="F64" s="239">
        <f t="shared" si="14"/>
        <v>100</v>
      </c>
      <c r="G64" s="192">
        <v>0</v>
      </c>
      <c r="H64" s="192">
        <f t="shared" si="12"/>
        <v>1</v>
      </c>
      <c r="I64" s="239">
        <v>0</v>
      </c>
      <c r="J64" s="192">
        <v>1</v>
      </c>
      <c r="K64" s="192">
        <v>0</v>
      </c>
      <c r="L64" s="419"/>
    </row>
    <row r="65" spans="1:12" ht="14.4" x14ac:dyDescent="0.3">
      <c r="A65" s="138" t="s">
        <v>2</v>
      </c>
      <c r="B65" s="161" t="s">
        <v>102</v>
      </c>
      <c r="C65" s="161" t="s">
        <v>43</v>
      </c>
      <c r="D65" s="152" t="s">
        <v>77</v>
      </c>
      <c r="E65" s="238"/>
      <c r="F65" s="239">
        <v>200</v>
      </c>
      <c r="G65" s="192">
        <v>0</v>
      </c>
      <c r="H65" s="192">
        <f t="shared" si="12"/>
        <v>1</v>
      </c>
      <c r="I65" s="239">
        <v>0</v>
      </c>
      <c r="J65" s="192">
        <v>1</v>
      </c>
      <c r="K65" s="192">
        <v>0</v>
      </c>
      <c r="L65" s="419"/>
    </row>
    <row r="66" spans="1:12" ht="14.4" x14ac:dyDescent="0.3">
      <c r="A66" s="138" t="s">
        <v>2</v>
      </c>
      <c r="B66" s="161" t="s">
        <v>102</v>
      </c>
      <c r="C66" s="161" t="s">
        <v>44</v>
      </c>
      <c r="D66" s="152" t="s">
        <v>77</v>
      </c>
      <c r="E66" s="238"/>
      <c r="F66" s="239">
        <v>200</v>
      </c>
      <c r="G66" s="192">
        <v>0</v>
      </c>
      <c r="H66" s="192">
        <f t="shared" si="12"/>
        <v>1</v>
      </c>
      <c r="I66" s="239">
        <v>0</v>
      </c>
      <c r="J66" s="192">
        <v>1</v>
      </c>
      <c r="K66" s="192">
        <v>0</v>
      </c>
      <c r="L66" s="419"/>
    </row>
    <row r="67" spans="1:12" ht="14.4" x14ac:dyDescent="0.3">
      <c r="A67" s="138" t="s">
        <v>2</v>
      </c>
      <c r="B67" s="161" t="s">
        <v>102</v>
      </c>
      <c r="C67" s="161" t="s">
        <v>45</v>
      </c>
      <c r="D67" s="152" t="s">
        <v>77</v>
      </c>
      <c r="E67" s="238"/>
      <c r="F67" s="239">
        <f t="shared" si="14"/>
        <v>50</v>
      </c>
      <c r="G67" s="192">
        <v>0</v>
      </c>
      <c r="H67" s="192">
        <f t="shared" si="12"/>
        <v>1</v>
      </c>
      <c r="I67" s="239">
        <v>0</v>
      </c>
      <c r="J67" s="192">
        <v>1</v>
      </c>
      <c r="K67" s="192">
        <v>0</v>
      </c>
      <c r="L67" s="419"/>
    </row>
    <row r="68" spans="1:12" ht="14.4" x14ac:dyDescent="0.3">
      <c r="A68" s="138" t="s">
        <v>2</v>
      </c>
      <c r="B68" s="161" t="s">
        <v>56</v>
      </c>
      <c r="C68" s="161" t="s">
        <v>40</v>
      </c>
      <c r="D68" s="152" t="s">
        <v>77</v>
      </c>
      <c r="E68" s="238"/>
      <c r="F68" s="239">
        <v>0</v>
      </c>
      <c r="G68" s="192">
        <v>0.75</v>
      </c>
      <c r="H68" s="192">
        <v>0.25</v>
      </c>
      <c r="I68" s="239">
        <v>0</v>
      </c>
      <c r="J68" s="192">
        <v>1</v>
      </c>
      <c r="K68" s="192">
        <v>0</v>
      </c>
      <c r="L68" s="240" t="s">
        <v>531</v>
      </c>
    </row>
    <row r="69" spans="1:12" ht="14.4" x14ac:dyDescent="0.3">
      <c r="A69" s="138" t="s">
        <v>2</v>
      </c>
      <c r="B69" s="161" t="s">
        <v>56</v>
      </c>
      <c r="C69" s="161" t="s">
        <v>41</v>
      </c>
      <c r="D69" s="152" t="s">
        <v>77</v>
      </c>
      <c r="E69" s="238"/>
      <c r="F69" s="239">
        <v>0</v>
      </c>
      <c r="G69" s="192">
        <v>0.75</v>
      </c>
      <c r="H69" s="192">
        <v>0.25</v>
      </c>
      <c r="I69" s="239">
        <v>0</v>
      </c>
      <c r="J69" s="192">
        <v>1</v>
      </c>
      <c r="K69" s="192">
        <v>0</v>
      </c>
      <c r="L69" s="240" t="s">
        <v>531</v>
      </c>
    </row>
    <row r="70" spans="1:12" ht="14.4" x14ac:dyDescent="0.3">
      <c r="A70" s="138" t="s">
        <v>2</v>
      </c>
      <c r="B70" s="161" t="s">
        <v>56</v>
      </c>
      <c r="C70" s="161" t="s">
        <v>42</v>
      </c>
      <c r="D70" s="152" t="s">
        <v>77</v>
      </c>
      <c r="E70" s="238"/>
      <c r="F70" s="239">
        <v>0</v>
      </c>
      <c r="G70" s="192">
        <v>0.75</v>
      </c>
      <c r="H70" s="192">
        <v>0.25</v>
      </c>
      <c r="I70" s="239">
        <v>0</v>
      </c>
      <c r="J70" s="192">
        <v>1</v>
      </c>
      <c r="K70" s="192">
        <v>0</v>
      </c>
      <c r="L70" s="240" t="s">
        <v>531</v>
      </c>
    </row>
    <row r="71" spans="1:12" ht="14.4" x14ac:dyDescent="0.3">
      <c r="A71" s="138" t="s">
        <v>2</v>
      </c>
      <c r="B71" s="161" t="s">
        <v>56</v>
      </c>
      <c r="C71" s="161" t="s">
        <v>43</v>
      </c>
      <c r="D71" s="152" t="s">
        <v>77</v>
      </c>
      <c r="E71" s="238"/>
      <c r="F71" s="239">
        <v>0</v>
      </c>
      <c r="G71" s="192">
        <v>0.75</v>
      </c>
      <c r="H71" s="192">
        <v>0.25</v>
      </c>
      <c r="I71" s="239">
        <v>0</v>
      </c>
      <c r="J71" s="192">
        <v>1</v>
      </c>
      <c r="K71" s="192">
        <v>0</v>
      </c>
      <c r="L71" s="240" t="s">
        <v>531</v>
      </c>
    </row>
    <row r="72" spans="1:12" ht="14.4" x14ac:dyDescent="0.3">
      <c r="A72" s="138" t="s">
        <v>2</v>
      </c>
      <c r="B72" s="161" t="s">
        <v>56</v>
      </c>
      <c r="C72" s="161" t="s">
        <v>44</v>
      </c>
      <c r="D72" s="152" t="s">
        <v>77</v>
      </c>
      <c r="E72" s="238"/>
      <c r="F72" s="239">
        <v>0</v>
      </c>
      <c r="G72" s="192">
        <v>0.75</v>
      </c>
      <c r="H72" s="192">
        <v>0.25</v>
      </c>
      <c r="I72" s="239">
        <v>0</v>
      </c>
      <c r="J72" s="192">
        <v>1</v>
      </c>
      <c r="K72" s="192">
        <v>0</v>
      </c>
      <c r="L72" s="240" t="s">
        <v>531</v>
      </c>
    </row>
    <row r="73" spans="1:12" ht="14.4" x14ac:dyDescent="0.3">
      <c r="A73" s="138" t="s">
        <v>2</v>
      </c>
      <c r="B73" s="161" t="s">
        <v>56</v>
      </c>
      <c r="C73" s="161" t="s">
        <v>45</v>
      </c>
      <c r="D73" s="152" t="s">
        <v>77</v>
      </c>
      <c r="E73" s="238"/>
      <c r="F73" s="239">
        <v>0</v>
      </c>
      <c r="G73" s="192">
        <v>0.75</v>
      </c>
      <c r="H73" s="192">
        <v>0.25</v>
      </c>
      <c r="I73" s="239">
        <v>0</v>
      </c>
      <c r="J73" s="192">
        <v>1</v>
      </c>
      <c r="K73" s="192">
        <v>0</v>
      </c>
      <c r="L73" s="240" t="s">
        <v>531</v>
      </c>
    </row>
    <row r="74" spans="1:12" x14ac:dyDescent="0.25">
      <c r="A74" s="138" t="s">
        <v>2</v>
      </c>
      <c r="B74" s="161" t="s">
        <v>55</v>
      </c>
      <c r="C74" s="161" t="s">
        <v>46</v>
      </c>
      <c r="D74" s="138" t="s">
        <v>77</v>
      </c>
      <c r="E74" s="236"/>
      <c r="F74" s="232">
        <v>50</v>
      </c>
      <c r="G74" s="192">
        <v>0.75</v>
      </c>
      <c r="H74" s="192">
        <v>0.25</v>
      </c>
      <c r="I74" s="232">
        <v>0</v>
      </c>
      <c r="J74" s="192">
        <v>1</v>
      </c>
      <c r="K74" s="192">
        <v>0</v>
      </c>
      <c r="L74" s="241" t="s">
        <v>127</v>
      </c>
    </row>
    <row r="75" spans="1:12" x14ac:dyDescent="0.25">
      <c r="A75" s="138" t="s">
        <v>2</v>
      </c>
      <c r="B75" s="161" t="s">
        <v>54</v>
      </c>
      <c r="C75" s="161" t="s">
        <v>45</v>
      </c>
      <c r="D75" s="138" t="s">
        <v>77</v>
      </c>
      <c r="E75" s="236"/>
      <c r="F75" s="232">
        <f>F61</f>
        <v>50</v>
      </c>
      <c r="G75" s="192">
        <v>0.75</v>
      </c>
      <c r="H75" s="192">
        <v>0.25</v>
      </c>
      <c r="I75" s="232">
        <v>0</v>
      </c>
      <c r="J75" s="192">
        <v>1</v>
      </c>
      <c r="K75" s="192">
        <v>0</v>
      </c>
      <c r="L75" s="137" t="s">
        <v>532</v>
      </c>
    </row>
    <row r="76" spans="1:12" ht="29.1" customHeight="1" x14ac:dyDescent="0.25">
      <c r="A76" s="138" t="s">
        <v>13</v>
      </c>
      <c r="B76" s="161" t="s">
        <v>80</v>
      </c>
      <c r="C76" s="161" t="s">
        <v>45</v>
      </c>
      <c r="D76" s="138" t="s">
        <v>77</v>
      </c>
      <c r="E76" s="232">
        <f t="shared" ref="E76:E87" si="15">(F4*G4)+(I4*J4)</f>
        <v>3.75</v>
      </c>
      <c r="F76" s="242"/>
      <c r="G76" s="242"/>
      <c r="H76" s="242"/>
      <c r="I76" s="242"/>
      <c r="J76" s="242"/>
      <c r="K76" s="242"/>
      <c r="L76" s="243"/>
    </row>
    <row r="77" spans="1:12" ht="29.1" customHeight="1" x14ac:dyDescent="0.25">
      <c r="A77" s="138" t="s">
        <v>13</v>
      </c>
      <c r="B77" s="161" t="s">
        <v>81</v>
      </c>
      <c r="C77" s="161" t="s">
        <v>45</v>
      </c>
      <c r="D77" s="138" t="s">
        <v>77</v>
      </c>
      <c r="E77" s="232">
        <f t="shared" si="15"/>
        <v>8.75</v>
      </c>
      <c r="F77" s="242"/>
      <c r="G77" s="242"/>
      <c r="H77" s="242"/>
      <c r="I77" s="242"/>
      <c r="J77" s="242"/>
      <c r="K77" s="242"/>
      <c r="L77" s="243"/>
    </row>
    <row r="78" spans="1:12" ht="29.1" customHeight="1" x14ac:dyDescent="0.25">
      <c r="A78" s="138" t="s">
        <v>13</v>
      </c>
      <c r="B78" s="161" t="s">
        <v>82</v>
      </c>
      <c r="C78" s="161" t="s">
        <v>45</v>
      </c>
      <c r="D78" s="138" t="s">
        <v>77</v>
      </c>
      <c r="E78" s="232">
        <f t="shared" si="15"/>
        <v>18.75</v>
      </c>
      <c r="F78" s="242"/>
      <c r="G78" s="242"/>
      <c r="H78" s="242"/>
      <c r="I78" s="242"/>
      <c r="J78" s="242"/>
      <c r="K78" s="242"/>
      <c r="L78" s="243"/>
    </row>
    <row r="79" spans="1:12" ht="29.1" customHeight="1" x14ac:dyDescent="0.25">
      <c r="A79" s="138" t="s">
        <v>13</v>
      </c>
      <c r="B79" s="161" t="s">
        <v>83</v>
      </c>
      <c r="C79" s="161" t="s">
        <v>45</v>
      </c>
      <c r="D79" s="138" t="s">
        <v>77</v>
      </c>
      <c r="E79" s="232">
        <f t="shared" si="15"/>
        <v>43.75</v>
      </c>
      <c r="F79" s="242"/>
      <c r="G79" s="242"/>
      <c r="H79" s="242"/>
      <c r="I79" s="242"/>
      <c r="J79" s="242"/>
      <c r="K79" s="242"/>
      <c r="L79" s="243"/>
    </row>
    <row r="80" spans="1:12" ht="29.1" customHeight="1" x14ac:dyDescent="0.25">
      <c r="A80" s="138" t="s">
        <v>13</v>
      </c>
      <c r="B80" s="161" t="s">
        <v>84</v>
      </c>
      <c r="C80" s="161" t="s">
        <v>45</v>
      </c>
      <c r="D80" s="138" t="s">
        <v>77</v>
      </c>
      <c r="E80" s="244">
        <f t="shared" si="15"/>
        <v>3.75</v>
      </c>
      <c r="F80" s="242"/>
      <c r="G80" s="242"/>
      <c r="H80" s="242"/>
      <c r="I80" s="242"/>
      <c r="J80" s="242"/>
      <c r="K80" s="242"/>
      <c r="L80" s="243"/>
    </row>
    <row r="81" spans="1:12" ht="29.1" customHeight="1" x14ac:dyDescent="0.25">
      <c r="A81" s="138" t="s">
        <v>13</v>
      </c>
      <c r="B81" s="161" t="s">
        <v>85</v>
      </c>
      <c r="C81" s="161" t="s">
        <v>45</v>
      </c>
      <c r="D81" s="138" t="s">
        <v>77</v>
      </c>
      <c r="E81" s="244">
        <f t="shared" si="15"/>
        <v>8.75</v>
      </c>
      <c r="F81" s="242"/>
      <c r="G81" s="242"/>
      <c r="H81" s="242"/>
      <c r="I81" s="242"/>
      <c r="J81" s="242"/>
      <c r="K81" s="242"/>
      <c r="L81" s="243"/>
    </row>
    <row r="82" spans="1:12" ht="29.1" customHeight="1" x14ac:dyDescent="0.25">
      <c r="A82" s="138" t="s">
        <v>13</v>
      </c>
      <c r="B82" s="161" t="s">
        <v>86</v>
      </c>
      <c r="C82" s="161" t="s">
        <v>45</v>
      </c>
      <c r="D82" s="138" t="s">
        <v>77</v>
      </c>
      <c r="E82" s="244">
        <f t="shared" si="15"/>
        <v>3.75</v>
      </c>
      <c r="F82" s="242"/>
      <c r="G82" s="242"/>
      <c r="H82" s="242"/>
      <c r="I82" s="242"/>
      <c r="J82" s="242"/>
      <c r="K82" s="242"/>
      <c r="L82" s="243"/>
    </row>
    <row r="83" spans="1:12" ht="29.1" customHeight="1" x14ac:dyDescent="0.25">
      <c r="A83" s="138" t="s">
        <v>13</v>
      </c>
      <c r="B83" s="161" t="s">
        <v>87</v>
      </c>
      <c r="C83" s="161" t="s">
        <v>45</v>
      </c>
      <c r="D83" s="138" t="s">
        <v>77</v>
      </c>
      <c r="E83" s="244">
        <f t="shared" si="15"/>
        <v>8.75</v>
      </c>
      <c r="F83" s="242"/>
      <c r="G83" s="242"/>
      <c r="H83" s="242"/>
      <c r="I83" s="242"/>
      <c r="J83" s="242"/>
      <c r="K83" s="242"/>
      <c r="L83" s="243"/>
    </row>
    <row r="84" spans="1:12" ht="29.1" customHeight="1" x14ac:dyDescent="0.25">
      <c r="A84" s="138" t="s">
        <v>13</v>
      </c>
      <c r="B84" s="161" t="s">
        <v>80</v>
      </c>
      <c r="C84" s="161" t="s">
        <v>40</v>
      </c>
      <c r="D84" s="138" t="s">
        <v>77</v>
      </c>
      <c r="E84" s="232">
        <f t="shared" si="15"/>
        <v>7.5</v>
      </c>
      <c r="F84" s="242"/>
      <c r="G84" s="242"/>
      <c r="H84" s="242"/>
      <c r="I84" s="242"/>
      <c r="J84" s="242"/>
      <c r="K84" s="242"/>
      <c r="L84" s="243"/>
    </row>
    <row r="85" spans="1:12" ht="29.1" customHeight="1" x14ac:dyDescent="0.25">
      <c r="A85" s="138" t="s">
        <v>13</v>
      </c>
      <c r="B85" s="161" t="s">
        <v>80</v>
      </c>
      <c r="C85" s="161" t="s">
        <v>42</v>
      </c>
      <c r="D85" s="138" t="s">
        <v>77</v>
      </c>
      <c r="E85" s="232">
        <f t="shared" si="15"/>
        <v>7.5</v>
      </c>
      <c r="F85" s="242"/>
      <c r="G85" s="242"/>
      <c r="H85" s="242"/>
      <c r="I85" s="242"/>
      <c r="J85" s="242"/>
      <c r="K85" s="242"/>
      <c r="L85" s="243"/>
    </row>
    <row r="86" spans="1:12" ht="29.1" customHeight="1" x14ac:dyDescent="0.25">
      <c r="A86" s="138" t="s">
        <v>13</v>
      </c>
      <c r="B86" s="161" t="s">
        <v>81</v>
      </c>
      <c r="C86" s="161" t="s">
        <v>40</v>
      </c>
      <c r="D86" s="138" t="s">
        <v>77</v>
      </c>
      <c r="E86" s="232">
        <f t="shared" si="15"/>
        <v>17.5</v>
      </c>
      <c r="F86" s="242"/>
      <c r="G86" s="242"/>
      <c r="H86" s="242"/>
      <c r="I86" s="242"/>
      <c r="J86" s="242"/>
      <c r="K86" s="242"/>
      <c r="L86" s="243"/>
    </row>
    <row r="87" spans="1:12" ht="29.1" customHeight="1" x14ac:dyDescent="0.25">
      <c r="A87" s="138" t="s">
        <v>13</v>
      </c>
      <c r="B87" s="161" t="s">
        <v>81</v>
      </c>
      <c r="C87" s="161" t="s">
        <v>42</v>
      </c>
      <c r="D87" s="138" t="s">
        <v>77</v>
      </c>
      <c r="E87" s="232">
        <f t="shared" si="15"/>
        <v>17.5</v>
      </c>
      <c r="F87" s="242"/>
      <c r="G87" s="242"/>
      <c r="H87" s="242"/>
      <c r="I87" s="242"/>
      <c r="J87" s="242"/>
      <c r="K87" s="242"/>
      <c r="L87" s="243"/>
    </row>
    <row r="88" spans="1:12" ht="29.1" customHeight="1" x14ac:dyDescent="0.25">
      <c r="A88" s="138" t="s">
        <v>13</v>
      </c>
      <c r="B88" s="161" t="s">
        <v>88</v>
      </c>
      <c r="C88" s="161" t="s">
        <v>40</v>
      </c>
      <c r="D88" s="138" t="s">
        <v>77</v>
      </c>
      <c r="E88" s="232">
        <f t="shared" ref="E88:E89" si="16">F16*G16+I16*J16</f>
        <v>87.5</v>
      </c>
      <c r="F88" s="242"/>
      <c r="G88" s="242"/>
      <c r="H88" s="242"/>
      <c r="I88" s="242"/>
      <c r="J88" s="242"/>
      <c r="K88" s="242"/>
      <c r="L88" s="243"/>
    </row>
    <row r="89" spans="1:12" ht="29.1" customHeight="1" x14ac:dyDescent="0.25">
      <c r="A89" s="138" t="s">
        <v>13</v>
      </c>
      <c r="B89" s="161" t="s">
        <v>88</v>
      </c>
      <c r="C89" s="161" t="s">
        <v>42</v>
      </c>
      <c r="D89" s="138" t="s">
        <v>77</v>
      </c>
      <c r="E89" s="232">
        <f t="shared" si="16"/>
        <v>87.5</v>
      </c>
      <c r="F89" s="242"/>
      <c r="G89" s="242"/>
      <c r="H89" s="242"/>
      <c r="I89" s="242"/>
      <c r="J89" s="242"/>
      <c r="K89" s="242"/>
      <c r="L89" s="243"/>
    </row>
    <row r="90" spans="1:12" x14ac:dyDescent="0.25">
      <c r="A90" s="138" t="s">
        <v>13</v>
      </c>
      <c r="B90" s="161" t="s">
        <v>54</v>
      </c>
      <c r="C90" s="161" t="s">
        <v>40</v>
      </c>
      <c r="D90" s="138" t="s">
        <v>77</v>
      </c>
      <c r="E90" s="232">
        <f t="shared" ref="E90:E135" si="17">F30*G30+I30*J30</f>
        <v>75</v>
      </c>
      <c r="F90" s="242"/>
      <c r="G90" s="242"/>
      <c r="H90" s="242"/>
      <c r="I90" s="242"/>
      <c r="J90" s="242"/>
      <c r="K90" s="242"/>
      <c r="L90" s="420"/>
    </row>
    <row r="91" spans="1:12" x14ac:dyDescent="0.25">
      <c r="A91" s="138" t="s">
        <v>13</v>
      </c>
      <c r="B91" s="161" t="s">
        <v>54</v>
      </c>
      <c r="C91" s="161" t="s">
        <v>41</v>
      </c>
      <c r="D91" s="138" t="s">
        <v>77</v>
      </c>
      <c r="E91" s="232">
        <f t="shared" si="17"/>
        <v>150</v>
      </c>
      <c r="F91" s="242"/>
      <c r="G91" s="242"/>
      <c r="H91" s="242"/>
      <c r="I91" s="242"/>
      <c r="J91" s="242"/>
      <c r="K91" s="242"/>
      <c r="L91" s="420"/>
    </row>
    <row r="92" spans="1:12" x14ac:dyDescent="0.25">
      <c r="A92" s="138" t="s">
        <v>13</v>
      </c>
      <c r="B92" s="161" t="s">
        <v>54</v>
      </c>
      <c r="C92" s="161" t="s">
        <v>42</v>
      </c>
      <c r="D92" s="138" t="s">
        <v>77</v>
      </c>
      <c r="E92" s="232">
        <f t="shared" si="17"/>
        <v>75</v>
      </c>
      <c r="F92" s="242"/>
      <c r="G92" s="242"/>
      <c r="H92" s="242"/>
      <c r="I92" s="242"/>
      <c r="J92" s="242"/>
      <c r="K92" s="242"/>
      <c r="L92" s="420"/>
    </row>
    <row r="93" spans="1:12" x14ac:dyDescent="0.25">
      <c r="A93" s="138" t="s">
        <v>13</v>
      </c>
      <c r="B93" s="161" t="s">
        <v>54</v>
      </c>
      <c r="C93" s="161" t="s">
        <v>43</v>
      </c>
      <c r="D93" s="138" t="s">
        <v>77</v>
      </c>
      <c r="E93" s="232">
        <f t="shared" si="17"/>
        <v>150</v>
      </c>
      <c r="F93" s="242"/>
      <c r="G93" s="242"/>
      <c r="H93" s="242"/>
      <c r="I93" s="242"/>
      <c r="J93" s="242"/>
      <c r="K93" s="242"/>
      <c r="L93" s="420"/>
    </row>
    <row r="94" spans="1:12" x14ac:dyDescent="0.25">
      <c r="A94" s="138" t="s">
        <v>13</v>
      </c>
      <c r="B94" s="161" t="s">
        <v>54</v>
      </c>
      <c r="C94" s="161" t="s">
        <v>44</v>
      </c>
      <c r="D94" s="138" t="s">
        <v>77</v>
      </c>
      <c r="E94" s="232">
        <f t="shared" si="17"/>
        <v>150</v>
      </c>
      <c r="F94" s="242"/>
      <c r="G94" s="242"/>
      <c r="H94" s="242"/>
      <c r="I94" s="242"/>
      <c r="J94" s="242"/>
      <c r="K94" s="242"/>
      <c r="L94" s="420"/>
    </row>
    <row r="95" spans="1:12" ht="27.6" x14ac:dyDescent="0.25">
      <c r="A95" s="138" t="s">
        <v>13</v>
      </c>
      <c r="B95" s="161" t="s">
        <v>89</v>
      </c>
      <c r="C95" s="161" t="s">
        <v>41</v>
      </c>
      <c r="D95" s="138" t="s">
        <v>77</v>
      </c>
      <c r="E95" s="232">
        <v>0</v>
      </c>
      <c r="F95" s="242"/>
      <c r="G95" s="242"/>
      <c r="H95" s="242"/>
      <c r="I95" s="242"/>
      <c r="J95" s="242"/>
      <c r="K95" s="242"/>
      <c r="L95" s="245" t="s">
        <v>538</v>
      </c>
    </row>
    <row r="96" spans="1:12" ht="27.6" x14ac:dyDescent="0.25">
      <c r="A96" s="138" t="s">
        <v>13</v>
      </c>
      <c r="B96" s="161" t="s">
        <v>90</v>
      </c>
      <c r="C96" s="161" t="s">
        <v>41</v>
      </c>
      <c r="D96" s="138" t="s">
        <v>77</v>
      </c>
      <c r="E96" s="232">
        <v>0</v>
      </c>
      <c r="F96" s="242"/>
      <c r="G96" s="242"/>
      <c r="H96" s="242"/>
      <c r="I96" s="242"/>
      <c r="J96" s="242"/>
      <c r="K96" s="242"/>
      <c r="L96" s="245" t="s">
        <v>538</v>
      </c>
    </row>
    <row r="97" spans="1:12" ht="27.6" x14ac:dyDescent="0.25">
      <c r="A97" s="138" t="s">
        <v>13</v>
      </c>
      <c r="B97" s="161" t="s">
        <v>91</v>
      </c>
      <c r="C97" s="161" t="s">
        <v>41</v>
      </c>
      <c r="D97" s="138" t="s">
        <v>77</v>
      </c>
      <c r="E97" s="232">
        <v>0</v>
      </c>
      <c r="F97" s="242"/>
      <c r="G97" s="242"/>
      <c r="H97" s="242"/>
      <c r="I97" s="242"/>
      <c r="J97" s="242"/>
      <c r="K97" s="242"/>
      <c r="L97" s="245" t="s">
        <v>538</v>
      </c>
    </row>
    <row r="98" spans="1:12" ht="14.55" customHeight="1" x14ac:dyDescent="0.25">
      <c r="A98" s="138" t="s">
        <v>13</v>
      </c>
      <c r="B98" s="161" t="s">
        <v>92</v>
      </c>
      <c r="C98" s="161" t="s">
        <v>41</v>
      </c>
      <c r="D98" s="138" t="s">
        <v>77</v>
      </c>
      <c r="E98" s="232">
        <v>0</v>
      </c>
      <c r="F98" s="242"/>
      <c r="G98" s="242"/>
      <c r="H98" s="242"/>
      <c r="I98" s="242"/>
      <c r="J98" s="242"/>
      <c r="K98" s="242"/>
      <c r="L98" s="245" t="s">
        <v>538</v>
      </c>
    </row>
    <row r="99" spans="1:12" ht="27.6" x14ac:dyDescent="0.25">
      <c r="A99" s="138" t="s">
        <v>13</v>
      </c>
      <c r="B99" s="161" t="s">
        <v>93</v>
      </c>
      <c r="C99" s="161" t="s">
        <v>41</v>
      </c>
      <c r="D99" s="138" t="s">
        <v>77</v>
      </c>
      <c r="E99" s="232">
        <v>0</v>
      </c>
      <c r="F99" s="242"/>
      <c r="G99" s="242"/>
      <c r="H99" s="242"/>
      <c r="I99" s="242"/>
      <c r="J99" s="242"/>
      <c r="K99" s="242"/>
      <c r="L99" s="245" t="s">
        <v>538</v>
      </c>
    </row>
    <row r="100" spans="1:12" ht="27.6" x14ac:dyDescent="0.25">
      <c r="A100" s="138" t="s">
        <v>13</v>
      </c>
      <c r="B100" s="161" t="s">
        <v>147</v>
      </c>
      <c r="C100" s="161" t="s">
        <v>41</v>
      </c>
      <c r="D100" s="138" t="s">
        <v>77</v>
      </c>
      <c r="E100" s="232">
        <v>0</v>
      </c>
      <c r="F100" s="242"/>
      <c r="G100" s="242"/>
      <c r="H100" s="242"/>
      <c r="I100" s="242"/>
      <c r="J100" s="242"/>
      <c r="K100" s="242"/>
      <c r="L100" s="245" t="s">
        <v>538</v>
      </c>
    </row>
    <row r="101" spans="1:12" ht="27.6" x14ac:dyDescent="0.25">
      <c r="A101" s="138" t="s">
        <v>13</v>
      </c>
      <c r="B101" s="161" t="s">
        <v>94</v>
      </c>
      <c r="C101" s="161" t="s">
        <v>41</v>
      </c>
      <c r="D101" s="138" t="s">
        <v>77</v>
      </c>
      <c r="E101" s="232">
        <v>0</v>
      </c>
      <c r="F101" s="242"/>
      <c r="G101" s="242"/>
      <c r="H101" s="242"/>
      <c r="I101" s="242"/>
      <c r="J101" s="242"/>
      <c r="K101" s="242"/>
      <c r="L101" s="245" t="s">
        <v>538</v>
      </c>
    </row>
    <row r="102" spans="1:12" ht="27.6" x14ac:dyDescent="0.25">
      <c r="A102" s="138" t="s">
        <v>13</v>
      </c>
      <c r="B102" s="161" t="s">
        <v>89</v>
      </c>
      <c r="C102" s="161" t="s">
        <v>43</v>
      </c>
      <c r="D102" s="138" t="s">
        <v>77</v>
      </c>
      <c r="E102" s="232">
        <v>0</v>
      </c>
      <c r="F102" s="242"/>
      <c r="G102" s="242"/>
      <c r="H102" s="242"/>
      <c r="I102" s="242"/>
      <c r="J102" s="242"/>
      <c r="K102" s="242"/>
      <c r="L102" s="245" t="s">
        <v>538</v>
      </c>
    </row>
    <row r="103" spans="1:12" ht="27.6" x14ac:dyDescent="0.25">
      <c r="A103" s="138" t="s">
        <v>13</v>
      </c>
      <c r="B103" s="161" t="s">
        <v>90</v>
      </c>
      <c r="C103" s="161" t="s">
        <v>43</v>
      </c>
      <c r="D103" s="138" t="s">
        <v>77</v>
      </c>
      <c r="E103" s="232">
        <v>0</v>
      </c>
      <c r="F103" s="242"/>
      <c r="G103" s="242"/>
      <c r="H103" s="242"/>
      <c r="I103" s="242"/>
      <c r="J103" s="242"/>
      <c r="K103" s="242"/>
      <c r="L103" s="245" t="s">
        <v>538</v>
      </c>
    </row>
    <row r="104" spans="1:12" ht="27.6" x14ac:dyDescent="0.25">
      <c r="A104" s="138" t="s">
        <v>13</v>
      </c>
      <c r="B104" s="161" t="s">
        <v>91</v>
      </c>
      <c r="C104" s="161" t="s">
        <v>43</v>
      </c>
      <c r="D104" s="138" t="s">
        <v>77</v>
      </c>
      <c r="E104" s="232">
        <v>0</v>
      </c>
      <c r="F104" s="242"/>
      <c r="G104" s="242"/>
      <c r="H104" s="242"/>
      <c r="I104" s="242"/>
      <c r="J104" s="242"/>
      <c r="K104" s="242"/>
      <c r="L104" s="245" t="s">
        <v>538</v>
      </c>
    </row>
    <row r="105" spans="1:12" ht="27.6" x14ac:dyDescent="0.25">
      <c r="A105" s="138" t="s">
        <v>13</v>
      </c>
      <c r="B105" s="161" t="s">
        <v>92</v>
      </c>
      <c r="C105" s="161" t="s">
        <v>43</v>
      </c>
      <c r="D105" s="138" t="s">
        <v>77</v>
      </c>
      <c r="E105" s="232">
        <v>0</v>
      </c>
      <c r="F105" s="242"/>
      <c r="G105" s="242"/>
      <c r="H105" s="242"/>
      <c r="I105" s="242"/>
      <c r="J105" s="242"/>
      <c r="K105" s="242"/>
      <c r="L105" s="245" t="s">
        <v>538</v>
      </c>
    </row>
    <row r="106" spans="1:12" ht="27.6" x14ac:dyDescent="0.25">
      <c r="A106" s="138" t="s">
        <v>13</v>
      </c>
      <c r="B106" s="161" t="s">
        <v>93</v>
      </c>
      <c r="C106" s="161" t="s">
        <v>43</v>
      </c>
      <c r="D106" s="138" t="s">
        <v>77</v>
      </c>
      <c r="E106" s="232">
        <v>0</v>
      </c>
      <c r="F106" s="242"/>
      <c r="G106" s="242"/>
      <c r="H106" s="242"/>
      <c r="I106" s="242"/>
      <c r="J106" s="242"/>
      <c r="K106" s="242"/>
      <c r="L106" s="245" t="s">
        <v>538</v>
      </c>
    </row>
    <row r="107" spans="1:12" ht="27.6" x14ac:dyDescent="0.25">
      <c r="A107" s="138" t="s">
        <v>13</v>
      </c>
      <c r="B107" s="161" t="s">
        <v>147</v>
      </c>
      <c r="C107" s="161" t="s">
        <v>43</v>
      </c>
      <c r="D107" s="138" t="s">
        <v>77</v>
      </c>
      <c r="E107" s="232">
        <v>0</v>
      </c>
      <c r="F107" s="242"/>
      <c r="G107" s="242"/>
      <c r="H107" s="242"/>
      <c r="I107" s="242"/>
      <c r="J107" s="242"/>
      <c r="K107" s="242"/>
      <c r="L107" s="245" t="s">
        <v>538</v>
      </c>
    </row>
    <row r="108" spans="1:12" ht="27.6" x14ac:dyDescent="0.25">
      <c r="A108" s="138" t="s">
        <v>13</v>
      </c>
      <c r="B108" s="161" t="s">
        <v>94</v>
      </c>
      <c r="C108" s="161" t="s">
        <v>43</v>
      </c>
      <c r="D108" s="138" t="s">
        <v>77</v>
      </c>
      <c r="E108" s="232">
        <v>0</v>
      </c>
      <c r="F108" s="242"/>
      <c r="G108" s="242"/>
      <c r="H108" s="242"/>
      <c r="I108" s="242"/>
      <c r="J108" s="242"/>
      <c r="K108" s="242"/>
      <c r="L108" s="245" t="s">
        <v>538</v>
      </c>
    </row>
    <row r="109" spans="1:12" ht="27.6" x14ac:dyDescent="0.25">
      <c r="A109" s="138" t="s">
        <v>13</v>
      </c>
      <c r="B109" s="161" t="s">
        <v>89</v>
      </c>
      <c r="C109" s="161" t="s">
        <v>44</v>
      </c>
      <c r="D109" s="138" t="s">
        <v>77</v>
      </c>
      <c r="E109" s="232">
        <v>0</v>
      </c>
      <c r="F109" s="242"/>
      <c r="G109" s="242"/>
      <c r="H109" s="242"/>
      <c r="I109" s="242"/>
      <c r="J109" s="242"/>
      <c r="K109" s="242"/>
      <c r="L109" s="245" t="s">
        <v>538</v>
      </c>
    </row>
    <row r="110" spans="1:12" ht="27.6" x14ac:dyDescent="0.25">
      <c r="A110" s="138" t="s">
        <v>13</v>
      </c>
      <c r="B110" s="161" t="s">
        <v>90</v>
      </c>
      <c r="C110" s="161" t="s">
        <v>44</v>
      </c>
      <c r="D110" s="138" t="s">
        <v>77</v>
      </c>
      <c r="E110" s="232">
        <v>0</v>
      </c>
      <c r="F110" s="242"/>
      <c r="G110" s="242"/>
      <c r="H110" s="242"/>
      <c r="I110" s="242"/>
      <c r="J110" s="242"/>
      <c r="K110" s="242"/>
      <c r="L110" s="245" t="s">
        <v>538</v>
      </c>
    </row>
    <row r="111" spans="1:12" ht="27.6" x14ac:dyDescent="0.25">
      <c r="A111" s="138" t="s">
        <v>13</v>
      </c>
      <c r="B111" s="161" t="s">
        <v>91</v>
      </c>
      <c r="C111" s="161" t="s">
        <v>44</v>
      </c>
      <c r="D111" s="138" t="s">
        <v>77</v>
      </c>
      <c r="E111" s="232">
        <v>0</v>
      </c>
      <c r="F111" s="242"/>
      <c r="G111" s="242"/>
      <c r="H111" s="242"/>
      <c r="I111" s="242"/>
      <c r="J111" s="242"/>
      <c r="K111" s="242"/>
      <c r="L111" s="245" t="s">
        <v>538</v>
      </c>
    </row>
    <row r="112" spans="1:12" ht="27.6" x14ac:dyDescent="0.25">
      <c r="A112" s="138" t="s">
        <v>13</v>
      </c>
      <c r="B112" s="161" t="s">
        <v>92</v>
      </c>
      <c r="C112" s="161" t="s">
        <v>44</v>
      </c>
      <c r="D112" s="138" t="s">
        <v>77</v>
      </c>
      <c r="E112" s="232">
        <v>0</v>
      </c>
      <c r="F112" s="242"/>
      <c r="G112" s="242"/>
      <c r="H112" s="242"/>
      <c r="I112" s="242"/>
      <c r="J112" s="242"/>
      <c r="K112" s="242"/>
      <c r="L112" s="245" t="s">
        <v>538</v>
      </c>
    </row>
    <row r="113" spans="1:12" ht="27.6" x14ac:dyDescent="0.25">
      <c r="A113" s="138" t="s">
        <v>13</v>
      </c>
      <c r="B113" s="161" t="s">
        <v>93</v>
      </c>
      <c r="C113" s="161" t="s">
        <v>44</v>
      </c>
      <c r="D113" s="138" t="s">
        <v>77</v>
      </c>
      <c r="E113" s="232">
        <v>0</v>
      </c>
      <c r="F113" s="242"/>
      <c r="G113" s="242"/>
      <c r="H113" s="242"/>
      <c r="I113" s="242"/>
      <c r="J113" s="242"/>
      <c r="K113" s="242"/>
      <c r="L113" s="245" t="s">
        <v>538</v>
      </c>
    </row>
    <row r="114" spans="1:12" ht="27.6" x14ac:dyDescent="0.25">
      <c r="A114" s="138" t="s">
        <v>13</v>
      </c>
      <c r="B114" s="161" t="s">
        <v>147</v>
      </c>
      <c r="C114" s="161" t="s">
        <v>44</v>
      </c>
      <c r="D114" s="138" t="s">
        <v>77</v>
      </c>
      <c r="E114" s="232">
        <v>0</v>
      </c>
      <c r="F114" s="242"/>
      <c r="G114" s="242"/>
      <c r="H114" s="242"/>
      <c r="I114" s="242"/>
      <c r="J114" s="242"/>
      <c r="K114" s="242"/>
      <c r="L114" s="245" t="s">
        <v>538</v>
      </c>
    </row>
    <row r="115" spans="1:12" ht="27.6" x14ac:dyDescent="0.25">
      <c r="A115" s="138" t="s">
        <v>13</v>
      </c>
      <c r="B115" s="161" t="s">
        <v>94</v>
      </c>
      <c r="C115" s="161" t="s">
        <v>44</v>
      </c>
      <c r="D115" s="138" t="s">
        <v>77</v>
      </c>
      <c r="E115" s="232">
        <v>0</v>
      </c>
      <c r="F115" s="242"/>
      <c r="G115" s="242"/>
      <c r="H115" s="242"/>
      <c r="I115" s="242"/>
      <c r="J115" s="242"/>
      <c r="K115" s="242"/>
      <c r="L115" s="245" t="s">
        <v>538</v>
      </c>
    </row>
    <row r="116" spans="1:12" ht="14.55" customHeight="1" x14ac:dyDescent="0.3">
      <c r="A116" s="138" t="s">
        <v>13</v>
      </c>
      <c r="B116" s="161" t="s">
        <v>101</v>
      </c>
      <c r="C116" s="161" t="s">
        <v>40</v>
      </c>
      <c r="D116" s="152" t="s">
        <v>77</v>
      </c>
      <c r="E116" s="232">
        <f t="shared" si="17"/>
        <v>50</v>
      </c>
      <c r="F116" s="242"/>
      <c r="G116" s="242"/>
      <c r="H116" s="242"/>
      <c r="I116" s="242"/>
      <c r="J116" s="242"/>
      <c r="K116" s="242"/>
      <c r="L116" s="415"/>
    </row>
    <row r="117" spans="1:12" ht="14.4" x14ac:dyDescent="0.3">
      <c r="A117" s="138" t="s">
        <v>13</v>
      </c>
      <c r="B117" s="161" t="s">
        <v>101</v>
      </c>
      <c r="C117" s="161" t="s">
        <v>41</v>
      </c>
      <c r="D117" s="152" t="s">
        <v>77</v>
      </c>
      <c r="E117" s="232">
        <f t="shared" si="17"/>
        <v>100</v>
      </c>
      <c r="F117" s="242"/>
      <c r="G117" s="242"/>
      <c r="H117" s="242"/>
      <c r="I117" s="242"/>
      <c r="J117" s="242"/>
      <c r="K117" s="242"/>
      <c r="L117" s="415"/>
    </row>
    <row r="118" spans="1:12" ht="14.4" x14ac:dyDescent="0.3">
      <c r="A118" s="138" t="s">
        <v>13</v>
      </c>
      <c r="B118" s="161" t="s">
        <v>101</v>
      </c>
      <c r="C118" s="161" t="s">
        <v>42</v>
      </c>
      <c r="D118" s="152" t="s">
        <v>77</v>
      </c>
      <c r="E118" s="232">
        <f t="shared" si="17"/>
        <v>50</v>
      </c>
      <c r="F118" s="242"/>
      <c r="G118" s="242"/>
      <c r="H118" s="242"/>
      <c r="I118" s="242"/>
      <c r="J118" s="242"/>
      <c r="K118" s="242"/>
      <c r="L118" s="415"/>
    </row>
    <row r="119" spans="1:12" ht="14.4" x14ac:dyDescent="0.3">
      <c r="A119" s="138" t="s">
        <v>13</v>
      </c>
      <c r="B119" s="161" t="s">
        <v>101</v>
      </c>
      <c r="C119" s="161" t="s">
        <v>43</v>
      </c>
      <c r="D119" s="152" t="s">
        <v>77</v>
      </c>
      <c r="E119" s="232">
        <f t="shared" si="17"/>
        <v>100</v>
      </c>
      <c r="F119" s="242"/>
      <c r="G119" s="242"/>
      <c r="H119" s="242"/>
      <c r="I119" s="242"/>
      <c r="J119" s="242"/>
      <c r="K119" s="242"/>
      <c r="L119" s="415"/>
    </row>
    <row r="120" spans="1:12" ht="14.4" x14ac:dyDescent="0.3">
      <c r="A120" s="138" t="s">
        <v>13</v>
      </c>
      <c r="B120" s="161" t="s">
        <v>101</v>
      </c>
      <c r="C120" s="161" t="s">
        <v>44</v>
      </c>
      <c r="D120" s="152" t="s">
        <v>77</v>
      </c>
      <c r="E120" s="232">
        <f t="shared" si="17"/>
        <v>100</v>
      </c>
      <c r="F120" s="242"/>
      <c r="G120" s="242"/>
      <c r="H120" s="242"/>
      <c r="I120" s="242"/>
      <c r="J120" s="242"/>
      <c r="K120" s="242"/>
      <c r="L120" s="415"/>
    </row>
    <row r="121" spans="1:12" ht="14.4" x14ac:dyDescent="0.3">
      <c r="A121" s="138" t="s">
        <v>13</v>
      </c>
      <c r="B121" s="161" t="s">
        <v>101</v>
      </c>
      <c r="C121" s="161" t="s">
        <v>45</v>
      </c>
      <c r="D121" s="152" t="s">
        <v>77</v>
      </c>
      <c r="E121" s="244">
        <f t="shared" si="17"/>
        <v>25</v>
      </c>
      <c r="F121" s="242"/>
      <c r="G121" s="242"/>
      <c r="H121" s="242"/>
      <c r="I121" s="242"/>
      <c r="J121" s="242"/>
      <c r="K121" s="242"/>
      <c r="L121" s="415"/>
    </row>
    <row r="122" spans="1:12" ht="14.4" x14ac:dyDescent="0.3">
      <c r="A122" s="138" t="s">
        <v>13</v>
      </c>
      <c r="B122" s="161" t="s">
        <v>102</v>
      </c>
      <c r="C122" s="161" t="s">
        <v>40</v>
      </c>
      <c r="D122" s="152" t="s">
        <v>77</v>
      </c>
      <c r="E122" s="232">
        <f t="shared" si="17"/>
        <v>0</v>
      </c>
      <c r="F122" s="242"/>
      <c r="G122" s="242"/>
      <c r="H122" s="242"/>
      <c r="I122" s="242"/>
      <c r="J122" s="242"/>
      <c r="K122" s="242"/>
      <c r="L122" s="415"/>
    </row>
    <row r="123" spans="1:12" ht="14.4" x14ac:dyDescent="0.3">
      <c r="A123" s="138" t="s">
        <v>13</v>
      </c>
      <c r="B123" s="161" t="s">
        <v>102</v>
      </c>
      <c r="C123" s="161" t="s">
        <v>41</v>
      </c>
      <c r="D123" s="152" t="s">
        <v>77</v>
      </c>
      <c r="E123" s="232">
        <f t="shared" si="17"/>
        <v>0</v>
      </c>
      <c r="F123" s="242"/>
      <c r="G123" s="242"/>
      <c r="H123" s="242"/>
      <c r="I123" s="242"/>
      <c r="J123" s="242"/>
      <c r="K123" s="242"/>
      <c r="L123" s="415"/>
    </row>
    <row r="124" spans="1:12" ht="14.4" x14ac:dyDescent="0.3">
      <c r="A124" s="138" t="s">
        <v>13</v>
      </c>
      <c r="B124" s="161" t="s">
        <v>102</v>
      </c>
      <c r="C124" s="161" t="s">
        <v>42</v>
      </c>
      <c r="D124" s="152" t="s">
        <v>77</v>
      </c>
      <c r="E124" s="232">
        <f t="shared" si="17"/>
        <v>0</v>
      </c>
      <c r="F124" s="242"/>
      <c r="G124" s="242"/>
      <c r="H124" s="242"/>
      <c r="I124" s="242"/>
      <c r="J124" s="242"/>
      <c r="K124" s="242"/>
      <c r="L124" s="415"/>
    </row>
    <row r="125" spans="1:12" ht="14.4" x14ac:dyDescent="0.3">
      <c r="A125" s="138" t="s">
        <v>13</v>
      </c>
      <c r="B125" s="161" t="s">
        <v>102</v>
      </c>
      <c r="C125" s="161" t="s">
        <v>43</v>
      </c>
      <c r="D125" s="152" t="s">
        <v>77</v>
      </c>
      <c r="E125" s="232">
        <f t="shared" si="17"/>
        <v>0</v>
      </c>
      <c r="F125" s="242"/>
      <c r="G125" s="242"/>
      <c r="H125" s="242"/>
      <c r="I125" s="242"/>
      <c r="J125" s="242"/>
      <c r="K125" s="242"/>
      <c r="L125" s="415"/>
    </row>
    <row r="126" spans="1:12" ht="14.4" x14ac:dyDescent="0.3">
      <c r="A126" s="138" t="s">
        <v>13</v>
      </c>
      <c r="B126" s="161" t="s">
        <v>102</v>
      </c>
      <c r="C126" s="161" t="s">
        <v>44</v>
      </c>
      <c r="D126" s="152" t="s">
        <v>77</v>
      </c>
      <c r="E126" s="232">
        <f t="shared" si="17"/>
        <v>0</v>
      </c>
      <c r="F126" s="242"/>
      <c r="G126" s="242"/>
      <c r="H126" s="242"/>
      <c r="I126" s="242"/>
      <c r="J126" s="242"/>
      <c r="K126" s="242"/>
      <c r="L126" s="415"/>
    </row>
    <row r="127" spans="1:12" ht="14.4" x14ac:dyDescent="0.3">
      <c r="A127" s="138" t="s">
        <v>13</v>
      </c>
      <c r="B127" s="161" t="s">
        <v>102</v>
      </c>
      <c r="C127" s="161" t="s">
        <v>45</v>
      </c>
      <c r="D127" s="152" t="s">
        <v>77</v>
      </c>
      <c r="E127" s="244">
        <f t="shared" si="17"/>
        <v>0</v>
      </c>
      <c r="F127" s="242"/>
      <c r="G127" s="242"/>
      <c r="H127" s="242"/>
      <c r="I127" s="242"/>
      <c r="J127" s="242"/>
      <c r="K127" s="242"/>
      <c r="L127" s="415"/>
    </row>
    <row r="128" spans="1:12" ht="14.4" x14ac:dyDescent="0.3">
      <c r="A128" s="138" t="s">
        <v>13</v>
      </c>
      <c r="B128" s="161" t="s">
        <v>56</v>
      </c>
      <c r="C128" s="161" t="s">
        <v>40</v>
      </c>
      <c r="D128" s="152" t="s">
        <v>77</v>
      </c>
      <c r="E128" s="232">
        <f t="shared" si="17"/>
        <v>0</v>
      </c>
      <c r="F128" s="242"/>
      <c r="G128" s="242"/>
      <c r="H128" s="242"/>
      <c r="I128" s="242"/>
      <c r="J128" s="242"/>
      <c r="K128" s="242"/>
      <c r="L128" s="250"/>
    </row>
    <row r="129" spans="1:12" ht="14.4" x14ac:dyDescent="0.3">
      <c r="A129" s="138" t="s">
        <v>13</v>
      </c>
      <c r="B129" s="161" t="s">
        <v>56</v>
      </c>
      <c r="C129" s="161" t="s">
        <v>41</v>
      </c>
      <c r="D129" s="152" t="s">
        <v>77</v>
      </c>
      <c r="E129" s="232">
        <f t="shared" si="17"/>
        <v>0</v>
      </c>
      <c r="F129" s="242"/>
      <c r="G129" s="242"/>
      <c r="H129" s="242"/>
      <c r="I129" s="242"/>
      <c r="J129" s="242"/>
      <c r="K129" s="242"/>
      <c r="L129" s="250"/>
    </row>
    <row r="130" spans="1:12" ht="14.4" x14ac:dyDescent="0.3">
      <c r="A130" s="138" t="s">
        <v>13</v>
      </c>
      <c r="B130" s="161" t="s">
        <v>56</v>
      </c>
      <c r="C130" s="161" t="s">
        <v>42</v>
      </c>
      <c r="D130" s="152" t="s">
        <v>77</v>
      </c>
      <c r="E130" s="232">
        <f t="shared" si="17"/>
        <v>0</v>
      </c>
      <c r="F130" s="242"/>
      <c r="G130" s="242"/>
      <c r="H130" s="242"/>
      <c r="I130" s="242"/>
      <c r="J130" s="242"/>
      <c r="K130" s="242"/>
      <c r="L130" s="250"/>
    </row>
    <row r="131" spans="1:12" ht="14.4" x14ac:dyDescent="0.3">
      <c r="A131" s="138" t="s">
        <v>13</v>
      </c>
      <c r="B131" s="161" t="s">
        <v>56</v>
      </c>
      <c r="C131" s="161" t="s">
        <v>43</v>
      </c>
      <c r="D131" s="152" t="s">
        <v>77</v>
      </c>
      <c r="E131" s="232">
        <f t="shared" si="17"/>
        <v>0</v>
      </c>
      <c r="F131" s="242"/>
      <c r="G131" s="242"/>
      <c r="H131" s="242"/>
      <c r="I131" s="242"/>
      <c r="J131" s="242"/>
      <c r="K131" s="242"/>
      <c r="L131" s="250"/>
    </row>
    <row r="132" spans="1:12" ht="14.4" x14ac:dyDescent="0.3">
      <c r="A132" s="138" t="s">
        <v>13</v>
      </c>
      <c r="B132" s="161" t="s">
        <v>56</v>
      </c>
      <c r="C132" s="161" t="s">
        <v>44</v>
      </c>
      <c r="D132" s="152" t="s">
        <v>77</v>
      </c>
      <c r="E132" s="232">
        <f t="shared" si="17"/>
        <v>0</v>
      </c>
      <c r="F132" s="242"/>
      <c r="G132" s="242"/>
      <c r="H132" s="242"/>
      <c r="I132" s="242"/>
      <c r="J132" s="242"/>
      <c r="K132" s="242"/>
      <c r="L132" s="250"/>
    </row>
    <row r="133" spans="1:12" ht="14.4" x14ac:dyDescent="0.3">
      <c r="A133" s="138" t="s">
        <v>13</v>
      </c>
      <c r="B133" s="161" t="s">
        <v>56</v>
      </c>
      <c r="C133" s="161" t="s">
        <v>45</v>
      </c>
      <c r="D133" s="152" t="s">
        <v>77</v>
      </c>
      <c r="E133" s="232">
        <f t="shared" si="17"/>
        <v>0</v>
      </c>
      <c r="F133" s="242"/>
      <c r="G133" s="242"/>
      <c r="H133" s="242"/>
      <c r="I133" s="242"/>
      <c r="J133" s="242"/>
      <c r="K133" s="242"/>
      <c r="L133" s="250"/>
    </row>
    <row r="134" spans="1:12" x14ac:dyDescent="0.25">
      <c r="A134" s="138" t="s">
        <v>13</v>
      </c>
      <c r="B134" s="161" t="s">
        <v>55</v>
      </c>
      <c r="C134" s="161" t="s">
        <v>46</v>
      </c>
      <c r="D134" s="138" t="s">
        <v>77</v>
      </c>
      <c r="E134" s="232">
        <f t="shared" si="17"/>
        <v>37.5</v>
      </c>
      <c r="F134" s="242"/>
      <c r="G134" s="242"/>
      <c r="H134" s="242"/>
      <c r="I134" s="242"/>
      <c r="J134" s="242"/>
      <c r="K134" s="242"/>
      <c r="L134" s="245"/>
    </row>
    <row r="135" spans="1:12" x14ac:dyDescent="0.25">
      <c r="A135" s="138" t="s">
        <v>13</v>
      </c>
      <c r="B135" s="161" t="s">
        <v>54</v>
      </c>
      <c r="C135" s="161" t="s">
        <v>45</v>
      </c>
      <c r="D135" s="138" t="s">
        <v>77</v>
      </c>
      <c r="E135" s="232">
        <f t="shared" si="17"/>
        <v>37.5</v>
      </c>
      <c r="F135" s="242"/>
      <c r="G135" s="242"/>
      <c r="H135" s="242"/>
      <c r="I135" s="242"/>
      <c r="J135" s="242"/>
      <c r="K135" s="242"/>
      <c r="L135" s="251"/>
    </row>
    <row r="136" spans="1:12" x14ac:dyDescent="0.25">
      <c r="A136" s="138" t="s">
        <v>20</v>
      </c>
      <c r="B136" s="161" t="s">
        <v>80</v>
      </c>
      <c r="C136" s="161" t="s">
        <v>45</v>
      </c>
      <c r="D136" s="138" t="s">
        <v>77</v>
      </c>
      <c r="E136" s="246">
        <f t="shared" ref="E136:E147" si="18">(F4*H4)+(I4*K4)</f>
        <v>1.25</v>
      </c>
      <c r="F136" s="242"/>
      <c r="G136" s="242"/>
      <c r="H136" s="242"/>
      <c r="I136" s="242"/>
      <c r="J136" s="242"/>
      <c r="K136" s="242"/>
      <c r="L136" s="243"/>
    </row>
    <row r="137" spans="1:12" ht="14.55" customHeight="1" x14ac:dyDescent="0.25">
      <c r="A137" s="138" t="s">
        <v>20</v>
      </c>
      <c r="B137" s="161" t="s">
        <v>81</v>
      </c>
      <c r="C137" s="161" t="s">
        <v>45</v>
      </c>
      <c r="D137" s="138" t="s">
        <v>77</v>
      </c>
      <c r="E137" s="246">
        <f t="shared" si="18"/>
        <v>1.25</v>
      </c>
      <c r="F137" s="242"/>
      <c r="G137" s="242"/>
      <c r="H137" s="242"/>
      <c r="I137" s="242"/>
      <c r="J137" s="242"/>
      <c r="K137" s="242"/>
      <c r="L137" s="243"/>
    </row>
    <row r="138" spans="1:12" x14ac:dyDescent="0.25">
      <c r="A138" s="138" t="s">
        <v>20</v>
      </c>
      <c r="B138" s="161" t="s">
        <v>82</v>
      </c>
      <c r="C138" s="161" t="s">
        <v>45</v>
      </c>
      <c r="D138" s="138" t="s">
        <v>77</v>
      </c>
      <c r="E138" s="246">
        <f t="shared" si="18"/>
        <v>6.25</v>
      </c>
      <c r="F138" s="242"/>
      <c r="G138" s="242"/>
      <c r="H138" s="242"/>
      <c r="I138" s="242"/>
      <c r="J138" s="242"/>
      <c r="K138" s="242"/>
      <c r="L138" s="243"/>
    </row>
    <row r="139" spans="1:12" x14ac:dyDescent="0.25">
      <c r="A139" s="138" t="s">
        <v>20</v>
      </c>
      <c r="B139" s="161" t="s">
        <v>83</v>
      </c>
      <c r="C139" s="161" t="s">
        <v>45</v>
      </c>
      <c r="D139" s="138" t="s">
        <v>77</v>
      </c>
      <c r="E139" s="246">
        <f t="shared" si="18"/>
        <v>6.25</v>
      </c>
      <c r="F139" s="242"/>
      <c r="G139" s="242"/>
      <c r="H139" s="242"/>
      <c r="I139" s="242"/>
      <c r="J139" s="242"/>
      <c r="K139" s="242"/>
      <c r="L139" s="243"/>
    </row>
    <row r="140" spans="1:12" x14ac:dyDescent="0.25">
      <c r="A140" s="138" t="s">
        <v>20</v>
      </c>
      <c r="B140" s="247" t="s">
        <v>84</v>
      </c>
      <c r="C140" s="161" t="s">
        <v>45</v>
      </c>
      <c r="D140" s="138" t="s">
        <v>77</v>
      </c>
      <c r="E140" s="248">
        <f t="shared" si="18"/>
        <v>1.25</v>
      </c>
      <c r="F140" s="242"/>
      <c r="G140" s="242"/>
      <c r="H140" s="242"/>
      <c r="I140" s="242"/>
      <c r="J140" s="242"/>
      <c r="K140" s="242"/>
      <c r="L140" s="243"/>
    </row>
    <row r="141" spans="1:12" x14ac:dyDescent="0.25">
      <c r="A141" s="138" t="s">
        <v>20</v>
      </c>
      <c r="B141" s="247" t="s">
        <v>85</v>
      </c>
      <c r="C141" s="161" t="s">
        <v>45</v>
      </c>
      <c r="D141" s="138" t="s">
        <v>77</v>
      </c>
      <c r="E141" s="248">
        <f t="shared" si="18"/>
        <v>1.25</v>
      </c>
      <c r="F141" s="242"/>
      <c r="G141" s="242"/>
      <c r="H141" s="242"/>
      <c r="I141" s="242"/>
      <c r="J141" s="242"/>
      <c r="K141" s="242"/>
      <c r="L141" s="243"/>
    </row>
    <row r="142" spans="1:12" x14ac:dyDescent="0.25">
      <c r="A142" s="138" t="s">
        <v>20</v>
      </c>
      <c r="B142" s="161" t="s">
        <v>86</v>
      </c>
      <c r="C142" s="161" t="s">
        <v>45</v>
      </c>
      <c r="D142" s="138" t="s">
        <v>77</v>
      </c>
      <c r="E142" s="248">
        <f t="shared" si="18"/>
        <v>1.25</v>
      </c>
      <c r="F142" s="242"/>
      <c r="G142" s="242"/>
      <c r="H142" s="242"/>
      <c r="I142" s="242"/>
      <c r="J142" s="242"/>
      <c r="K142" s="242"/>
      <c r="L142" s="243"/>
    </row>
    <row r="143" spans="1:12" x14ac:dyDescent="0.25">
      <c r="A143" s="138" t="s">
        <v>20</v>
      </c>
      <c r="B143" s="161" t="s">
        <v>87</v>
      </c>
      <c r="C143" s="161" t="s">
        <v>45</v>
      </c>
      <c r="D143" s="138" t="s">
        <v>77</v>
      </c>
      <c r="E143" s="248">
        <f t="shared" si="18"/>
        <v>1.25</v>
      </c>
      <c r="F143" s="242"/>
      <c r="G143" s="242"/>
      <c r="H143" s="242"/>
      <c r="I143" s="242"/>
      <c r="J143" s="242"/>
      <c r="K143" s="242"/>
      <c r="L143" s="243"/>
    </row>
    <row r="144" spans="1:12" x14ac:dyDescent="0.25">
      <c r="A144" s="138" t="s">
        <v>20</v>
      </c>
      <c r="B144" s="161" t="s">
        <v>80</v>
      </c>
      <c r="C144" s="161" t="s">
        <v>40</v>
      </c>
      <c r="D144" s="138" t="s">
        <v>77</v>
      </c>
      <c r="E144" s="246">
        <f t="shared" si="18"/>
        <v>2.5</v>
      </c>
      <c r="F144" s="242"/>
      <c r="G144" s="242"/>
      <c r="H144" s="242"/>
      <c r="I144" s="242"/>
      <c r="J144" s="242"/>
      <c r="K144" s="242"/>
      <c r="L144" s="243"/>
    </row>
    <row r="145" spans="1:12" x14ac:dyDescent="0.25">
      <c r="A145" s="138" t="s">
        <v>20</v>
      </c>
      <c r="B145" s="161" t="s">
        <v>80</v>
      </c>
      <c r="C145" s="161" t="s">
        <v>42</v>
      </c>
      <c r="D145" s="138" t="s">
        <v>77</v>
      </c>
      <c r="E145" s="246">
        <f t="shared" si="18"/>
        <v>2.5</v>
      </c>
      <c r="F145" s="242"/>
      <c r="G145" s="242"/>
      <c r="H145" s="242"/>
      <c r="I145" s="242"/>
      <c r="J145" s="242"/>
      <c r="K145" s="242"/>
      <c r="L145" s="243"/>
    </row>
    <row r="146" spans="1:12" x14ac:dyDescent="0.25">
      <c r="A146" s="138" t="s">
        <v>20</v>
      </c>
      <c r="B146" s="161" t="s">
        <v>81</v>
      </c>
      <c r="C146" s="161" t="s">
        <v>40</v>
      </c>
      <c r="D146" s="138" t="s">
        <v>77</v>
      </c>
      <c r="E146" s="246">
        <f t="shared" si="18"/>
        <v>2.5</v>
      </c>
      <c r="F146" s="242"/>
      <c r="G146" s="242"/>
      <c r="H146" s="242"/>
      <c r="I146" s="242"/>
      <c r="J146" s="242"/>
      <c r="K146" s="242"/>
      <c r="L146" s="243"/>
    </row>
    <row r="147" spans="1:12" x14ac:dyDescent="0.25">
      <c r="A147" s="138" t="s">
        <v>20</v>
      </c>
      <c r="B147" s="161" t="s">
        <v>81</v>
      </c>
      <c r="C147" s="161" t="s">
        <v>42</v>
      </c>
      <c r="D147" s="138" t="s">
        <v>77</v>
      </c>
      <c r="E147" s="246">
        <f t="shared" si="18"/>
        <v>2.5</v>
      </c>
      <c r="F147" s="242"/>
      <c r="G147" s="242"/>
      <c r="H147" s="242"/>
      <c r="I147" s="242"/>
      <c r="J147" s="242"/>
      <c r="K147" s="242"/>
      <c r="L147" s="243"/>
    </row>
    <row r="148" spans="1:12" x14ac:dyDescent="0.25">
      <c r="A148" s="138" t="s">
        <v>20</v>
      </c>
      <c r="B148" s="161" t="s">
        <v>88</v>
      </c>
      <c r="C148" s="161" t="s">
        <v>40</v>
      </c>
      <c r="D148" s="138" t="s">
        <v>77</v>
      </c>
      <c r="E148" s="246">
        <f t="shared" ref="E148:E149" si="19">F16*H16+I16*K16</f>
        <v>12.5</v>
      </c>
      <c r="F148" s="242"/>
      <c r="G148" s="242"/>
      <c r="H148" s="242"/>
      <c r="I148" s="242"/>
      <c r="J148" s="242"/>
      <c r="K148" s="242"/>
      <c r="L148" s="243"/>
    </row>
    <row r="149" spans="1:12" x14ac:dyDescent="0.25">
      <c r="A149" s="138" t="s">
        <v>20</v>
      </c>
      <c r="B149" s="161" t="s">
        <v>88</v>
      </c>
      <c r="C149" s="161" t="s">
        <v>42</v>
      </c>
      <c r="D149" s="138" t="s">
        <v>77</v>
      </c>
      <c r="E149" s="246">
        <f t="shared" si="19"/>
        <v>12.5</v>
      </c>
      <c r="F149" s="242"/>
      <c r="G149" s="242"/>
      <c r="H149" s="242"/>
      <c r="I149" s="242"/>
      <c r="J149" s="242"/>
      <c r="K149" s="242"/>
      <c r="L149" s="243"/>
    </row>
    <row r="150" spans="1:12" ht="14.55" customHeight="1" x14ac:dyDescent="0.25">
      <c r="A150" s="138" t="s">
        <v>20</v>
      </c>
      <c r="B150" s="161" t="s">
        <v>54</v>
      </c>
      <c r="C150" s="161" t="s">
        <v>40</v>
      </c>
      <c r="D150" s="138" t="s">
        <v>77</v>
      </c>
      <c r="E150" s="246">
        <f>F30*H30+I30*K30</f>
        <v>25</v>
      </c>
      <c r="F150" s="242"/>
      <c r="G150" s="242"/>
      <c r="H150" s="242"/>
      <c r="I150" s="242"/>
      <c r="J150" s="242"/>
      <c r="K150" s="242"/>
      <c r="L150" s="243"/>
    </row>
    <row r="151" spans="1:12" x14ac:dyDescent="0.25">
      <c r="A151" s="138" t="s">
        <v>20</v>
      </c>
      <c r="B151" s="161" t="s">
        <v>54</v>
      </c>
      <c r="C151" s="161" t="s">
        <v>41</v>
      </c>
      <c r="D151" s="138" t="s">
        <v>77</v>
      </c>
      <c r="E151" s="246">
        <f>F31*H31+I31*K31</f>
        <v>50</v>
      </c>
      <c r="F151" s="242"/>
      <c r="G151" s="242"/>
      <c r="H151" s="242"/>
      <c r="I151" s="242"/>
      <c r="J151" s="242"/>
      <c r="K151" s="242"/>
      <c r="L151" s="243"/>
    </row>
    <row r="152" spans="1:12" x14ac:dyDescent="0.25">
      <c r="A152" s="138" t="s">
        <v>20</v>
      </c>
      <c r="B152" s="161" t="s">
        <v>54</v>
      </c>
      <c r="C152" s="161" t="s">
        <v>42</v>
      </c>
      <c r="D152" s="138" t="s">
        <v>77</v>
      </c>
      <c r="E152" s="246">
        <f>F32*H32+I32*K32</f>
        <v>25</v>
      </c>
      <c r="F152" s="242"/>
      <c r="G152" s="242"/>
      <c r="H152" s="242"/>
      <c r="I152" s="242"/>
      <c r="J152" s="242"/>
      <c r="K152" s="242"/>
      <c r="L152" s="243"/>
    </row>
    <row r="153" spans="1:12" x14ac:dyDescent="0.25">
      <c r="A153" s="138" t="s">
        <v>20</v>
      </c>
      <c r="B153" s="161" t="s">
        <v>54</v>
      </c>
      <c r="C153" s="161" t="s">
        <v>43</v>
      </c>
      <c r="D153" s="138" t="s">
        <v>77</v>
      </c>
      <c r="E153" s="246">
        <f>F33*H33+I33*K33</f>
        <v>50</v>
      </c>
      <c r="F153" s="242"/>
      <c r="G153" s="242"/>
      <c r="H153" s="242"/>
      <c r="I153" s="242"/>
      <c r="J153" s="242"/>
      <c r="K153" s="242"/>
      <c r="L153" s="243"/>
    </row>
    <row r="154" spans="1:12" x14ac:dyDescent="0.25">
      <c r="A154" s="138" t="s">
        <v>20</v>
      </c>
      <c r="B154" s="161" t="s">
        <v>54</v>
      </c>
      <c r="C154" s="161" t="s">
        <v>44</v>
      </c>
      <c r="D154" s="138" t="s">
        <v>77</v>
      </c>
      <c r="E154" s="246">
        <f>F34*H34+I34*K34</f>
        <v>50</v>
      </c>
      <c r="F154" s="242"/>
      <c r="G154" s="242"/>
      <c r="H154" s="242"/>
      <c r="I154" s="242"/>
      <c r="J154" s="242"/>
      <c r="K154" s="242"/>
      <c r="L154" s="243"/>
    </row>
    <row r="155" spans="1:12" ht="27.6" x14ac:dyDescent="0.25">
      <c r="A155" s="138" t="s">
        <v>20</v>
      </c>
      <c r="B155" s="161" t="s">
        <v>89</v>
      </c>
      <c r="C155" s="161" t="s">
        <v>41</v>
      </c>
      <c r="D155" s="138" t="s">
        <v>77</v>
      </c>
      <c r="E155" s="246">
        <f>F35</f>
        <v>200</v>
      </c>
      <c r="F155" s="242"/>
      <c r="G155" s="242"/>
      <c r="H155" s="242"/>
      <c r="I155" s="242"/>
      <c r="J155" s="242"/>
      <c r="K155" s="242"/>
      <c r="L155" s="245" t="s">
        <v>538</v>
      </c>
    </row>
    <row r="156" spans="1:12" ht="27.6" x14ac:dyDescent="0.25">
      <c r="A156" s="138" t="s">
        <v>20</v>
      </c>
      <c r="B156" s="161" t="s">
        <v>90</v>
      </c>
      <c r="C156" s="161" t="s">
        <v>41</v>
      </c>
      <c r="D156" s="138" t="s">
        <v>77</v>
      </c>
      <c r="E156" s="246">
        <f t="shared" ref="E156:E175" si="20">F36</f>
        <v>200</v>
      </c>
      <c r="F156" s="242"/>
      <c r="G156" s="242"/>
      <c r="H156" s="242"/>
      <c r="I156" s="242"/>
      <c r="J156" s="242"/>
      <c r="K156" s="242"/>
      <c r="L156" s="245" t="s">
        <v>538</v>
      </c>
    </row>
    <row r="157" spans="1:12" ht="27.6" x14ac:dyDescent="0.25">
      <c r="A157" s="138" t="s">
        <v>20</v>
      </c>
      <c r="B157" s="161" t="s">
        <v>91</v>
      </c>
      <c r="C157" s="161" t="s">
        <v>41</v>
      </c>
      <c r="D157" s="138" t="s">
        <v>77</v>
      </c>
      <c r="E157" s="246">
        <f t="shared" si="20"/>
        <v>200</v>
      </c>
      <c r="F157" s="242"/>
      <c r="G157" s="242"/>
      <c r="H157" s="242"/>
      <c r="I157" s="242"/>
      <c r="J157" s="242"/>
      <c r="K157" s="242"/>
      <c r="L157" s="245" t="s">
        <v>538</v>
      </c>
    </row>
    <row r="158" spans="1:12" ht="27.6" x14ac:dyDescent="0.25">
      <c r="A158" s="138" t="s">
        <v>20</v>
      </c>
      <c r="B158" s="161" t="s">
        <v>92</v>
      </c>
      <c r="C158" s="161" t="s">
        <v>41</v>
      </c>
      <c r="D158" s="138" t="s">
        <v>77</v>
      </c>
      <c r="E158" s="246">
        <f t="shared" si="20"/>
        <v>200</v>
      </c>
      <c r="F158" s="242"/>
      <c r="G158" s="242"/>
      <c r="H158" s="242"/>
      <c r="I158" s="242"/>
      <c r="J158" s="242"/>
      <c r="K158" s="242"/>
      <c r="L158" s="245" t="s">
        <v>538</v>
      </c>
    </row>
    <row r="159" spans="1:12" ht="27.6" x14ac:dyDescent="0.25">
      <c r="A159" s="138" t="s">
        <v>20</v>
      </c>
      <c r="B159" s="161" t="s">
        <v>93</v>
      </c>
      <c r="C159" s="161" t="s">
        <v>41</v>
      </c>
      <c r="D159" s="138" t="s">
        <v>77</v>
      </c>
      <c r="E159" s="246">
        <f t="shared" si="20"/>
        <v>200</v>
      </c>
      <c r="F159" s="242"/>
      <c r="G159" s="242"/>
      <c r="H159" s="242"/>
      <c r="I159" s="242"/>
      <c r="J159" s="242"/>
      <c r="K159" s="242"/>
      <c r="L159" s="245" t="s">
        <v>538</v>
      </c>
    </row>
    <row r="160" spans="1:12" ht="27.6" x14ac:dyDescent="0.25">
      <c r="A160" s="138" t="s">
        <v>20</v>
      </c>
      <c r="B160" s="161" t="s">
        <v>147</v>
      </c>
      <c r="C160" s="161" t="s">
        <v>41</v>
      </c>
      <c r="D160" s="138" t="s">
        <v>77</v>
      </c>
      <c r="E160" s="246">
        <f t="shared" si="20"/>
        <v>200</v>
      </c>
      <c r="F160" s="242"/>
      <c r="G160" s="242"/>
      <c r="H160" s="242"/>
      <c r="I160" s="242"/>
      <c r="J160" s="242"/>
      <c r="K160" s="242"/>
      <c r="L160" s="245" t="s">
        <v>538</v>
      </c>
    </row>
    <row r="161" spans="1:12" ht="27.6" x14ac:dyDescent="0.25">
      <c r="A161" s="138" t="s">
        <v>20</v>
      </c>
      <c r="B161" s="161" t="s">
        <v>94</v>
      </c>
      <c r="C161" s="161" t="s">
        <v>41</v>
      </c>
      <c r="D161" s="138" t="s">
        <v>77</v>
      </c>
      <c r="E161" s="246">
        <f t="shared" si="20"/>
        <v>200</v>
      </c>
      <c r="F161" s="242"/>
      <c r="G161" s="242"/>
      <c r="H161" s="242"/>
      <c r="I161" s="242"/>
      <c r="J161" s="242"/>
      <c r="K161" s="242"/>
      <c r="L161" s="245" t="s">
        <v>538</v>
      </c>
    </row>
    <row r="162" spans="1:12" ht="27.6" x14ac:dyDescent="0.25">
      <c r="A162" s="138" t="s">
        <v>20</v>
      </c>
      <c r="B162" s="161" t="s">
        <v>89</v>
      </c>
      <c r="C162" s="161" t="s">
        <v>43</v>
      </c>
      <c r="D162" s="138" t="s">
        <v>77</v>
      </c>
      <c r="E162" s="246">
        <f t="shared" si="20"/>
        <v>200</v>
      </c>
      <c r="F162" s="242"/>
      <c r="G162" s="242"/>
      <c r="H162" s="242"/>
      <c r="I162" s="242"/>
      <c r="J162" s="242"/>
      <c r="K162" s="242"/>
      <c r="L162" s="245" t="s">
        <v>538</v>
      </c>
    </row>
    <row r="163" spans="1:12" ht="27.6" x14ac:dyDescent="0.25">
      <c r="A163" s="138" t="s">
        <v>20</v>
      </c>
      <c r="B163" s="161" t="s">
        <v>90</v>
      </c>
      <c r="C163" s="161" t="s">
        <v>43</v>
      </c>
      <c r="D163" s="138" t="s">
        <v>77</v>
      </c>
      <c r="E163" s="246">
        <f t="shared" si="20"/>
        <v>200</v>
      </c>
      <c r="F163" s="242"/>
      <c r="G163" s="242"/>
      <c r="H163" s="242"/>
      <c r="I163" s="242"/>
      <c r="J163" s="242"/>
      <c r="K163" s="242"/>
      <c r="L163" s="245" t="s">
        <v>538</v>
      </c>
    </row>
    <row r="164" spans="1:12" ht="27.6" x14ac:dyDescent="0.25">
      <c r="A164" s="138" t="s">
        <v>20</v>
      </c>
      <c r="B164" s="161" t="s">
        <v>91</v>
      </c>
      <c r="C164" s="161" t="s">
        <v>43</v>
      </c>
      <c r="D164" s="138" t="s">
        <v>77</v>
      </c>
      <c r="E164" s="246">
        <f t="shared" si="20"/>
        <v>200</v>
      </c>
      <c r="F164" s="242"/>
      <c r="G164" s="242"/>
      <c r="H164" s="242"/>
      <c r="I164" s="242"/>
      <c r="J164" s="242"/>
      <c r="K164" s="242"/>
      <c r="L164" s="245" t="s">
        <v>538</v>
      </c>
    </row>
    <row r="165" spans="1:12" ht="27.6" x14ac:dyDescent="0.25">
      <c r="A165" s="138" t="s">
        <v>20</v>
      </c>
      <c r="B165" s="161" t="s">
        <v>92</v>
      </c>
      <c r="C165" s="161" t="s">
        <v>43</v>
      </c>
      <c r="D165" s="138" t="s">
        <v>77</v>
      </c>
      <c r="E165" s="246">
        <f t="shared" si="20"/>
        <v>200</v>
      </c>
      <c r="F165" s="242"/>
      <c r="G165" s="242"/>
      <c r="H165" s="242"/>
      <c r="I165" s="242"/>
      <c r="J165" s="242"/>
      <c r="K165" s="242"/>
      <c r="L165" s="245" t="s">
        <v>538</v>
      </c>
    </row>
    <row r="166" spans="1:12" ht="27.6" x14ac:dyDescent="0.25">
      <c r="A166" s="138" t="s">
        <v>20</v>
      </c>
      <c r="B166" s="161" t="s">
        <v>93</v>
      </c>
      <c r="C166" s="161" t="s">
        <v>43</v>
      </c>
      <c r="D166" s="138" t="s">
        <v>77</v>
      </c>
      <c r="E166" s="246">
        <f t="shared" si="20"/>
        <v>200</v>
      </c>
      <c r="F166" s="242"/>
      <c r="G166" s="242"/>
      <c r="H166" s="242"/>
      <c r="I166" s="242"/>
      <c r="J166" s="242"/>
      <c r="K166" s="242"/>
      <c r="L166" s="245" t="s">
        <v>538</v>
      </c>
    </row>
    <row r="167" spans="1:12" ht="27.6" x14ac:dyDescent="0.25">
      <c r="A167" s="138" t="s">
        <v>20</v>
      </c>
      <c r="B167" s="161" t="s">
        <v>147</v>
      </c>
      <c r="C167" s="161" t="s">
        <v>43</v>
      </c>
      <c r="D167" s="138" t="s">
        <v>77</v>
      </c>
      <c r="E167" s="246">
        <f t="shared" si="20"/>
        <v>200</v>
      </c>
      <c r="F167" s="242"/>
      <c r="G167" s="242"/>
      <c r="H167" s="242"/>
      <c r="I167" s="242"/>
      <c r="J167" s="242"/>
      <c r="K167" s="242"/>
      <c r="L167" s="245" t="s">
        <v>538</v>
      </c>
    </row>
    <row r="168" spans="1:12" ht="27.6" x14ac:dyDescent="0.25">
      <c r="A168" s="138" t="s">
        <v>20</v>
      </c>
      <c r="B168" s="161" t="s">
        <v>94</v>
      </c>
      <c r="C168" s="161" t="s">
        <v>43</v>
      </c>
      <c r="D168" s="138" t="s">
        <v>77</v>
      </c>
      <c r="E168" s="246">
        <f t="shared" si="20"/>
        <v>200</v>
      </c>
      <c r="F168" s="242"/>
      <c r="G168" s="242"/>
      <c r="H168" s="242"/>
      <c r="I168" s="242"/>
      <c r="J168" s="242"/>
      <c r="K168" s="242"/>
      <c r="L168" s="245" t="s">
        <v>538</v>
      </c>
    </row>
    <row r="169" spans="1:12" ht="27.6" x14ac:dyDescent="0.25">
      <c r="A169" s="138" t="s">
        <v>20</v>
      </c>
      <c r="B169" s="161" t="s">
        <v>89</v>
      </c>
      <c r="C169" s="161" t="s">
        <v>44</v>
      </c>
      <c r="D169" s="138" t="s">
        <v>77</v>
      </c>
      <c r="E169" s="246">
        <f t="shared" si="20"/>
        <v>200</v>
      </c>
      <c r="F169" s="242"/>
      <c r="G169" s="242"/>
      <c r="H169" s="242"/>
      <c r="I169" s="242"/>
      <c r="J169" s="242"/>
      <c r="K169" s="242"/>
      <c r="L169" s="245" t="s">
        <v>538</v>
      </c>
    </row>
    <row r="170" spans="1:12" ht="27.6" x14ac:dyDescent="0.25">
      <c r="A170" s="138" t="s">
        <v>20</v>
      </c>
      <c r="B170" s="161" t="s">
        <v>90</v>
      </c>
      <c r="C170" s="161" t="s">
        <v>44</v>
      </c>
      <c r="D170" s="138" t="s">
        <v>77</v>
      </c>
      <c r="E170" s="246">
        <f t="shared" si="20"/>
        <v>200</v>
      </c>
      <c r="F170" s="242"/>
      <c r="G170" s="242"/>
      <c r="H170" s="242"/>
      <c r="I170" s="242"/>
      <c r="J170" s="242"/>
      <c r="K170" s="242"/>
      <c r="L170" s="245" t="s">
        <v>538</v>
      </c>
    </row>
    <row r="171" spans="1:12" ht="27.6" x14ac:dyDescent="0.25">
      <c r="A171" s="138" t="s">
        <v>20</v>
      </c>
      <c r="B171" s="161" t="s">
        <v>91</v>
      </c>
      <c r="C171" s="161" t="s">
        <v>44</v>
      </c>
      <c r="D171" s="138" t="s">
        <v>77</v>
      </c>
      <c r="E171" s="246">
        <f t="shared" si="20"/>
        <v>200</v>
      </c>
      <c r="F171" s="242"/>
      <c r="G171" s="242"/>
      <c r="H171" s="242"/>
      <c r="I171" s="242"/>
      <c r="J171" s="242"/>
      <c r="K171" s="242"/>
      <c r="L171" s="245" t="s">
        <v>538</v>
      </c>
    </row>
    <row r="172" spans="1:12" ht="27.6" x14ac:dyDescent="0.25">
      <c r="A172" s="138" t="s">
        <v>20</v>
      </c>
      <c r="B172" s="161" t="s">
        <v>92</v>
      </c>
      <c r="C172" s="161" t="s">
        <v>44</v>
      </c>
      <c r="D172" s="138" t="s">
        <v>77</v>
      </c>
      <c r="E172" s="246">
        <f t="shared" si="20"/>
        <v>200</v>
      </c>
      <c r="F172" s="242"/>
      <c r="G172" s="242"/>
      <c r="H172" s="242"/>
      <c r="I172" s="242"/>
      <c r="J172" s="242"/>
      <c r="K172" s="242"/>
      <c r="L172" s="245" t="s">
        <v>538</v>
      </c>
    </row>
    <row r="173" spans="1:12" ht="27.6" x14ac:dyDescent="0.25">
      <c r="A173" s="138" t="s">
        <v>20</v>
      </c>
      <c r="B173" s="161" t="s">
        <v>93</v>
      </c>
      <c r="C173" s="161" t="s">
        <v>44</v>
      </c>
      <c r="D173" s="138" t="s">
        <v>77</v>
      </c>
      <c r="E173" s="246">
        <f t="shared" si="20"/>
        <v>200</v>
      </c>
      <c r="F173" s="242"/>
      <c r="G173" s="242"/>
      <c r="H173" s="242"/>
      <c r="I173" s="242"/>
      <c r="J173" s="242"/>
      <c r="K173" s="242"/>
      <c r="L173" s="245" t="s">
        <v>538</v>
      </c>
    </row>
    <row r="174" spans="1:12" ht="27.6" x14ac:dyDescent="0.25">
      <c r="A174" s="138" t="s">
        <v>20</v>
      </c>
      <c r="B174" s="161" t="s">
        <v>147</v>
      </c>
      <c r="C174" s="161" t="s">
        <v>44</v>
      </c>
      <c r="D174" s="138" t="s">
        <v>77</v>
      </c>
      <c r="E174" s="246">
        <f t="shared" si="20"/>
        <v>200</v>
      </c>
      <c r="F174" s="242"/>
      <c r="G174" s="242"/>
      <c r="H174" s="242"/>
      <c r="I174" s="242"/>
      <c r="J174" s="242"/>
      <c r="K174" s="242"/>
      <c r="L174" s="245" t="s">
        <v>538</v>
      </c>
    </row>
    <row r="175" spans="1:12" ht="27.6" x14ac:dyDescent="0.25">
      <c r="A175" s="138" t="s">
        <v>20</v>
      </c>
      <c r="B175" s="161" t="s">
        <v>94</v>
      </c>
      <c r="C175" s="161" t="s">
        <v>44</v>
      </c>
      <c r="D175" s="138" t="s">
        <v>77</v>
      </c>
      <c r="E175" s="246">
        <f t="shared" si="20"/>
        <v>200</v>
      </c>
      <c r="F175" s="242"/>
      <c r="G175" s="242"/>
      <c r="H175" s="242"/>
      <c r="I175" s="242"/>
      <c r="J175" s="242"/>
      <c r="K175" s="242"/>
      <c r="L175" s="245" t="s">
        <v>538</v>
      </c>
    </row>
    <row r="176" spans="1:12" x14ac:dyDescent="0.25">
      <c r="A176" s="138" t="s">
        <v>20</v>
      </c>
      <c r="B176" s="161" t="s">
        <v>95</v>
      </c>
      <c r="C176" s="161" t="s">
        <v>41</v>
      </c>
      <c r="D176" s="138" t="s">
        <v>77</v>
      </c>
      <c r="E176" s="246">
        <f>F35*H35+I35*K35</f>
        <v>50</v>
      </c>
      <c r="F176" s="242"/>
      <c r="G176" s="242"/>
      <c r="H176" s="242"/>
      <c r="I176" s="242"/>
      <c r="J176" s="242"/>
      <c r="K176" s="242"/>
      <c r="L176" s="243" t="s">
        <v>128</v>
      </c>
    </row>
    <row r="177" spans="1:12" x14ac:dyDescent="0.25">
      <c r="A177" s="138" t="s">
        <v>20</v>
      </c>
      <c r="B177" s="161" t="s">
        <v>96</v>
      </c>
      <c r="C177" s="161" t="s">
        <v>41</v>
      </c>
      <c r="D177" s="138" t="s">
        <v>77</v>
      </c>
      <c r="E177" s="246">
        <f t="shared" ref="E177:E196" si="21">F36*H36+I36*K36</f>
        <v>50</v>
      </c>
      <c r="F177" s="242"/>
      <c r="G177" s="242"/>
      <c r="H177" s="242"/>
      <c r="I177" s="242"/>
      <c r="J177" s="242"/>
      <c r="K177" s="242"/>
      <c r="L177" s="243" t="s">
        <v>128</v>
      </c>
    </row>
    <row r="178" spans="1:12" x14ac:dyDescent="0.25">
      <c r="A178" s="138" t="s">
        <v>20</v>
      </c>
      <c r="B178" s="161" t="s">
        <v>97</v>
      </c>
      <c r="C178" s="161" t="s">
        <v>41</v>
      </c>
      <c r="D178" s="138" t="s">
        <v>77</v>
      </c>
      <c r="E178" s="246">
        <f t="shared" si="21"/>
        <v>50</v>
      </c>
      <c r="F178" s="242"/>
      <c r="G178" s="242"/>
      <c r="H178" s="242"/>
      <c r="I178" s="242"/>
      <c r="J178" s="242"/>
      <c r="K178" s="242"/>
      <c r="L178" s="243" t="s">
        <v>128</v>
      </c>
    </row>
    <row r="179" spans="1:12" x14ac:dyDescent="0.25">
      <c r="A179" s="138" t="s">
        <v>20</v>
      </c>
      <c r="B179" s="161" t="s">
        <v>98</v>
      </c>
      <c r="C179" s="161" t="s">
        <v>41</v>
      </c>
      <c r="D179" s="138" t="s">
        <v>77</v>
      </c>
      <c r="E179" s="246">
        <f t="shared" si="21"/>
        <v>50</v>
      </c>
      <c r="F179" s="242"/>
      <c r="G179" s="242"/>
      <c r="H179" s="242"/>
      <c r="I179" s="242"/>
      <c r="J179" s="242"/>
      <c r="K179" s="242"/>
      <c r="L179" s="243" t="s">
        <v>128</v>
      </c>
    </row>
    <row r="180" spans="1:12" x14ac:dyDescent="0.25">
      <c r="A180" s="138" t="s">
        <v>20</v>
      </c>
      <c r="B180" s="161" t="s">
        <v>99</v>
      </c>
      <c r="C180" s="161" t="s">
        <v>41</v>
      </c>
      <c r="D180" s="138" t="s">
        <v>77</v>
      </c>
      <c r="E180" s="246">
        <f t="shared" si="21"/>
        <v>50</v>
      </c>
      <c r="F180" s="242"/>
      <c r="G180" s="242"/>
      <c r="H180" s="242"/>
      <c r="I180" s="242"/>
      <c r="J180" s="242"/>
      <c r="K180" s="242"/>
      <c r="L180" s="243" t="s">
        <v>128</v>
      </c>
    </row>
    <row r="181" spans="1:12" x14ac:dyDescent="0.25">
      <c r="A181" s="138" t="s">
        <v>20</v>
      </c>
      <c r="B181" s="161" t="s">
        <v>129</v>
      </c>
      <c r="C181" s="161" t="s">
        <v>41</v>
      </c>
      <c r="D181" s="138" t="s">
        <v>77</v>
      </c>
      <c r="E181" s="246">
        <f t="shared" si="21"/>
        <v>50</v>
      </c>
      <c r="F181" s="242"/>
      <c r="G181" s="242"/>
      <c r="H181" s="242"/>
      <c r="I181" s="242"/>
      <c r="J181" s="242"/>
      <c r="K181" s="242"/>
      <c r="L181" s="243" t="s">
        <v>128</v>
      </c>
    </row>
    <row r="182" spans="1:12" x14ac:dyDescent="0.25">
      <c r="A182" s="138" t="s">
        <v>20</v>
      </c>
      <c r="B182" s="161" t="s">
        <v>100</v>
      </c>
      <c r="C182" s="161" t="s">
        <v>41</v>
      </c>
      <c r="D182" s="138" t="s">
        <v>77</v>
      </c>
      <c r="E182" s="246">
        <f t="shared" si="21"/>
        <v>50</v>
      </c>
      <c r="F182" s="242"/>
      <c r="G182" s="242"/>
      <c r="H182" s="242"/>
      <c r="I182" s="242"/>
      <c r="J182" s="242"/>
      <c r="K182" s="242"/>
      <c r="L182" s="243" t="s">
        <v>128</v>
      </c>
    </row>
    <row r="183" spans="1:12" x14ac:dyDescent="0.25">
      <c r="A183" s="138" t="s">
        <v>20</v>
      </c>
      <c r="B183" s="161" t="s">
        <v>95</v>
      </c>
      <c r="C183" s="161" t="s">
        <v>43</v>
      </c>
      <c r="D183" s="138" t="s">
        <v>77</v>
      </c>
      <c r="E183" s="246">
        <f t="shared" si="21"/>
        <v>50</v>
      </c>
      <c r="F183" s="242"/>
      <c r="G183" s="242"/>
      <c r="H183" s="242"/>
      <c r="I183" s="242"/>
      <c r="J183" s="242"/>
      <c r="K183" s="242"/>
      <c r="L183" s="243" t="s">
        <v>128</v>
      </c>
    </row>
    <row r="184" spans="1:12" x14ac:dyDescent="0.25">
      <c r="A184" s="138" t="s">
        <v>20</v>
      </c>
      <c r="B184" s="161" t="s">
        <v>96</v>
      </c>
      <c r="C184" s="161" t="s">
        <v>43</v>
      </c>
      <c r="D184" s="138" t="s">
        <v>77</v>
      </c>
      <c r="E184" s="246">
        <f t="shared" si="21"/>
        <v>50</v>
      </c>
      <c r="F184" s="242"/>
      <c r="G184" s="242"/>
      <c r="H184" s="242"/>
      <c r="I184" s="242"/>
      <c r="J184" s="242"/>
      <c r="K184" s="242"/>
      <c r="L184" s="243" t="s">
        <v>128</v>
      </c>
    </row>
    <row r="185" spans="1:12" x14ac:dyDescent="0.25">
      <c r="A185" s="138" t="s">
        <v>20</v>
      </c>
      <c r="B185" s="161" t="s">
        <v>97</v>
      </c>
      <c r="C185" s="161" t="s">
        <v>43</v>
      </c>
      <c r="D185" s="138" t="s">
        <v>77</v>
      </c>
      <c r="E185" s="246">
        <f t="shared" si="21"/>
        <v>50</v>
      </c>
      <c r="F185" s="242"/>
      <c r="G185" s="242"/>
      <c r="H185" s="242"/>
      <c r="I185" s="242"/>
      <c r="J185" s="242"/>
      <c r="K185" s="242"/>
      <c r="L185" s="243" t="s">
        <v>128</v>
      </c>
    </row>
    <row r="186" spans="1:12" x14ac:dyDescent="0.25">
      <c r="A186" s="138" t="s">
        <v>20</v>
      </c>
      <c r="B186" s="161" t="s">
        <v>98</v>
      </c>
      <c r="C186" s="161" t="s">
        <v>43</v>
      </c>
      <c r="D186" s="138" t="s">
        <v>77</v>
      </c>
      <c r="E186" s="246">
        <f t="shared" si="21"/>
        <v>50</v>
      </c>
      <c r="F186" s="242"/>
      <c r="G186" s="242"/>
      <c r="H186" s="242"/>
      <c r="I186" s="242"/>
      <c r="J186" s="242"/>
      <c r="K186" s="242"/>
      <c r="L186" s="243" t="s">
        <v>128</v>
      </c>
    </row>
    <row r="187" spans="1:12" x14ac:dyDescent="0.25">
      <c r="A187" s="138" t="s">
        <v>20</v>
      </c>
      <c r="B187" s="161" t="s">
        <v>99</v>
      </c>
      <c r="C187" s="161" t="s">
        <v>43</v>
      </c>
      <c r="D187" s="138" t="s">
        <v>77</v>
      </c>
      <c r="E187" s="246">
        <f t="shared" si="21"/>
        <v>50</v>
      </c>
      <c r="F187" s="242"/>
      <c r="G187" s="242"/>
      <c r="H187" s="242"/>
      <c r="I187" s="242"/>
      <c r="J187" s="242"/>
      <c r="K187" s="242"/>
      <c r="L187" s="243" t="s">
        <v>128</v>
      </c>
    </row>
    <row r="188" spans="1:12" x14ac:dyDescent="0.25">
      <c r="A188" s="138" t="s">
        <v>20</v>
      </c>
      <c r="B188" s="161" t="s">
        <v>129</v>
      </c>
      <c r="C188" s="161" t="s">
        <v>43</v>
      </c>
      <c r="D188" s="138" t="s">
        <v>77</v>
      </c>
      <c r="E188" s="246">
        <f t="shared" si="21"/>
        <v>50</v>
      </c>
      <c r="F188" s="242"/>
      <c r="G188" s="242"/>
      <c r="H188" s="242"/>
      <c r="I188" s="242"/>
      <c r="J188" s="242"/>
      <c r="K188" s="242"/>
      <c r="L188" s="243" t="s">
        <v>128</v>
      </c>
    </row>
    <row r="189" spans="1:12" x14ac:dyDescent="0.25">
      <c r="A189" s="138" t="s">
        <v>20</v>
      </c>
      <c r="B189" s="161" t="s">
        <v>100</v>
      </c>
      <c r="C189" s="161" t="s">
        <v>43</v>
      </c>
      <c r="D189" s="138" t="s">
        <v>77</v>
      </c>
      <c r="E189" s="246">
        <f t="shared" si="21"/>
        <v>50</v>
      </c>
      <c r="F189" s="242"/>
      <c r="G189" s="242"/>
      <c r="H189" s="242"/>
      <c r="I189" s="242"/>
      <c r="J189" s="242"/>
      <c r="K189" s="242"/>
      <c r="L189" s="243" t="s">
        <v>128</v>
      </c>
    </row>
    <row r="190" spans="1:12" x14ac:dyDescent="0.25">
      <c r="A190" s="138" t="s">
        <v>20</v>
      </c>
      <c r="B190" s="161" t="s">
        <v>95</v>
      </c>
      <c r="C190" s="161" t="s">
        <v>44</v>
      </c>
      <c r="D190" s="138" t="s">
        <v>77</v>
      </c>
      <c r="E190" s="246">
        <f t="shared" si="21"/>
        <v>50</v>
      </c>
      <c r="F190" s="242"/>
      <c r="G190" s="242"/>
      <c r="H190" s="242"/>
      <c r="I190" s="242"/>
      <c r="J190" s="242"/>
      <c r="K190" s="242"/>
      <c r="L190" s="243" t="s">
        <v>128</v>
      </c>
    </row>
    <row r="191" spans="1:12" x14ac:dyDescent="0.25">
      <c r="A191" s="138" t="s">
        <v>20</v>
      </c>
      <c r="B191" s="161" t="s">
        <v>96</v>
      </c>
      <c r="C191" s="161" t="s">
        <v>44</v>
      </c>
      <c r="D191" s="138" t="s">
        <v>77</v>
      </c>
      <c r="E191" s="246">
        <f t="shared" si="21"/>
        <v>50</v>
      </c>
      <c r="F191" s="242"/>
      <c r="G191" s="242"/>
      <c r="H191" s="242"/>
      <c r="I191" s="242"/>
      <c r="J191" s="242"/>
      <c r="K191" s="242"/>
      <c r="L191" s="243" t="s">
        <v>128</v>
      </c>
    </row>
    <row r="192" spans="1:12" x14ac:dyDescent="0.25">
      <c r="A192" s="138" t="s">
        <v>20</v>
      </c>
      <c r="B192" s="161" t="s">
        <v>97</v>
      </c>
      <c r="C192" s="161" t="s">
        <v>44</v>
      </c>
      <c r="D192" s="138" t="s">
        <v>77</v>
      </c>
      <c r="E192" s="246">
        <f t="shared" si="21"/>
        <v>50</v>
      </c>
      <c r="F192" s="242"/>
      <c r="G192" s="242"/>
      <c r="H192" s="242"/>
      <c r="I192" s="242"/>
      <c r="J192" s="242"/>
      <c r="K192" s="242"/>
      <c r="L192" s="243" t="s">
        <v>128</v>
      </c>
    </row>
    <row r="193" spans="1:12" x14ac:dyDescent="0.25">
      <c r="A193" s="138" t="s">
        <v>20</v>
      </c>
      <c r="B193" s="161" t="s">
        <v>98</v>
      </c>
      <c r="C193" s="161" t="s">
        <v>44</v>
      </c>
      <c r="D193" s="138" t="s">
        <v>77</v>
      </c>
      <c r="E193" s="246">
        <f t="shared" si="21"/>
        <v>50</v>
      </c>
      <c r="F193" s="242"/>
      <c r="G193" s="242"/>
      <c r="H193" s="242"/>
      <c r="I193" s="242"/>
      <c r="J193" s="242"/>
      <c r="K193" s="242"/>
      <c r="L193" s="243" t="s">
        <v>128</v>
      </c>
    </row>
    <row r="194" spans="1:12" x14ac:dyDescent="0.25">
      <c r="A194" s="138" t="s">
        <v>20</v>
      </c>
      <c r="B194" s="161" t="s">
        <v>99</v>
      </c>
      <c r="C194" s="161" t="s">
        <v>44</v>
      </c>
      <c r="D194" s="138" t="s">
        <v>77</v>
      </c>
      <c r="E194" s="246">
        <f t="shared" si="21"/>
        <v>50</v>
      </c>
      <c r="F194" s="242"/>
      <c r="G194" s="242"/>
      <c r="H194" s="242"/>
      <c r="I194" s="242"/>
      <c r="J194" s="242"/>
      <c r="K194" s="242"/>
      <c r="L194" s="243" t="s">
        <v>128</v>
      </c>
    </row>
    <row r="195" spans="1:12" x14ac:dyDescent="0.25">
      <c r="A195" s="138" t="s">
        <v>20</v>
      </c>
      <c r="B195" s="161" t="s">
        <v>129</v>
      </c>
      <c r="C195" s="161" t="s">
        <v>44</v>
      </c>
      <c r="D195" s="138" t="s">
        <v>77</v>
      </c>
      <c r="E195" s="246">
        <f t="shared" si="21"/>
        <v>50</v>
      </c>
      <c r="F195" s="242"/>
      <c r="G195" s="242"/>
      <c r="H195" s="242"/>
      <c r="I195" s="242"/>
      <c r="J195" s="242"/>
      <c r="K195" s="242"/>
      <c r="L195" s="243" t="s">
        <v>128</v>
      </c>
    </row>
    <row r="196" spans="1:12" x14ac:dyDescent="0.25">
      <c r="A196" s="138" t="s">
        <v>20</v>
      </c>
      <c r="B196" s="161" t="s">
        <v>100</v>
      </c>
      <c r="C196" s="161" t="s">
        <v>44</v>
      </c>
      <c r="D196" s="138" t="s">
        <v>77</v>
      </c>
      <c r="E196" s="246">
        <f t="shared" si="21"/>
        <v>50</v>
      </c>
      <c r="F196" s="242"/>
      <c r="G196" s="242"/>
      <c r="H196" s="242"/>
      <c r="I196" s="242"/>
      <c r="J196" s="242"/>
      <c r="K196" s="242"/>
      <c r="L196" s="243" t="s">
        <v>128</v>
      </c>
    </row>
    <row r="197" spans="1:12" x14ac:dyDescent="0.25">
      <c r="A197" s="138" t="s">
        <v>20</v>
      </c>
      <c r="B197" s="161" t="s">
        <v>101</v>
      </c>
      <c r="C197" s="161" t="s">
        <v>40</v>
      </c>
      <c r="D197" s="138" t="s">
        <v>77</v>
      </c>
      <c r="E197" s="246">
        <f t="shared" ref="E197:E216" si="22">F56*H56+I56*K56</f>
        <v>50</v>
      </c>
      <c r="F197" s="242"/>
      <c r="G197" s="242"/>
      <c r="H197" s="242"/>
      <c r="I197" s="242"/>
      <c r="J197" s="242"/>
      <c r="K197" s="242"/>
      <c r="L197" s="243"/>
    </row>
    <row r="198" spans="1:12" x14ac:dyDescent="0.25">
      <c r="A198" s="138" t="s">
        <v>20</v>
      </c>
      <c r="B198" s="161" t="s">
        <v>101</v>
      </c>
      <c r="C198" s="161" t="s">
        <v>41</v>
      </c>
      <c r="D198" s="138" t="s">
        <v>77</v>
      </c>
      <c r="E198" s="246">
        <f t="shared" si="22"/>
        <v>100</v>
      </c>
      <c r="F198" s="242"/>
      <c r="G198" s="242"/>
      <c r="H198" s="242"/>
      <c r="I198" s="242"/>
      <c r="J198" s="242"/>
      <c r="K198" s="242"/>
      <c r="L198" s="243"/>
    </row>
    <row r="199" spans="1:12" x14ac:dyDescent="0.25">
      <c r="A199" s="138" t="s">
        <v>20</v>
      </c>
      <c r="B199" s="161" t="s">
        <v>101</v>
      </c>
      <c r="C199" s="161" t="s">
        <v>42</v>
      </c>
      <c r="D199" s="138" t="s">
        <v>77</v>
      </c>
      <c r="E199" s="246">
        <f t="shared" si="22"/>
        <v>50</v>
      </c>
      <c r="F199" s="242"/>
      <c r="G199" s="242"/>
      <c r="H199" s="242"/>
      <c r="I199" s="242"/>
      <c r="J199" s="242"/>
      <c r="K199" s="242"/>
      <c r="L199" s="243"/>
    </row>
    <row r="200" spans="1:12" x14ac:dyDescent="0.25">
      <c r="A200" s="138" t="s">
        <v>20</v>
      </c>
      <c r="B200" s="161" t="s">
        <v>101</v>
      </c>
      <c r="C200" s="161" t="s">
        <v>43</v>
      </c>
      <c r="D200" s="138" t="s">
        <v>77</v>
      </c>
      <c r="E200" s="246">
        <f t="shared" si="22"/>
        <v>100</v>
      </c>
      <c r="F200" s="242"/>
      <c r="G200" s="242"/>
      <c r="H200" s="242"/>
      <c r="I200" s="242"/>
      <c r="J200" s="242"/>
      <c r="K200" s="242"/>
      <c r="L200" s="243"/>
    </row>
    <row r="201" spans="1:12" x14ac:dyDescent="0.25">
      <c r="A201" s="138" t="s">
        <v>20</v>
      </c>
      <c r="B201" s="161" t="s">
        <v>101</v>
      </c>
      <c r="C201" s="161" t="s">
        <v>44</v>
      </c>
      <c r="D201" s="138" t="s">
        <v>77</v>
      </c>
      <c r="E201" s="246">
        <f t="shared" si="22"/>
        <v>100</v>
      </c>
      <c r="F201" s="242"/>
      <c r="G201" s="242"/>
      <c r="H201" s="242"/>
      <c r="I201" s="242"/>
      <c r="J201" s="242"/>
      <c r="K201" s="242"/>
      <c r="L201" s="243"/>
    </row>
    <row r="202" spans="1:12" x14ac:dyDescent="0.25">
      <c r="A202" s="138" t="s">
        <v>20</v>
      </c>
      <c r="B202" s="161" t="s">
        <v>101</v>
      </c>
      <c r="C202" s="161" t="s">
        <v>45</v>
      </c>
      <c r="D202" s="138" t="s">
        <v>77</v>
      </c>
      <c r="E202" s="248">
        <f t="shared" si="22"/>
        <v>25</v>
      </c>
      <c r="F202" s="242"/>
      <c r="G202" s="242"/>
      <c r="H202" s="242"/>
      <c r="I202" s="242"/>
      <c r="J202" s="242"/>
      <c r="K202" s="242"/>
      <c r="L202" s="243"/>
    </row>
    <row r="203" spans="1:12" x14ac:dyDescent="0.25">
      <c r="A203" s="138" t="s">
        <v>20</v>
      </c>
      <c r="B203" s="161" t="s">
        <v>102</v>
      </c>
      <c r="C203" s="161" t="s">
        <v>40</v>
      </c>
      <c r="D203" s="138" t="s">
        <v>77</v>
      </c>
      <c r="E203" s="246">
        <f t="shared" si="22"/>
        <v>100</v>
      </c>
      <c r="F203" s="242"/>
      <c r="G203" s="242"/>
      <c r="H203" s="242"/>
      <c r="I203" s="242"/>
      <c r="J203" s="242"/>
      <c r="K203" s="242"/>
      <c r="L203" s="243"/>
    </row>
    <row r="204" spans="1:12" x14ac:dyDescent="0.25">
      <c r="A204" s="138" t="s">
        <v>20</v>
      </c>
      <c r="B204" s="161" t="s">
        <v>102</v>
      </c>
      <c r="C204" s="161" t="s">
        <v>41</v>
      </c>
      <c r="D204" s="138" t="s">
        <v>77</v>
      </c>
      <c r="E204" s="246">
        <f t="shared" si="22"/>
        <v>200</v>
      </c>
      <c r="F204" s="242"/>
      <c r="G204" s="242"/>
      <c r="H204" s="242"/>
      <c r="I204" s="242"/>
      <c r="J204" s="242"/>
      <c r="K204" s="242"/>
      <c r="L204" s="243"/>
    </row>
    <row r="205" spans="1:12" x14ac:dyDescent="0.25">
      <c r="A205" s="138" t="s">
        <v>20</v>
      </c>
      <c r="B205" s="161" t="s">
        <v>102</v>
      </c>
      <c r="C205" s="161" t="s">
        <v>42</v>
      </c>
      <c r="D205" s="138" t="s">
        <v>77</v>
      </c>
      <c r="E205" s="246">
        <f t="shared" si="22"/>
        <v>100</v>
      </c>
      <c r="F205" s="242"/>
      <c r="G205" s="242"/>
      <c r="H205" s="242"/>
      <c r="I205" s="242"/>
      <c r="J205" s="242"/>
      <c r="K205" s="242"/>
      <c r="L205" s="243"/>
    </row>
    <row r="206" spans="1:12" x14ac:dyDescent="0.25">
      <c r="A206" s="138" t="s">
        <v>20</v>
      </c>
      <c r="B206" s="161" t="s">
        <v>102</v>
      </c>
      <c r="C206" s="161" t="s">
        <v>43</v>
      </c>
      <c r="D206" s="138" t="s">
        <v>77</v>
      </c>
      <c r="E206" s="246">
        <f t="shared" si="22"/>
        <v>200</v>
      </c>
      <c r="F206" s="242"/>
      <c r="G206" s="242"/>
      <c r="H206" s="242"/>
      <c r="I206" s="242"/>
      <c r="J206" s="242"/>
      <c r="K206" s="242"/>
      <c r="L206" s="243"/>
    </row>
    <row r="207" spans="1:12" x14ac:dyDescent="0.25">
      <c r="A207" s="138" t="s">
        <v>20</v>
      </c>
      <c r="B207" s="161" t="s">
        <v>102</v>
      </c>
      <c r="C207" s="161" t="s">
        <v>44</v>
      </c>
      <c r="D207" s="138" t="s">
        <v>77</v>
      </c>
      <c r="E207" s="246">
        <f t="shared" si="22"/>
        <v>200</v>
      </c>
      <c r="F207" s="242"/>
      <c r="G207" s="242"/>
      <c r="H207" s="242"/>
      <c r="I207" s="242"/>
      <c r="J207" s="242"/>
      <c r="K207" s="242"/>
      <c r="L207" s="243"/>
    </row>
    <row r="208" spans="1:12" x14ac:dyDescent="0.25">
      <c r="A208" s="138" t="s">
        <v>20</v>
      </c>
      <c r="B208" s="161" t="s">
        <v>102</v>
      </c>
      <c r="C208" s="161" t="s">
        <v>45</v>
      </c>
      <c r="D208" s="138" t="s">
        <v>77</v>
      </c>
      <c r="E208" s="248">
        <f t="shared" si="22"/>
        <v>50</v>
      </c>
      <c r="F208" s="242"/>
      <c r="G208" s="242"/>
      <c r="H208" s="242"/>
      <c r="I208" s="242"/>
      <c r="J208" s="242"/>
      <c r="K208" s="242"/>
      <c r="L208" s="243"/>
    </row>
    <row r="209" spans="1:12" x14ac:dyDescent="0.25">
      <c r="A209" s="138" t="s">
        <v>20</v>
      </c>
      <c r="B209" s="161" t="s">
        <v>56</v>
      </c>
      <c r="C209" s="161" t="s">
        <v>40</v>
      </c>
      <c r="D209" s="138" t="s">
        <v>77</v>
      </c>
      <c r="E209" s="246">
        <f t="shared" si="22"/>
        <v>0</v>
      </c>
      <c r="F209" s="242"/>
      <c r="G209" s="242"/>
      <c r="H209" s="242"/>
      <c r="I209" s="242"/>
      <c r="J209" s="242"/>
      <c r="K209" s="242"/>
      <c r="L209" s="243"/>
    </row>
    <row r="210" spans="1:12" x14ac:dyDescent="0.25">
      <c r="A210" s="138" t="s">
        <v>20</v>
      </c>
      <c r="B210" s="161" t="s">
        <v>56</v>
      </c>
      <c r="C210" s="161" t="s">
        <v>41</v>
      </c>
      <c r="D210" s="138" t="s">
        <v>77</v>
      </c>
      <c r="E210" s="246">
        <f t="shared" si="22"/>
        <v>0</v>
      </c>
      <c r="F210" s="242"/>
      <c r="G210" s="242"/>
      <c r="H210" s="242"/>
      <c r="I210" s="242"/>
      <c r="J210" s="242"/>
      <c r="K210" s="242"/>
      <c r="L210" s="243"/>
    </row>
    <row r="211" spans="1:12" x14ac:dyDescent="0.25">
      <c r="A211" s="138" t="s">
        <v>20</v>
      </c>
      <c r="B211" s="161" t="s">
        <v>56</v>
      </c>
      <c r="C211" s="161" t="s">
        <v>42</v>
      </c>
      <c r="D211" s="138" t="s">
        <v>77</v>
      </c>
      <c r="E211" s="246">
        <f t="shared" si="22"/>
        <v>0</v>
      </c>
      <c r="F211" s="242"/>
      <c r="G211" s="242"/>
      <c r="H211" s="242"/>
      <c r="I211" s="242"/>
      <c r="J211" s="242"/>
      <c r="K211" s="242"/>
      <c r="L211" s="243"/>
    </row>
    <row r="212" spans="1:12" x14ac:dyDescent="0.25">
      <c r="A212" s="138" t="s">
        <v>20</v>
      </c>
      <c r="B212" s="161" t="s">
        <v>56</v>
      </c>
      <c r="C212" s="161" t="s">
        <v>43</v>
      </c>
      <c r="D212" s="138" t="s">
        <v>77</v>
      </c>
      <c r="E212" s="246">
        <f t="shared" si="22"/>
        <v>0</v>
      </c>
      <c r="F212" s="242"/>
      <c r="G212" s="242"/>
      <c r="H212" s="242"/>
      <c r="I212" s="242"/>
      <c r="J212" s="242"/>
      <c r="K212" s="242"/>
      <c r="L212" s="243"/>
    </row>
    <row r="213" spans="1:12" x14ac:dyDescent="0.25">
      <c r="A213" s="138" t="s">
        <v>20</v>
      </c>
      <c r="B213" s="161" t="s">
        <v>56</v>
      </c>
      <c r="C213" s="161" t="s">
        <v>44</v>
      </c>
      <c r="D213" s="138" t="s">
        <v>77</v>
      </c>
      <c r="E213" s="246">
        <f t="shared" si="22"/>
        <v>0</v>
      </c>
      <c r="F213" s="242"/>
      <c r="G213" s="242"/>
      <c r="H213" s="242"/>
      <c r="I213" s="242"/>
      <c r="J213" s="242"/>
      <c r="K213" s="242"/>
      <c r="L213" s="243"/>
    </row>
    <row r="214" spans="1:12" x14ac:dyDescent="0.25">
      <c r="A214" s="138" t="s">
        <v>20</v>
      </c>
      <c r="B214" s="161" t="s">
        <v>56</v>
      </c>
      <c r="C214" s="161" t="s">
        <v>45</v>
      </c>
      <c r="D214" s="138" t="s">
        <v>77</v>
      </c>
      <c r="E214" s="246">
        <f t="shared" si="22"/>
        <v>0</v>
      </c>
      <c r="F214" s="242"/>
      <c r="G214" s="242"/>
      <c r="H214" s="242"/>
      <c r="I214" s="242"/>
      <c r="J214" s="242"/>
      <c r="K214" s="242"/>
      <c r="L214" s="243"/>
    </row>
    <row r="215" spans="1:12" x14ac:dyDescent="0.25">
      <c r="A215" s="138" t="s">
        <v>20</v>
      </c>
      <c r="B215" s="161" t="s">
        <v>55</v>
      </c>
      <c r="C215" s="161" t="s">
        <v>46</v>
      </c>
      <c r="D215" s="138" t="s">
        <v>77</v>
      </c>
      <c r="E215" s="246">
        <f t="shared" si="22"/>
        <v>12.5</v>
      </c>
      <c r="F215" s="242"/>
      <c r="G215" s="242"/>
      <c r="H215" s="242"/>
      <c r="I215" s="242"/>
      <c r="J215" s="242"/>
      <c r="K215" s="242"/>
      <c r="L215" s="243"/>
    </row>
    <row r="216" spans="1:12" x14ac:dyDescent="0.25">
      <c r="A216" s="138" t="s">
        <v>20</v>
      </c>
      <c r="B216" s="161" t="s">
        <v>54</v>
      </c>
      <c r="C216" s="161" t="s">
        <v>45</v>
      </c>
      <c r="D216" s="138" t="s">
        <v>77</v>
      </c>
      <c r="E216" s="246">
        <f t="shared" si="22"/>
        <v>12.5</v>
      </c>
      <c r="F216" s="242"/>
      <c r="G216" s="242"/>
      <c r="H216" s="242"/>
      <c r="I216" s="242"/>
      <c r="J216" s="242"/>
      <c r="K216" s="242"/>
      <c r="L216" s="243"/>
    </row>
    <row r="217" spans="1:12" x14ac:dyDescent="0.25">
      <c r="A217" s="138" t="s">
        <v>13</v>
      </c>
      <c r="B217" s="161" t="s">
        <v>82</v>
      </c>
      <c r="C217" s="161" t="s">
        <v>40</v>
      </c>
      <c r="D217" s="138" t="s">
        <v>77</v>
      </c>
      <c r="E217" s="249">
        <f>(F18*G18)+(I18*J18)</f>
        <v>37.5</v>
      </c>
      <c r="F217" s="138"/>
      <c r="G217" s="138"/>
      <c r="H217" s="138"/>
      <c r="I217" s="138"/>
      <c r="J217" s="138"/>
      <c r="K217" s="138"/>
      <c r="L217" s="137"/>
    </row>
    <row r="218" spans="1:12" x14ac:dyDescent="0.25">
      <c r="A218" s="138" t="s">
        <v>13</v>
      </c>
      <c r="B218" s="161" t="s">
        <v>83</v>
      </c>
      <c r="C218" s="161" t="s">
        <v>40</v>
      </c>
      <c r="D218" s="138" t="s">
        <v>77</v>
      </c>
      <c r="E218" s="249">
        <f>(F19*G19)+(I19*J19)</f>
        <v>87.5</v>
      </c>
      <c r="F218" s="138"/>
      <c r="G218" s="138"/>
      <c r="H218" s="138"/>
      <c r="I218" s="138"/>
      <c r="J218" s="138"/>
      <c r="K218" s="138"/>
      <c r="L218" s="137"/>
    </row>
    <row r="219" spans="1:12" x14ac:dyDescent="0.25">
      <c r="A219" s="138" t="s">
        <v>20</v>
      </c>
      <c r="B219" s="161" t="s">
        <v>82</v>
      </c>
      <c r="C219" s="161" t="s">
        <v>40</v>
      </c>
      <c r="D219" s="138" t="s">
        <v>77</v>
      </c>
      <c r="E219" s="249">
        <f>(F18*H18)+(I18*K18)</f>
        <v>12.5</v>
      </c>
      <c r="F219" s="138"/>
      <c r="G219" s="138"/>
      <c r="H219" s="138"/>
      <c r="I219" s="138"/>
      <c r="J219" s="138"/>
      <c r="K219" s="138"/>
      <c r="L219" s="137"/>
    </row>
    <row r="220" spans="1:12" x14ac:dyDescent="0.25">
      <c r="A220" s="138" t="s">
        <v>20</v>
      </c>
      <c r="B220" s="161" t="s">
        <v>83</v>
      </c>
      <c r="C220" s="161" t="s">
        <v>40</v>
      </c>
      <c r="D220" s="138" t="s">
        <v>77</v>
      </c>
      <c r="E220" s="249">
        <f>(F19*H19)+(I19*K19)</f>
        <v>12.5</v>
      </c>
      <c r="F220" s="138"/>
      <c r="G220" s="138"/>
      <c r="H220" s="138"/>
      <c r="I220" s="138"/>
      <c r="J220" s="138"/>
      <c r="K220" s="138"/>
      <c r="L220" s="137"/>
    </row>
    <row r="221" spans="1:12" x14ac:dyDescent="0.25">
      <c r="A221" s="138" t="s">
        <v>13</v>
      </c>
      <c r="B221" s="161" t="s">
        <v>82</v>
      </c>
      <c r="C221" s="161" t="s">
        <v>42</v>
      </c>
      <c r="D221" s="138" t="s">
        <v>77</v>
      </c>
      <c r="E221" s="249">
        <f>(F24*G24)+(I24*J24)</f>
        <v>37.5</v>
      </c>
      <c r="F221" s="138"/>
      <c r="G221" s="138"/>
      <c r="H221" s="138"/>
      <c r="I221" s="138"/>
      <c r="J221" s="138"/>
      <c r="K221" s="138"/>
      <c r="L221" s="137"/>
    </row>
    <row r="222" spans="1:12" x14ac:dyDescent="0.25">
      <c r="A222" s="138" t="s">
        <v>13</v>
      </c>
      <c r="B222" s="161" t="s">
        <v>83</v>
      </c>
      <c r="C222" s="161" t="s">
        <v>42</v>
      </c>
      <c r="D222" s="138" t="s">
        <v>77</v>
      </c>
      <c r="E222" s="249">
        <f>(F25*G25)+(I25*J25)</f>
        <v>87.5</v>
      </c>
      <c r="F222" s="138"/>
      <c r="G222" s="138"/>
      <c r="H222" s="138"/>
      <c r="I222" s="138"/>
      <c r="J222" s="138"/>
      <c r="K222" s="138"/>
      <c r="L222" s="137"/>
    </row>
    <row r="223" spans="1:12" x14ac:dyDescent="0.25">
      <c r="A223" s="138" t="s">
        <v>20</v>
      </c>
      <c r="B223" s="161" t="s">
        <v>82</v>
      </c>
      <c r="C223" s="161" t="s">
        <v>42</v>
      </c>
      <c r="D223" s="138" t="s">
        <v>77</v>
      </c>
      <c r="E223" s="249">
        <f>(F24*H24)+(I24*K24)</f>
        <v>12.5</v>
      </c>
      <c r="F223" s="138"/>
      <c r="G223" s="138"/>
      <c r="H223" s="138"/>
      <c r="I223" s="138"/>
      <c r="J223" s="138"/>
      <c r="K223" s="138"/>
      <c r="L223" s="137"/>
    </row>
    <row r="224" spans="1:12" x14ac:dyDescent="0.25">
      <c r="A224" s="138" t="s">
        <v>20</v>
      </c>
      <c r="B224" s="161" t="s">
        <v>83</v>
      </c>
      <c r="C224" s="161" t="s">
        <v>42</v>
      </c>
      <c r="D224" s="138" t="s">
        <v>77</v>
      </c>
      <c r="E224" s="249">
        <f>(F25*H25)+(I25*K25)</f>
        <v>12.5</v>
      </c>
      <c r="F224" s="138"/>
      <c r="G224" s="138"/>
      <c r="H224" s="138"/>
      <c r="I224" s="138"/>
      <c r="J224" s="138"/>
      <c r="K224" s="138"/>
      <c r="L224" s="137"/>
    </row>
    <row r="225" spans="1:12" x14ac:dyDescent="0.25">
      <c r="A225" s="138" t="s">
        <v>13</v>
      </c>
      <c r="B225" s="247" t="s">
        <v>84</v>
      </c>
      <c r="C225" s="161" t="s">
        <v>40</v>
      </c>
      <c r="D225" s="138" t="s">
        <v>77</v>
      </c>
      <c r="E225" s="244">
        <f>(F20*G20)+(I20*J20)</f>
        <v>7.5</v>
      </c>
      <c r="F225" s="138"/>
      <c r="G225" s="138"/>
      <c r="H225" s="138"/>
      <c r="I225" s="138"/>
      <c r="J225" s="138"/>
      <c r="K225" s="138"/>
      <c r="L225" s="137"/>
    </row>
    <row r="226" spans="1:12" x14ac:dyDescent="0.25">
      <c r="A226" s="138" t="s">
        <v>13</v>
      </c>
      <c r="B226" s="247" t="s">
        <v>85</v>
      </c>
      <c r="C226" s="161" t="s">
        <v>40</v>
      </c>
      <c r="D226" s="138" t="s">
        <v>77</v>
      </c>
      <c r="E226" s="244">
        <f>(F21*G21)+(I21*J21)</f>
        <v>17.5</v>
      </c>
      <c r="F226" s="138"/>
      <c r="G226" s="138"/>
      <c r="H226" s="138"/>
      <c r="I226" s="138"/>
      <c r="J226" s="138"/>
      <c r="K226" s="138"/>
      <c r="L226" s="137"/>
    </row>
    <row r="227" spans="1:12" x14ac:dyDescent="0.25">
      <c r="A227" s="138" t="s">
        <v>20</v>
      </c>
      <c r="B227" s="247" t="s">
        <v>84</v>
      </c>
      <c r="C227" s="161" t="s">
        <v>40</v>
      </c>
      <c r="D227" s="138" t="s">
        <v>77</v>
      </c>
      <c r="E227" s="248">
        <f>(F20*H20)+(I20*K20)</f>
        <v>2.5</v>
      </c>
      <c r="F227" s="138"/>
      <c r="G227" s="138"/>
      <c r="H227" s="138"/>
      <c r="I227" s="138"/>
      <c r="J227" s="138"/>
      <c r="K227" s="138"/>
      <c r="L227" s="137"/>
    </row>
    <row r="228" spans="1:12" x14ac:dyDescent="0.25">
      <c r="A228" s="138" t="s">
        <v>20</v>
      </c>
      <c r="B228" s="247" t="s">
        <v>85</v>
      </c>
      <c r="C228" s="161" t="s">
        <v>40</v>
      </c>
      <c r="D228" s="138" t="s">
        <v>77</v>
      </c>
      <c r="E228" s="248">
        <f>(F21*H21)+(I21*K21)</f>
        <v>2.5</v>
      </c>
      <c r="F228" s="138"/>
      <c r="G228" s="138"/>
      <c r="H228" s="138"/>
      <c r="I228" s="138"/>
      <c r="J228" s="138"/>
      <c r="K228" s="138"/>
      <c r="L228" s="137"/>
    </row>
    <row r="229" spans="1:12" x14ac:dyDescent="0.25">
      <c r="A229" s="138" t="s">
        <v>13</v>
      </c>
      <c r="B229" s="138" t="s">
        <v>84</v>
      </c>
      <c r="C229" s="138" t="s">
        <v>42</v>
      </c>
      <c r="D229" s="138" t="s">
        <v>77</v>
      </c>
      <c r="E229" s="248">
        <f>(F26*G26)+(I26*J26)</f>
        <v>7.5</v>
      </c>
      <c r="F229" s="138"/>
      <c r="G229" s="138"/>
      <c r="H229" s="138"/>
      <c r="I229" s="138"/>
      <c r="J229" s="138"/>
      <c r="K229" s="138"/>
      <c r="L229" s="137"/>
    </row>
    <row r="230" spans="1:12" x14ac:dyDescent="0.25">
      <c r="A230" s="138" t="s">
        <v>13</v>
      </c>
      <c r="B230" s="138" t="s">
        <v>85</v>
      </c>
      <c r="C230" s="138" t="s">
        <v>42</v>
      </c>
      <c r="D230" s="138" t="s">
        <v>77</v>
      </c>
      <c r="E230" s="248">
        <f>(F27*G27)+(I27*J27)</f>
        <v>17.5</v>
      </c>
      <c r="F230" s="138"/>
      <c r="G230" s="138"/>
      <c r="H230" s="138"/>
      <c r="I230" s="138"/>
      <c r="J230" s="138"/>
      <c r="K230" s="138"/>
      <c r="L230" s="137"/>
    </row>
    <row r="231" spans="1:12" x14ac:dyDescent="0.25">
      <c r="A231" s="138" t="s">
        <v>20</v>
      </c>
      <c r="B231" s="138" t="s">
        <v>84</v>
      </c>
      <c r="C231" s="138" t="s">
        <v>42</v>
      </c>
      <c r="D231" s="138" t="s">
        <v>77</v>
      </c>
      <c r="E231" s="248">
        <f>(F26*H26)+(I26*K26)</f>
        <v>2.5</v>
      </c>
      <c r="F231" s="138"/>
      <c r="G231" s="138"/>
      <c r="H231" s="138"/>
      <c r="I231" s="138"/>
      <c r="J231" s="138"/>
      <c r="K231" s="138"/>
      <c r="L231" s="137"/>
    </row>
    <row r="232" spans="1:12" x14ac:dyDescent="0.25">
      <c r="A232" s="138" t="s">
        <v>20</v>
      </c>
      <c r="B232" s="138" t="s">
        <v>85</v>
      </c>
      <c r="C232" s="138" t="s">
        <v>42</v>
      </c>
      <c r="D232" s="138" t="s">
        <v>77</v>
      </c>
      <c r="E232" s="248">
        <f>(F27*H27)+(I27*K27)</f>
        <v>2.5</v>
      </c>
      <c r="F232" s="138"/>
      <c r="G232" s="138"/>
      <c r="H232" s="138"/>
      <c r="I232" s="138"/>
      <c r="J232" s="138"/>
      <c r="K232" s="138"/>
      <c r="L232" s="137"/>
    </row>
    <row r="233" spans="1:12" x14ac:dyDescent="0.25">
      <c r="A233" s="138" t="s">
        <v>13</v>
      </c>
      <c r="B233" s="161" t="s">
        <v>86</v>
      </c>
      <c r="C233" s="161" t="s">
        <v>40</v>
      </c>
      <c r="D233" s="138" t="s">
        <v>77</v>
      </c>
      <c r="E233" s="244">
        <f>(F22*G22)+(I22*J22)</f>
        <v>7.5</v>
      </c>
      <c r="F233" s="138"/>
      <c r="G233" s="138"/>
      <c r="H233" s="138"/>
      <c r="I233" s="138"/>
      <c r="J233" s="138"/>
      <c r="K233" s="138"/>
      <c r="L233" s="137"/>
    </row>
    <row r="234" spans="1:12" x14ac:dyDescent="0.25">
      <c r="A234" s="138" t="s">
        <v>13</v>
      </c>
      <c r="B234" s="161" t="s">
        <v>87</v>
      </c>
      <c r="C234" s="161" t="s">
        <v>40</v>
      </c>
      <c r="D234" s="138" t="s">
        <v>77</v>
      </c>
      <c r="E234" s="244">
        <f>(F23*G23)+(I23*J23)</f>
        <v>17.5</v>
      </c>
      <c r="F234" s="138"/>
      <c r="G234" s="138"/>
      <c r="H234" s="138"/>
      <c r="I234" s="138"/>
      <c r="J234" s="138"/>
      <c r="K234" s="138"/>
      <c r="L234" s="137"/>
    </row>
    <row r="235" spans="1:12" x14ac:dyDescent="0.25">
      <c r="A235" s="138" t="s">
        <v>20</v>
      </c>
      <c r="B235" s="161" t="s">
        <v>86</v>
      </c>
      <c r="C235" s="161" t="s">
        <v>40</v>
      </c>
      <c r="D235" s="138" t="s">
        <v>77</v>
      </c>
      <c r="E235" s="248">
        <f>(F22*H22)+(I22*K22)</f>
        <v>2.5</v>
      </c>
      <c r="F235" s="138"/>
      <c r="G235" s="138"/>
      <c r="H235" s="138"/>
      <c r="I235" s="138"/>
      <c r="J235" s="138"/>
      <c r="K235" s="138"/>
      <c r="L235" s="137"/>
    </row>
    <row r="236" spans="1:12" x14ac:dyDescent="0.25">
      <c r="A236" s="138" t="s">
        <v>20</v>
      </c>
      <c r="B236" s="161" t="s">
        <v>87</v>
      </c>
      <c r="C236" s="161" t="s">
        <v>40</v>
      </c>
      <c r="D236" s="138" t="s">
        <v>77</v>
      </c>
      <c r="E236" s="248">
        <f>(F23*H23)+(I23*K23)</f>
        <v>2.5</v>
      </c>
      <c r="F236" s="138"/>
      <c r="G236" s="138"/>
      <c r="H236" s="138"/>
      <c r="I236" s="138"/>
      <c r="J236" s="138"/>
      <c r="K236" s="138"/>
      <c r="L236" s="137"/>
    </row>
    <row r="237" spans="1:12" x14ac:dyDescent="0.25">
      <c r="A237" s="138" t="s">
        <v>13</v>
      </c>
      <c r="B237" s="161" t="s">
        <v>86</v>
      </c>
      <c r="C237" s="161" t="s">
        <v>42</v>
      </c>
      <c r="D237" s="138" t="s">
        <v>77</v>
      </c>
      <c r="E237" s="244">
        <f>(F28*G28)+(I28*J28)</f>
        <v>7.5</v>
      </c>
      <c r="F237" s="138"/>
      <c r="G237" s="138"/>
      <c r="H237" s="138"/>
      <c r="I237" s="138"/>
      <c r="J237" s="138"/>
      <c r="K237" s="138"/>
      <c r="L237" s="137"/>
    </row>
    <row r="238" spans="1:12" x14ac:dyDescent="0.25">
      <c r="A238" s="138" t="s">
        <v>13</v>
      </c>
      <c r="B238" s="161" t="s">
        <v>87</v>
      </c>
      <c r="C238" s="161" t="s">
        <v>42</v>
      </c>
      <c r="D238" s="138" t="s">
        <v>77</v>
      </c>
      <c r="E238" s="244">
        <f>(F29*G29)+(I29*J29)</f>
        <v>17.5</v>
      </c>
      <c r="F238" s="138"/>
      <c r="G238" s="138"/>
      <c r="H238" s="138"/>
      <c r="I238" s="138"/>
      <c r="J238" s="138"/>
      <c r="K238" s="138"/>
      <c r="L238" s="137"/>
    </row>
    <row r="239" spans="1:12" x14ac:dyDescent="0.25">
      <c r="A239" s="138" t="s">
        <v>20</v>
      </c>
      <c r="B239" s="161" t="s">
        <v>86</v>
      </c>
      <c r="C239" s="161" t="s">
        <v>42</v>
      </c>
      <c r="D239" s="138" t="s">
        <v>77</v>
      </c>
      <c r="E239" s="248">
        <f>(F28*H28)+(I28*K28)</f>
        <v>2.5</v>
      </c>
      <c r="F239" s="138"/>
      <c r="G239" s="138"/>
      <c r="H239" s="138"/>
      <c r="I239" s="138"/>
      <c r="J239" s="138"/>
      <c r="K239" s="138"/>
      <c r="L239" s="137"/>
    </row>
    <row r="240" spans="1:12" x14ac:dyDescent="0.25">
      <c r="A240" s="138" t="s">
        <v>20</v>
      </c>
      <c r="B240" s="161" t="s">
        <v>87</v>
      </c>
      <c r="C240" s="161" t="s">
        <v>42</v>
      </c>
      <c r="D240" s="138" t="s">
        <v>77</v>
      </c>
      <c r="E240" s="248">
        <f>F29*H29+I29*K29</f>
        <v>2.5</v>
      </c>
      <c r="F240" s="138"/>
      <c r="G240" s="138"/>
      <c r="H240" s="138"/>
      <c r="I240" s="138"/>
      <c r="J240" s="138"/>
      <c r="K240" s="138"/>
      <c r="L240" s="137"/>
    </row>
    <row r="241" spans="1:12" x14ac:dyDescent="0.25">
      <c r="A241" s="138" t="s">
        <v>13</v>
      </c>
      <c r="B241" s="137" t="s">
        <v>95</v>
      </c>
      <c r="C241" s="138" t="s">
        <v>41</v>
      </c>
      <c r="D241" s="138" t="s">
        <v>77</v>
      </c>
      <c r="E241" s="246">
        <f>F35*G35+I35*J35</f>
        <v>150</v>
      </c>
      <c r="F241" s="138"/>
      <c r="G241" s="138"/>
      <c r="H241" s="138"/>
      <c r="I241" s="138"/>
      <c r="J241" s="138"/>
      <c r="K241" s="138"/>
      <c r="L241" s="243" t="s">
        <v>128</v>
      </c>
    </row>
    <row r="242" spans="1:12" x14ac:dyDescent="0.25">
      <c r="A242" s="138" t="s">
        <v>13</v>
      </c>
      <c r="B242" s="137" t="s">
        <v>96</v>
      </c>
      <c r="C242" s="138" t="s">
        <v>41</v>
      </c>
      <c r="D242" s="138" t="s">
        <v>77</v>
      </c>
      <c r="E242" s="246">
        <f t="shared" ref="E242:E261" si="23">F36*G36+I36*J36</f>
        <v>150</v>
      </c>
      <c r="F242" s="138"/>
      <c r="G242" s="138"/>
      <c r="H242" s="138"/>
      <c r="I242" s="138"/>
      <c r="J242" s="138"/>
      <c r="K242" s="138"/>
      <c r="L242" s="243" t="s">
        <v>128</v>
      </c>
    </row>
    <row r="243" spans="1:12" x14ac:dyDescent="0.25">
      <c r="A243" s="138" t="s">
        <v>13</v>
      </c>
      <c r="B243" s="137" t="s">
        <v>97</v>
      </c>
      <c r="C243" s="138" t="s">
        <v>41</v>
      </c>
      <c r="D243" s="138" t="s">
        <v>77</v>
      </c>
      <c r="E243" s="246">
        <f t="shared" si="23"/>
        <v>150</v>
      </c>
      <c r="F243" s="138"/>
      <c r="G243" s="138"/>
      <c r="H243" s="138"/>
      <c r="I243" s="138"/>
      <c r="J243" s="138"/>
      <c r="K243" s="138"/>
      <c r="L243" s="243" t="s">
        <v>128</v>
      </c>
    </row>
    <row r="244" spans="1:12" x14ac:dyDescent="0.25">
      <c r="A244" s="138" t="s">
        <v>13</v>
      </c>
      <c r="B244" s="137" t="s">
        <v>98</v>
      </c>
      <c r="C244" s="138" t="s">
        <v>41</v>
      </c>
      <c r="D244" s="138" t="s">
        <v>77</v>
      </c>
      <c r="E244" s="246">
        <f t="shared" si="23"/>
        <v>150</v>
      </c>
      <c r="F244" s="138"/>
      <c r="G244" s="138"/>
      <c r="H244" s="138"/>
      <c r="I244" s="138"/>
      <c r="J244" s="138"/>
      <c r="K244" s="138"/>
      <c r="L244" s="243" t="s">
        <v>128</v>
      </c>
    </row>
    <row r="245" spans="1:12" x14ac:dyDescent="0.25">
      <c r="A245" s="138" t="s">
        <v>13</v>
      </c>
      <c r="B245" s="137" t="s">
        <v>99</v>
      </c>
      <c r="C245" s="138" t="s">
        <v>41</v>
      </c>
      <c r="D245" s="138" t="s">
        <v>77</v>
      </c>
      <c r="E245" s="246">
        <f t="shared" si="23"/>
        <v>150</v>
      </c>
      <c r="F245" s="138"/>
      <c r="G245" s="138"/>
      <c r="H245" s="138"/>
      <c r="I245" s="138"/>
      <c r="J245" s="138"/>
      <c r="K245" s="138"/>
      <c r="L245" s="243" t="s">
        <v>128</v>
      </c>
    </row>
    <row r="246" spans="1:12" x14ac:dyDescent="0.25">
      <c r="A246" s="138" t="s">
        <v>13</v>
      </c>
      <c r="B246" s="137" t="s">
        <v>129</v>
      </c>
      <c r="C246" s="138" t="s">
        <v>41</v>
      </c>
      <c r="D246" s="138" t="s">
        <v>77</v>
      </c>
      <c r="E246" s="246">
        <f t="shared" si="23"/>
        <v>150</v>
      </c>
      <c r="F246" s="138"/>
      <c r="G246" s="138"/>
      <c r="H246" s="138"/>
      <c r="I246" s="138"/>
      <c r="J246" s="138"/>
      <c r="K246" s="138"/>
      <c r="L246" s="243" t="s">
        <v>128</v>
      </c>
    </row>
    <row r="247" spans="1:12" x14ac:dyDescent="0.25">
      <c r="A247" s="138" t="s">
        <v>13</v>
      </c>
      <c r="B247" s="137" t="s">
        <v>100</v>
      </c>
      <c r="C247" s="138" t="s">
        <v>41</v>
      </c>
      <c r="D247" s="138" t="s">
        <v>77</v>
      </c>
      <c r="E247" s="246">
        <f t="shared" si="23"/>
        <v>150</v>
      </c>
      <c r="F247" s="138"/>
      <c r="G247" s="138"/>
      <c r="H247" s="138"/>
      <c r="I247" s="138"/>
      <c r="J247" s="138"/>
      <c r="K247" s="138"/>
      <c r="L247" s="243" t="s">
        <v>128</v>
      </c>
    </row>
    <row r="248" spans="1:12" x14ac:dyDescent="0.25">
      <c r="A248" s="138" t="s">
        <v>13</v>
      </c>
      <c r="B248" s="137" t="s">
        <v>95</v>
      </c>
      <c r="C248" s="138" t="s">
        <v>43</v>
      </c>
      <c r="D248" s="138" t="s">
        <v>77</v>
      </c>
      <c r="E248" s="246">
        <f t="shared" si="23"/>
        <v>150</v>
      </c>
      <c r="F248" s="138"/>
      <c r="G248" s="138"/>
      <c r="H248" s="138"/>
      <c r="I248" s="138"/>
      <c r="J248" s="138"/>
      <c r="K248" s="138"/>
      <c r="L248" s="243" t="s">
        <v>128</v>
      </c>
    </row>
    <row r="249" spans="1:12" x14ac:dyDescent="0.25">
      <c r="A249" s="138" t="s">
        <v>13</v>
      </c>
      <c r="B249" s="137" t="s">
        <v>96</v>
      </c>
      <c r="C249" s="138" t="s">
        <v>43</v>
      </c>
      <c r="D249" s="138" t="s">
        <v>77</v>
      </c>
      <c r="E249" s="246">
        <f t="shared" si="23"/>
        <v>150</v>
      </c>
      <c r="F249" s="138"/>
      <c r="G249" s="138"/>
      <c r="H249" s="138"/>
      <c r="I249" s="138"/>
      <c r="J249" s="138"/>
      <c r="K249" s="138"/>
      <c r="L249" s="243" t="s">
        <v>128</v>
      </c>
    </row>
    <row r="250" spans="1:12" x14ac:dyDescent="0.25">
      <c r="A250" s="138" t="s">
        <v>13</v>
      </c>
      <c r="B250" s="137" t="s">
        <v>97</v>
      </c>
      <c r="C250" s="138" t="s">
        <v>43</v>
      </c>
      <c r="D250" s="138" t="s">
        <v>77</v>
      </c>
      <c r="E250" s="246">
        <f t="shared" si="23"/>
        <v>150</v>
      </c>
      <c r="F250" s="138"/>
      <c r="G250" s="138"/>
      <c r="H250" s="138"/>
      <c r="I250" s="138"/>
      <c r="J250" s="138"/>
      <c r="K250" s="138"/>
      <c r="L250" s="243" t="s">
        <v>128</v>
      </c>
    </row>
    <row r="251" spans="1:12" x14ac:dyDescent="0.25">
      <c r="A251" s="138" t="s">
        <v>13</v>
      </c>
      <c r="B251" s="137" t="s">
        <v>98</v>
      </c>
      <c r="C251" s="138" t="s">
        <v>43</v>
      </c>
      <c r="D251" s="138" t="s">
        <v>77</v>
      </c>
      <c r="E251" s="246">
        <f t="shared" si="23"/>
        <v>150</v>
      </c>
      <c r="F251" s="138"/>
      <c r="G251" s="138"/>
      <c r="H251" s="138"/>
      <c r="I251" s="138"/>
      <c r="J251" s="138"/>
      <c r="K251" s="138"/>
      <c r="L251" s="243" t="s">
        <v>128</v>
      </c>
    </row>
    <row r="252" spans="1:12" x14ac:dyDescent="0.25">
      <c r="A252" s="138" t="s">
        <v>13</v>
      </c>
      <c r="B252" s="137" t="s">
        <v>99</v>
      </c>
      <c r="C252" s="138" t="s">
        <v>43</v>
      </c>
      <c r="D252" s="138" t="s">
        <v>77</v>
      </c>
      <c r="E252" s="246">
        <f t="shared" si="23"/>
        <v>150</v>
      </c>
      <c r="F252" s="138"/>
      <c r="G252" s="138"/>
      <c r="H252" s="138"/>
      <c r="I252" s="138"/>
      <c r="J252" s="138"/>
      <c r="K252" s="138"/>
      <c r="L252" s="243" t="s">
        <v>128</v>
      </c>
    </row>
    <row r="253" spans="1:12" x14ac:dyDescent="0.25">
      <c r="A253" s="138" t="s">
        <v>13</v>
      </c>
      <c r="B253" s="137" t="s">
        <v>129</v>
      </c>
      <c r="C253" s="138" t="s">
        <v>43</v>
      </c>
      <c r="D253" s="138" t="s">
        <v>77</v>
      </c>
      <c r="E253" s="246">
        <f t="shared" si="23"/>
        <v>150</v>
      </c>
      <c r="F253" s="138"/>
      <c r="G253" s="138"/>
      <c r="H253" s="138"/>
      <c r="I253" s="138"/>
      <c r="J253" s="138"/>
      <c r="K253" s="138"/>
      <c r="L253" s="243" t="s">
        <v>128</v>
      </c>
    </row>
    <row r="254" spans="1:12" x14ac:dyDescent="0.25">
      <c r="A254" s="138" t="s">
        <v>13</v>
      </c>
      <c r="B254" s="137" t="s">
        <v>100</v>
      </c>
      <c r="C254" s="138" t="s">
        <v>43</v>
      </c>
      <c r="D254" s="138" t="s">
        <v>77</v>
      </c>
      <c r="E254" s="246">
        <f t="shared" si="23"/>
        <v>150</v>
      </c>
      <c r="F254" s="138"/>
      <c r="G254" s="138"/>
      <c r="H254" s="138"/>
      <c r="I254" s="138"/>
      <c r="J254" s="138"/>
      <c r="K254" s="138"/>
      <c r="L254" s="243" t="s">
        <v>128</v>
      </c>
    </row>
    <row r="255" spans="1:12" x14ac:dyDescent="0.25">
      <c r="A255" s="138" t="s">
        <v>13</v>
      </c>
      <c r="B255" s="137" t="s">
        <v>95</v>
      </c>
      <c r="C255" s="138" t="s">
        <v>44</v>
      </c>
      <c r="D255" s="138" t="s">
        <v>77</v>
      </c>
      <c r="E255" s="246">
        <f t="shared" si="23"/>
        <v>150</v>
      </c>
      <c r="F255" s="138"/>
      <c r="G255" s="138"/>
      <c r="H255" s="138"/>
      <c r="I255" s="138"/>
      <c r="J255" s="138"/>
      <c r="K255" s="138"/>
      <c r="L255" s="243" t="s">
        <v>128</v>
      </c>
    </row>
    <row r="256" spans="1:12" x14ac:dyDescent="0.25">
      <c r="A256" s="138" t="s">
        <v>13</v>
      </c>
      <c r="B256" s="137" t="s">
        <v>96</v>
      </c>
      <c r="C256" s="138" t="s">
        <v>44</v>
      </c>
      <c r="D256" s="138" t="s">
        <v>77</v>
      </c>
      <c r="E256" s="246">
        <f t="shared" si="23"/>
        <v>150</v>
      </c>
      <c r="F256" s="138"/>
      <c r="G256" s="138"/>
      <c r="H256" s="138"/>
      <c r="I256" s="138"/>
      <c r="J256" s="138"/>
      <c r="K256" s="138"/>
      <c r="L256" s="243" t="s">
        <v>128</v>
      </c>
    </row>
    <row r="257" spans="1:12" x14ac:dyDescent="0.25">
      <c r="A257" s="138" t="s">
        <v>13</v>
      </c>
      <c r="B257" s="137" t="s">
        <v>97</v>
      </c>
      <c r="C257" s="138" t="s">
        <v>44</v>
      </c>
      <c r="D257" s="138" t="s">
        <v>77</v>
      </c>
      <c r="E257" s="246">
        <f t="shared" si="23"/>
        <v>150</v>
      </c>
      <c r="F257" s="138"/>
      <c r="G257" s="138"/>
      <c r="H257" s="138"/>
      <c r="I257" s="138"/>
      <c r="J257" s="138"/>
      <c r="K257" s="138"/>
      <c r="L257" s="243" t="s">
        <v>128</v>
      </c>
    </row>
    <row r="258" spans="1:12" x14ac:dyDescent="0.25">
      <c r="A258" s="138" t="s">
        <v>13</v>
      </c>
      <c r="B258" s="137" t="s">
        <v>98</v>
      </c>
      <c r="C258" s="138" t="s">
        <v>44</v>
      </c>
      <c r="D258" s="138" t="s">
        <v>77</v>
      </c>
      <c r="E258" s="246">
        <f t="shared" si="23"/>
        <v>150</v>
      </c>
      <c r="F258" s="138"/>
      <c r="G258" s="138"/>
      <c r="H258" s="138"/>
      <c r="I258" s="138"/>
      <c r="J258" s="138"/>
      <c r="K258" s="138"/>
      <c r="L258" s="243" t="s">
        <v>128</v>
      </c>
    </row>
    <row r="259" spans="1:12" x14ac:dyDescent="0.25">
      <c r="A259" s="138" t="s">
        <v>13</v>
      </c>
      <c r="B259" s="137" t="s">
        <v>99</v>
      </c>
      <c r="C259" s="138" t="s">
        <v>44</v>
      </c>
      <c r="D259" s="138" t="s">
        <v>77</v>
      </c>
      <c r="E259" s="246">
        <f t="shared" si="23"/>
        <v>150</v>
      </c>
      <c r="F259" s="138"/>
      <c r="G259" s="138"/>
      <c r="H259" s="138"/>
      <c r="I259" s="138"/>
      <c r="J259" s="138"/>
      <c r="K259" s="138"/>
      <c r="L259" s="243" t="s">
        <v>128</v>
      </c>
    </row>
    <row r="260" spans="1:12" x14ac:dyDescent="0.25">
      <c r="A260" s="138" t="s">
        <v>13</v>
      </c>
      <c r="B260" s="137" t="s">
        <v>129</v>
      </c>
      <c r="C260" s="138" t="s">
        <v>44</v>
      </c>
      <c r="D260" s="138" t="s">
        <v>77</v>
      </c>
      <c r="E260" s="246">
        <f t="shared" si="23"/>
        <v>150</v>
      </c>
      <c r="F260" s="138"/>
      <c r="G260" s="138"/>
      <c r="H260" s="138"/>
      <c r="I260" s="138"/>
      <c r="J260" s="138"/>
      <c r="K260" s="138"/>
      <c r="L260" s="243" t="s">
        <v>128</v>
      </c>
    </row>
    <row r="261" spans="1:12" x14ac:dyDescent="0.25">
      <c r="A261" s="138" t="s">
        <v>13</v>
      </c>
      <c r="B261" s="137" t="s">
        <v>100</v>
      </c>
      <c r="C261" s="138" t="s">
        <v>44</v>
      </c>
      <c r="D261" s="138" t="s">
        <v>77</v>
      </c>
      <c r="E261" s="246">
        <f t="shared" si="23"/>
        <v>150</v>
      </c>
      <c r="F261" s="138"/>
      <c r="G261" s="138"/>
      <c r="H261" s="138"/>
      <c r="I261" s="138"/>
      <c r="J261" s="138"/>
      <c r="K261" s="138"/>
      <c r="L261" s="243" t="s">
        <v>128</v>
      </c>
    </row>
  </sheetData>
  <autoFilter ref="A3:M261" xr:uid="{4680833C-DA16-45EA-AAB3-CD273F2F9671}"/>
  <mergeCells count="5">
    <mergeCell ref="L116:L127"/>
    <mergeCell ref="L30:L34"/>
    <mergeCell ref="L35:L55"/>
    <mergeCell ref="L56:L67"/>
    <mergeCell ref="L90:L94"/>
  </mergeCell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39997558519241921"/>
  </sheetPr>
  <dimension ref="A1:F177"/>
  <sheetViews>
    <sheetView zoomScale="70" zoomScaleNormal="70" workbookViewId="0">
      <selection activeCell="C20" sqref="C20"/>
    </sheetView>
  </sheetViews>
  <sheetFormatPr defaultColWidth="9.09765625" defaultRowHeight="13.8" outlineLevelRow="1" x14ac:dyDescent="0.25"/>
  <cols>
    <col min="1" max="1" width="7.09765625" customWidth="1"/>
    <col min="2" max="2" width="70.796875" style="2" customWidth="1"/>
    <col min="3" max="3" width="21.69921875" style="2" customWidth="1"/>
    <col min="4" max="4" width="25.59765625" style="10" customWidth="1"/>
    <col min="5" max="5" width="20.296875" style="10" customWidth="1"/>
    <col min="6" max="6" width="108.59765625" style="172" customWidth="1"/>
  </cols>
  <sheetData>
    <row r="1" spans="1:6" ht="50.1" customHeight="1" outlineLevel="1" x14ac:dyDescent="0.25">
      <c r="B1" s="7"/>
      <c r="C1" s="7"/>
    </row>
    <row r="2" spans="1:6" ht="17.25" customHeight="1" outlineLevel="1" x14ac:dyDescent="0.25">
      <c r="A2" s="218" t="s">
        <v>7</v>
      </c>
      <c r="B2" s="217" t="s">
        <v>130</v>
      </c>
      <c r="C2" s="162"/>
      <c r="D2" s="219"/>
      <c r="E2" s="219"/>
      <c r="F2" s="252"/>
    </row>
    <row r="3" spans="1:6" s="14" customFormat="1" ht="28.8" x14ac:dyDescent="0.25">
      <c r="A3" s="223" t="s">
        <v>23</v>
      </c>
      <c r="B3" s="223" t="s">
        <v>528</v>
      </c>
      <c r="C3" s="223" t="s">
        <v>234</v>
      </c>
      <c r="D3" s="223" t="s">
        <v>132</v>
      </c>
      <c r="E3" s="223" t="s">
        <v>133</v>
      </c>
      <c r="F3" s="223" t="s">
        <v>26</v>
      </c>
    </row>
    <row r="4" spans="1:6" ht="34.5" customHeight="1" x14ac:dyDescent="0.25">
      <c r="A4" s="224" t="s">
        <v>13</v>
      </c>
      <c r="B4" s="225" t="s">
        <v>80</v>
      </c>
      <c r="C4" s="225" t="s">
        <v>45</v>
      </c>
      <c r="D4" s="226" t="s">
        <v>77</v>
      </c>
      <c r="E4" s="227">
        <v>375</v>
      </c>
      <c r="F4" s="228" t="s">
        <v>533</v>
      </c>
    </row>
    <row r="5" spans="1:6" ht="14.55" customHeight="1" x14ac:dyDescent="0.25">
      <c r="A5" s="224" t="s">
        <v>13</v>
      </c>
      <c r="B5" s="225" t="s">
        <v>81</v>
      </c>
      <c r="C5" s="225" t="s">
        <v>45</v>
      </c>
      <c r="D5" s="226" t="s">
        <v>77</v>
      </c>
      <c r="E5" s="227">
        <v>0</v>
      </c>
      <c r="F5" s="229" t="s">
        <v>135</v>
      </c>
    </row>
    <row r="6" spans="1:6" s="19" customFormat="1" x14ac:dyDescent="0.25">
      <c r="A6" s="224" t="s">
        <v>13</v>
      </c>
      <c r="B6" s="225" t="s">
        <v>82</v>
      </c>
      <c r="C6" s="225" t="s">
        <v>45</v>
      </c>
      <c r="D6" s="226" t="s">
        <v>77</v>
      </c>
      <c r="E6" s="230">
        <v>98.710783022390984</v>
      </c>
      <c r="F6" s="229" t="s">
        <v>136</v>
      </c>
    </row>
    <row r="7" spans="1:6" x14ac:dyDescent="0.25">
      <c r="A7" s="224" t="s">
        <v>13</v>
      </c>
      <c r="B7" s="225" t="s">
        <v>83</v>
      </c>
      <c r="C7" s="225" t="s">
        <v>45</v>
      </c>
      <c r="D7" s="226" t="s">
        <v>77</v>
      </c>
      <c r="E7" s="227">
        <v>0</v>
      </c>
      <c r="F7" s="229" t="s">
        <v>135</v>
      </c>
    </row>
    <row r="8" spans="1:6" s="19" customFormat="1" x14ac:dyDescent="0.25">
      <c r="A8" s="224" t="s">
        <v>13</v>
      </c>
      <c r="B8" s="225" t="s">
        <v>84</v>
      </c>
      <c r="C8" s="225" t="s">
        <v>45</v>
      </c>
      <c r="D8" s="226" t="s">
        <v>77</v>
      </c>
      <c r="E8" s="230">
        <v>90.660750022438066</v>
      </c>
      <c r="F8" s="229" t="s">
        <v>136</v>
      </c>
    </row>
    <row r="9" spans="1:6" s="39" customFormat="1" x14ac:dyDescent="0.25">
      <c r="A9" s="224" t="s">
        <v>13</v>
      </c>
      <c r="B9" s="225" t="s">
        <v>85</v>
      </c>
      <c r="C9" s="225" t="s">
        <v>45</v>
      </c>
      <c r="D9" s="226" t="s">
        <v>77</v>
      </c>
      <c r="E9" s="227">
        <v>0</v>
      </c>
      <c r="F9" s="229" t="s">
        <v>135</v>
      </c>
    </row>
    <row r="10" spans="1:6" s="19" customFormat="1" x14ac:dyDescent="0.25">
      <c r="A10" s="224" t="s">
        <v>13</v>
      </c>
      <c r="B10" s="225" t="s">
        <v>86</v>
      </c>
      <c r="C10" s="225" t="s">
        <v>45</v>
      </c>
      <c r="D10" s="226" t="s">
        <v>77</v>
      </c>
      <c r="E10" s="230">
        <v>117.51764678036999</v>
      </c>
      <c r="F10" s="229" t="s">
        <v>136</v>
      </c>
    </row>
    <row r="11" spans="1:6" s="39" customFormat="1" x14ac:dyDescent="0.25">
      <c r="A11" s="224" t="s">
        <v>13</v>
      </c>
      <c r="B11" s="225" t="s">
        <v>87</v>
      </c>
      <c r="C11" s="225" t="s">
        <v>40</v>
      </c>
      <c r="D11" s="226" t="s">
        <v>77</v>
      </c>
      <c r="E11" s="227">
        <v>0</v>
      </c>
      <c r="F11" s="229" t="s">
        <v>135</v>
      </c>
    </row>
    <row r="12" spans="1:6" ht="20.25" customHeight="1" x14ac:dyDescent="0.25">
      <c r="A12" s="224" t="s">
        <v>13</v>
      </c>
      <c r="B12" s="225" t="s">
        <v>80</v>
      </c>
      <c r="C12" s="225" t="s">
        <v>40</v>
      </c>
      <c r="D12" s="226" t="s">
        <v>77</v>
      </c>
      <c r="E12" s="227">
        <v>405</v>
      </c>
      <c r="F12" s="228" t="s">
        <v>534</v>
      </c>
    </row>
    <row r="13" spans="1:6" ht="43.5" customHeight="1" x14ac:dyDescent="0.25">
      <c r="A13" s="224" t="s">
        <v>13</v>
      </c>
      <c r="B13" s="225" t="s">
        <v>80</v>
      </c>
      <c r="C13" s="225" t="s">
        <v>42</v>
      </c>
      <c r="D13" s="226" t="s">
        <v>77</v>
      </c>
      <c r="E13" s="227">
        <v>405</v>
      </c>
      <c r="F13" s="228" t="s">
        <v>534</v>
      </c>
    </row>
    <row r="14" spans="1:6" ht="23.55" customHeight="1" x14ac:dyDescent="0.25">
      <c r="A14" s="224" t="s">
        <v>13</v>
      </c>
      <c r="B14" s="225" t="s">
        <v>81</v>
      </c>
      <c r="C14" s="225" t="s">
        <v>40</v>
      </c>
      <c r="D14" s="226" t="s">
        <v>77</v>
      </c>
      <c r="E14" s="227">
        <v>0</v>
      </c>
      <c r="F14" s="229" t="s">
        <v>135</v>
      </c>
    </row>
    <row r="15" spans="1:6" ht="23.55" customHeight="1" x14ac:dyDescent="0.25">
      <c r="A15" s="224" t="s">
        <v>13</v>
      </c>
      <c r="B15" s="225" t="s">
        <v>81</v>
      </c>
      <c r="C15" s="225" t="s">
        <v>42</v>
      </c>
      <c r="D15" s="226" t="s">
        <v>77</v>
      </c>
      <c r="E15" s="227">
        <v>0</v>
      </c>
      <c r="F15" s="229" t="s">
        <v>135</v>
      </c>
    </row>
    <row r="16" spans="1:6" ht="43.5" customHeight="1" x14ac:dyDescent="0.25">
      <c r="A16" s="224" t="s">
        <v>13</v>
      </c>
      <c r="B16" s="225" t="s">
        <v>88</v>
      </c>
      <c r="C16" s="225" t="s">
        <v>40</v>
      </c>
      <c r="D16" s="231" t="s">
        <v>137</v>
      </c>
      <c r="E16" s="230">
        <v>0</v>
      </c>
      <c r="F16" s="229" t="s">
        <v>136</v>
      </c>
    </row>
    <row r="17" spans="1:6" ht="43.5" customHeight="1" x14ac:dyDescent="0.25">
      <c r="A17" s="224" t="s">
        <v>13</v>
      </c>
      <c r="B17" s="225" t="s">
        <v>88</v>
      </c>
      <c r="C17" s="225" t="s">
        <v>42</v>
      </c>
      <c r="D17" s="231" t="s">
        <v>137</v>
      </c>
      <c r="E17" s="230">
        <v>0</v>
      </c>
      <c r="F17" s="229" t="s">
        <v>136</v>
      </c>
    </row>
    <row r="18" spans="1:6" ht="43.5" customHeight="1" x14ac:dyDescent="0.25">
      <c r="A18" s="224" t="s">
        <v>13</v>
      </c>
      <c r="B18" s="225" t="s">
        <v>82</v>
      </c>
      <c r="C18" s="225" t="s">
        <v>40</v>
      </c>
      <c r="D18" s="231" t="str">
        <f t="shared" ref="D18:F23" si="0">D6</f>
        <v>$/new participant</v>
      </c>
      <c r="E18" s="230">
        <v>106</v>
      </c>
      <c r="F18" s="229" t="s">
        <v>523</v>
      </c>
    </row>
    <row r="19" spans="1:6" ht="43.5" customHeight="1" x14ac:dyDescent="0.25">
      <c r="A19" s="224" t="s">
        <v>13</v>
      </c>
      <c r="B19" s="225" t="s">
        <v>83</v>
      </c>
      <c r="C19" s="225" t="s">
        <v>40</v>
      </c>
      <c r="D19" s="231" t="str">
        <f t="shared" si="0"/>
        <v>$/new participant</v>
      </c>
      <c r="E19" s="230">
        <v>0</v>
      </c>
      <c r="F19" s="229" t="str">
        <f t="shared" si="0"/>
        <v>No enabling tech costs for BYO approach; customer brings the smart technology</v>
      </c>
    </row>
    <row r="20" spans="1:6" ht="43.5" customHeight="1" x14ac:dyDescent="0.25">
      <c r="A20" s="224" t="s">
        <v>13</v>
      </c>
      <c r="B20" s="225" t="s">
        <v>84</v>
      </c>
      <c r="C20" s="225" t="s">
        <v>40</v>
      </c>
      <c r="D20" s="231" t="str">
        <f t="shared" si="0"/>
        <v>$/new participant</v>
      </c>
      <c r="E20" s="230">
        <v>151</v>
      </c>
      <c r="F20" s="229" t="s">
        <v>523</v>
      </c>
    </row>
    <row r="21" spans="1:6" ht="43.5" customHeight="1" x14ac:dyDescent="0.25">
      <c r="A21" s="224" t="s">
        <v>13</v>
      </c>
      <c r="B21" s="225" t="s">
        <v>85</v>
      </c>
      <c r="C21" s="225" t="s">
        <v>40</v>
      </c>
      <c r="D21" s="231" t="str">
        <f t="shared" si="0"/>
        <v>$/new participant</v>
      </c>
      <c r="E21" s="230">
        <v>0</v>
      </c>
      <c r="F21" s="229" t="str">
        <f t="shared" si="0"/>
        <v>No enabling tech costs for BYO approach; customer brings the smart technology</v>
      </c>
    </row>
    <row r="22" spans="1:6" ht="43.5" customHeight="1" x14ac:dyDescent="0.25">
      <c r="A22" s="224" t="s">
        <v>13</v>
      </c>
      <c r="B22" s="225" t="s">
        <v>86</v>
      </c>
      <c r="C22" s="225" t="s">
        <v>40</v>
      </c>
      <c r="D22" s="231" t="str">
        <f t="shared" si="0"/>
        <v>$/new participant</v>
      </c>
      <c r="E22" s="230">
        <v>166</v>
      </c>
      <c r="F22" s="229" t="s">
        <v>523</v>
      </c>
    </row>
    <row r="23" spans="1:6" ht="43.5" customHeight="1" x14ac:dyDescent="0.25">
      <c r="A23" s="224" t="s">
        <v>13</v>
      </c>
      <c r="B23" s="225" t="s">
        <v>87</v>
      </c>
      <c r="C23" s="225" t="s">
        <v>40</v>
      </c>
      <c r="D23" s="231" t="str">
        <f t="shared" si="0"/>
        <v>$/new participant</v>
      </c>
      <c r="E23" s="230">
        <v>0</v>
      </c>
      <c r="F23" s="229" t="str">
        <f t="shared" si="0"/>
        <v>No enabling tech costs for BYO approach; customer brings the smart technology</v>
      </c>
    </row>
    <row r="24" spans="1:6" ht="43.5" customHeight="1" x14ac:dyDescent="0.25">
      <c r="A24" s="224" t="s">
        <v>13</v>
      </c>
      <c r="B24" s="225" t="s">
        <v>82</v>
      </c>
      <c r="C24" s="225" t="s">
        <v>42</v>
      </c>
      <c r="D24" s="231" t="str">
        <f t="shared" ref="D24:F29" si="1">D18</f>
        <v>$/new participant</v>
      </c>
      <c r="E24" s="230">
        <v>106</v>
      </c>
      <c r="F24" s="229" t="str">
        <f t="shared" si="1"/>
        <v>Not split with EE</v>
      </c>
    </row>
    <row r="25" spans="1:6" ht="43.5" customHeight="1" x14ac:dyDescent="0.25">
      <c r="A25" s="224" t="s">
        <v>13</v>
      </c>
      <c r="B25" s="225" t="s">
        <v>83</v>
      </c>
      <c r="C25" s="225" t="s">
        <v>42</v>
      </c>
      <c r="D25" s="231" t="str">
        <f t="shared" si="1"/>
        <v>$/new participant</v>
      </c>
      <c r="E25" s="230">
        <v>0</v>
      </c>
      <c r="F25" s="229" t="str">
        <f t="shared" si="1"/>
        <v>No enabling tech costs for BYO approach; customer brings the smart technology</v>
      </c>
    </row>
    <row r="26" spans="1:6" ht="43.5" customHeight="1" x14ac:dyDescent="0.25">
      <c r="A26" s="224" t="s">
        <v>13</v>
      </c>
      <c r="B26" s="225" t="s">
        <v>84</v>
      </c>
      <c r="C26" s="225" t="s">
        <v>42</v>
      </c>
      <c r="D26" s="231" t="str">
        <f t="shared" si="1"/>
        <v>$/new participant</v>
      </c>
      <c r="E26" s="230">
        <v>151</v>
      </c>
      <c r="F26" s="229" t="str">
        <f t="shared" si="1"/>
        <v>Not split with EE</v>
      </c>
    </row>
    <row r="27" spans="1:6" ht="43.5" customHeight="1" x14ac:dyDescent="0.25">
      <c r="A27" s="224" t="s">
        <v>13</v>
      </c>
      <c r="B27" s="225" t="s">
        <v>85</v>
      </c>
      <c r="C27" s="225" t="s">
        <v>42</v>
      </c>
      <c r="D27" s="231" t="str">
        <f t="shared" si="1"/>
        <v>$/new participant</v>
      </c>
      <c r="E27" s="230">
        <v>0</v>
      </c>
      <c r="F27" s="229" t="str">
        <f t="shared" si="1"/>
        <v>No enabling tech costs for BYO approach; customer brings the smart technology</v>
      </c>
    </row>
    <row r="28" spans="1:6" ht="43.5" customHeight="1" x14ac:dyDescent="0.25">
      <c r="A28" s="224" t="s">
        <v>13</v>
      </c>
      <c r="B28" s="225" t="s">
        <v>86</v>
      </c>
      <c r="C28" s="225" t="s">
        <v>42</v>
      </c>
      <c r="D28" s="231" t="str">
        <f t="shared" si="1"/>
        <v>$/new participant</v>
      </c>
      <c r="E28" s="230">
        <v>166</v>
      </c>
      <c r="F28" s="229" t="str">
        <f t="shared" si="1"/>
        <v>Not split with EE</v>
      </c>
    </row>
    <row r="29" spans="1:6" ht="43.5" customHeight="1" x14ac:dyDescent="0.25">
      <c r="A29" s="224" t="s">
        <v>13</v>
      </c>
      <c r="B29" s="225" t="s">
        <v>87</v>
      </c>
      <c r="C29" s="225" t="s">
        <v>42</v>
      </c>
      <c r="D29" s="231" t="str">
        <f t="shared" si="1"/>
        <v>$/new participant</v>
      </c>
      <c r="E29" s="230">
        <v>0</v>
      </c>
      <c r="F29" s="229" t="str">
        <f t="shared" si="1"/>
        <v>No enabling tech costs for BYO approach; customer brings the smart technology</v>
      </c>
    </row>
    <row r="30" spans="1:6" ht="43.5" customHeight="1" x14ac:dyDescent="0.25">
      <c r="A30" s="224" t="s">
        <v>13</v>
      </c>
      <c r="B30" s="225" t="s">
        <v>54</v>
      </c>
      <c r="C30" s="225" t="s">
        <v>40</v>
      </c>
      <c r="D30" s="226" t="s">
        <v>137</v>
      </c>
      <c r="E30" s="230">
        <v>0</v>
      </c>
      <c r="F30" s="406" t="s">
        <v>138</v>
      </c>
    </row>
    <row r="31" spans="1:6" x14ac:dyDescent="0.25">
      <c r="A31" s="224" t="s">
        <v>13</v>
      </c>
      <c r="B31" s="225" t="s">
        <v>54</v>
      </c>
      <c r="C31" s="225" t="s">
        <v>41</v>
      </c>
      <c r="D31" s="226" t="s">
        <v>137</v>
      </c>
      <c r="E31" s="230">
        <v>0</v>
      </c>
      <c r="F31" s="406"/>
    </row>
    <row r="32" spans="1:6" x14ac:dyDescent="0.25">
      <c r="A32" s="224" t="s">
        <v>13</v>
      </c>
      <c r="B32" s="225" t="s">
        <v>54</v>
      </c>
      <c r="C32" s="225" t="s">
        <v>42</v>
      </c>
      <c r="D32" s="226" t="s">
        <v>137</v>
      </c>
      <c r="E32" s="230">
        <v>0</v>
      </c>
      <c r="F32" s="406"/>
    </row>
    <row r="33" spans="1:6" x14ac:dyDescent="0.25">
      <c r="A33" s="224" t="s">
        <v>13</v>
      </c>
      <c r="B33" s="225" t="s">
        <v>54</v>
      </c>
      <c r="C33" s="225" t="s">
        <v>43</v>
      </c>
      <c r="D33" s="226" t="s">
        <v>137</v>
      </c>
      <c r="E33" s="230">
        <v>0</v>
      </c>
      <c r="F33" s="406"/>
    </row>
    <row r="34" spans="1:6" x14ac:dyDescent="0.25">
      <c r="A34" s="224" t="s">
        <v>13</v>
      </c>
      <c r="B34" s="225" t="s">
        <v>54</v>
      </c>
      <c r="C34" s="225" t="s">
        <v>44</v>
      </c>
      <c r="D34" s="226" t="s">
        <v>137</v>
      </c>
      <c r="E34" s="230">
        <v>0</v>
      </c>
      <c r="F34" s="406"/>
    </row>
    <row r="35" spans="1:6" ht="28.5" customHeight="1" x14ac:dyDescent="0.25">
      <c r="A35" s="224" t="s">
        <v>20</v>
      </c>
      <c r="B35" s="225" t="s">
        <v>89</v>
      </c>
      <c r="C35" s="225" t="s">
        <v>41</v>
      </c>
      <c r="D35" s="226" t="s">
        <v>137</v>
      </c>
      <c r="E35" s="227">
        <v>0</v>
      </c>
      <c r="F35" s="229" t="s">
        <v>139</v>
      </c>
    </row>
    <row r="36" spans="1:6" ht="29.1" customHeight="1" x14ac:dyDescent="0.25">
      <c r="A36" s="224" t="s">
        <v>20</v>
      </c>
      <c r="B36" s="225" t="s">
        <v>90</v>
      </c>
      <c r="C36" s="225" t="s">
        <v>41</v>
      </c>
      <c r="D36" s="226" t="s">
        <v>137</v>
      </c>
      <c r="E36" s="227">
        <v>0</v>
      </c>
      <c r="F36" s="229" t="s">
        <v>139</v>
      </c>
    </row>
    <row r="37" spans="1:6" ht="14.55" customHeight="1" x14ac:dyDescent="0.25">
      <c r="A37" s="224" t="s">
        <v>20</v>
      </c>
      <c r="B37" s="225" t="s">
        <v>91</v>
      </c>
      <c r="C37" s="225" t="s">
        <v>41</v>
      </c>
      <c r="D37" s="226" t="s">
        <v>137</v>
      </c>
      <c r="E37" s="227">
        <v>0</v>
      </c>
      <c r="F37" s="229" t="s">
        <v>139</v>
      </c>
    </row>
    <row r="38" spans="1:6" ht="58.05" customHeight="1" x14ac:dyDescent="0.25">
      <c r="A38" s="224" t="s">
        <v>20</v>
      </c>
      <c r="B38" s="225" t="s">
        <v>92</v>
      </c>
      <c r="C38" s="225" t="s">
        <v>41</v>
      </c>
      <c r="D38" s="231" t="s">
        <v>137</v>
      </c>
      <c r="E38" s="227">
        <v>0</v>
      </c>
      <c r="F38" s="229" t="s">
        <v>139</v>
      </c>
    </row>
    <row r="39" spans="1:6" ht="29.1" customHeight="1" x14ac:dyDescent="0.25">
      <c r="A39" s="224" t="s">
        <v>20</v>
      </c>
      <c r="B39" s="225" t="s">
        <v>93</v>
      </c>
      <c r="C39" s="225" t="s">
        <v>41</v>
      </c>
      <c r="D39" s="226" t="s">
        <v>137</v>
      </c>
      <c r="E39" s="227">
        <v>0</v>
      </c>
      <c r="F39" s="229" t="s">
        <v>139</v>
      </c>
    </row>
    <row r="40" spans="1:6" ht="29.1" customHeight="1" x14ac:dyDescent="0.25">
      <c r="A40" s="224" t="s">
        <v>20</v>
      </c>
      <c r="B40" s="225" t="s">
        <v>94</v>
      </c>
      <c r="C40" s="225" t="s">
        <v>41</v>
      </c>
      <c r="D40" s="226" t="s">
        <v>137</v>
      </c>
      <c r="E40" s="227">
        <v>0</v>
      </c>
      <c r="F40" s="229" t="s">
        <v>139</v>
      </c>
    </row>
    <row r="41" spans="1:6" ht="27.6" x14ac:dyDescent="0.25">
      <c r="A41" s="224" t="s">
        <v>20</v>
      </c>
      <c r="B41" s="225" t="s">
        <v>89</v>
      </c>
      <c r="C41" s="225" t="s">
        <v>43</v>
      </c>
      <c r="D41" s="226" t="s">
        <v>137</v>
      </c>
      <c r="E41" s="227">
        <v>0</v>
      </c>
      <c r="F41" s="229" t="s">
        <v>139</v>
      </c>
    </row>
    <row r="42" spans="1:6" ht="29.1" customHeight="1" x14ac:dyDescent="0.25">
      <c r="A42" s="224" t="s">
        <v>20</v>
      </c>
      <c r="B42" s="225" t="s">
        <v>90</v>
      </c>
      <c r="C42" s="225" t="s">
        <v>43</v>
      </c>
      <c r="D42" s="226" t="s">
        <v>137</v>
      </c>
      <c r="E42" s="227">
        <v>0</v>
      </c>
      <c r="F42" s="229" t="s">
        <v>139</v>
      </c>
    </row>
    <row r="43" spans="1:6" ht="30.75" customHeight="1" x14ac:dyDescent="0.25">
      <c r="A43" s="224" t="s">
        <v>20</v>
      </c>
      <c r="B43" s="225" t="s">
        <v>91</v>
      </c>
      <c r="C43" s="225" t="s">
        <v>43</v>
      </c>
      <c r="D43" s="226" t="s">
        <v>137</v>
      </c>
      <c r="E43" s="227">
        <v>0</v>
      </c>
      <c r="F43" s="229" t="s">
        <v>139</v>
      </c>
    </row>
    <row r="44" spans="1:6" ht="58.05" customHeight="1" x14ac:dyDescent="0.25">
      <c r="A44" s="224" t="s">
        <v>20</v>
      </c>
      <c r="B44" s="225" t="s">
        <v>92</v>
      </c>
      <c r="C44" s="225" t="s">
        <v>43</v>
      </c>
      <c r="D44" s="231" t="s">
        <v>137</v>
      </c>
      <c r="E44" s="227">
        <v>0</v>
      </c>
      <c r="F44" s="229" t="s">
        <v>139</v>
      </c>
    </row>
    <row r="45" spans="1:6" ht="29.1" customHeight="1" x14ac:dyDescent="0.25">
      <c r="A45" s="224" t="s">
        <v>20</v>
      </c>
      <c r="B45" s="225" t="s">
        <v>93</v>
      </c>
      <c r="C45" s="225" t="s">
        <v>43</v>
      </c>
      <c r="D45" s="226" t="s">
        <v>137</v>
      </c>
      <c r="E45" s="227">
        <v>0</v>
      </c>
      <c r="F45" s="229" t="s">
        <v>139</v>
      </c>
    </row>
    <row r="46" spans="1:6" ht="29.1" customHeight="1" x14ac:dyDescent="0.25">
      <c r="A46" s="224" t="s">
        <v>20</v>
      </c>
      <c r="B46" s="225" t="s">
        <v>94</v>
      </c>
      <c r="C46" s="225" t="s">
        <v>43</v>
      </c>
      <c r="D46" s="226" t="s">
        <v>137</v>
      </c>
      <c r="E46" s="227">
        <v>0</v>
      </c>
      <c r="F46" s="229" t="s">
        <v>139</v>
      </c>
    </row>
    <row r="47" spans="1:6" ht="14.55" customHeight="1" x14ac:dyDescent="0.25">
      <c r="A47" s="224" t="s">
        <v>20</v>
      </c>
      <c r="B47" s="225" t="s">
        <v>89</v>
      </c>
      <c r="C47" s="225" t="s">
        <v>44</v>
      </c>
      <c r="D47" s="226" t="s">
        <v>137</v>
      </c>
      <c r="E47" s="227">
        <v>0</v>
      </c>
      <c r="F47" s="229" t="s">
        <v>139</v>
      </c>
    </row>
    <row r="48" spans="1:6" ht="29.1" customHeight="1" x14ac:dyDescent="0.25">
      <c r="A48" s="224" t="s">
        <v>20</v>
      </c>
      <c r="B48" s="225" t="s">
        <v>90</v>
      </c>
      <c r="C48" s="225" t="s">
        <v>44</v>
      </c>
      <c r="D48" s="226" t="s">
        <v>137</v>
      </c>
      <c r="E48" s="227">
        <v>0</v>
      </c>
      <c r="F48" s="229" t="s">
        <v>139</v>
      </c>
    </row>
    <row r="49" spans="1:6" ht="58.05" customHeight="1" x14ac:dyDescent="0.25">
      <c r="A49" s="224" t="s">
        <v>20</v>
      </c>
      <c r="B49" s="225" t="s">
        <v>91</v>
      </c>
      <c r="C49" s="225" t="s">
        <v>44</v>
      </c>
      <c r="D49" s="226" t="s">
        <v>137</v>
      </c>
      <c r="E49" s="227">
        <v>0</v>
      </c>
      <c r="F49" s="229" t="s">
        <v>139</v>
      </c>
    </row>
    <row r="50" spans="1:6" s="157" customFormat="1" ht="58.05" customHeight="1" x14ac:dyDescent="0.25">
      <c r="A50" s="224" t="s">
        <v>20</v>
      </c>
      <c r="B50" s="225" t="s">
        <v>92</v>
      </c>
      <c r="C50" s="225" t="s">
        <v>44</v>
      </c>
      <c r="D50" s="231" t="s">
        <v>137</v>
      </c>
      <c r="E50" s="227">
        <v>0</v>
      </c>
      <c r="F50" s="399" t="s">
        <v>139</v>
      </c>
    </row>
    <row r="51" spans="1:6" s="157" customFormat="1" ht="29.1" customHeight="1" x14ac:dyDescent="0.25">
      <c r="A51" s="224" t="s">
        <v>20</v>
      </c>
      <c r="B51" s="225" t="s">
        <v>93</v>
      </c>
      <c r="C51" s="225" t="s">
        <v>44</v>
      </c>
      <c r="D51" s="226" t="s">
        <v>137</v>
      </c>
      <c r="E51" s="227">
        <v>0</v>
      </c>
      <c r="F51" s="399" t="s">
        <v>139</v>
      </c>
    </row>
    <row r="52" spans="1:6" s="157" customFormat="1" ht="29.1" customHeight="1" x14ac:dyDescent="0.25">
      <c r="A52" s="224" t="s">
        <v>20</v>
      </c>
      <c r="B52" s="225" t="s">
        <v>94</v>
      </c>
      <c r="C52" s="225" t="s">
        <v>44</v>
      </c>
      <c r="D52" s="226" t="s">
        <v>137</v>
      </c>
      <c r="E52" s="227">
        <v>0</v>
      </c>
      <c r="F52" s="399" t="s">
        <v>139</v>
      </c>
    </row>
    <row r="53" spans="1:6" s="157" customFormat="1" ht="29.1" customHeight="1" x14ac:dyDescent="0.25">
      <c r="A53" s="224" t="s">
        <v>13</v>
      </c>
      <c r="B53" s="225" t="s">
        <v>95</v>
      </c>
      <c r="C53" s="225" t="s">
        <v>41</v>
      </c>
      <c r="D53" s="232" t="str">
        <f>D35</f>
        <v>$/new kW</v>
      </c>
      <c r="E53" s="227">
        <v>0</v>
      </c>
      <c r="F53" s="399" t="s">
        <v>140</v>
      </c>
    </row>
    <row r="54" spans="1:6" s="157" customFormat="1" ht="29.1" customHeight="1" x14ac:dyDescent="0.25">
      <c r="A54" s="224" t="s">
        <v>13</v>
      </c>
      <c r="B54" s="225" t="s">
        <v>96</v>
      </c>
      <c r="C54" s="225" t="s">
        <v>41</v>
      </c>
      <c r="D54" s="232" t="str">
        <f t="shared" ref="D54:D63" si="2">D36</f>
        <v>$/new kW</v>
      </c>
      <c r="E54" s="227">
        <v>304.92</v>
      </c>
      <c r="F54" s="399" t="s">
        <v>535</v>
      </c>
    </row>
    <row r="55" spans="1:6" s="157" customFormat="1" ht="29.1" customHeight="1" x14ac:dyDescent="0.25">
      <c r="A55" s="224" t="s">
        <v>13</v>
      </c>
      <c r="B55" s="225" t="s">
        <v>97</v>
      </c>
      <c r="C55" s="225" t="s">
        <v>41</v>
      </c>
      <c r="D55" s="232" t="str">
        <f t="shared" si="2"/>
        <v>$/new kW</v>
      </c>
      <c r="E55" s="227">
        <v>0</v>
      </c>
      <c r="F55" s="399" t="s">
        <v>141</v>
      </c>
    </row>
    <row r="56" spans="1:6" s="157" customFormat="1" ht="29.1" customHeight="1" x14ac:dyDescent="0.25">
      <c r="A56" s="224" t="s">
        <v>13</v>
      </c>
      <c r="B56" s="225" t="s">
        <v>98</v>
      </c>
      <c r="C56" s="225" t="s">
        <v>41</v>
      </c>
      <c r="D56" s="232" t="str">
        <f t="shared" si="2"/>
        <v>$/new kW</v>
      </c>
      <c r="E56" s="227">
        <v>364.14</v>
      </c>
      <c r="F56" s="399" t="s">
        <v>535</v>
      </c>
    </row>
    <row r="57" spans="1:6" s="157" customFormat="1" ht="29.1" customHeight="1" x14ac:dyDescent="0.25">
      <c r="A57" s="224" t="s">
        <v>13</v>
      </c>
      <c r="B57" s="225" t="s">
        <v>99</v>
      </c>
      <c r="C57" s="225" t="s">
        <v>41</v>
      </c>
      <c r="D57" s="232" t="str">
        <f t="shared" si="2"/>
        <v>$/new kW</v>
      </c>
      <c r="E57" s="227">
        <v>0</v>
      </c>
      <c r="F57" s="399" t="s">
        <v>142</v>
      </c>
    </row>
    <row r="58" spans="1:6" s="157" customFormat="1" ht="29.1" customHeight="1" x14ac:dyDescent="0.25">
      <c r="A58" s="224" t="s">
        <v>13</v>
      </c>
      <c r="B58" s="225" t="s">
        <v>100</v>
      </c>
      <c r="C58" s="225" t="s">
        <v>41</v>
      </c>
      <c r="D58" s="232" t="str">
        <f t="shared" si="2"/>
        <v>$/new kW</v>
      </c>
      <c r="E58" s="227">
        <v>0</v>
      </c>
      <c r="F58" s="399" t="s">
        <v>143</v>
      </c>
    </row>
    <row r="59" spans="1:6" s="157" customFormat="1" ht="29.1" customHeight="1" x14ac:dyDescent="0.25">
      <c r="A59" s="224" t="s">
        <v>13</v>
      </c>
      <c r="B59" s="225" t="s">
        <v>95</v>
      </c>
      <c r="C59" s="225" t="s">
        <v>43</v>
      </c>
      <c r="D59" s="232" t="str">
        <f t="shared" si="2"/>
        <v>$/new kW</v>
      </c>
      <c r="E59" s="227">
        <v>0</v>
      </c>
      <c r="F59" s="399" t="s">
        <v>140</v>
      </c>
    </row>
    <row r="60" spans="1:6" s="157" customFormat="1" ht="29.1" customHeight="1" x14ac:dyDescent="0.25">
      <c r="A60" s="224" t="s">
        <v>13</v>
      </c>
      <c r="B60" s="225" t="s">
        <v>96</v>
      </c>
      <c r="C60" s="225" t="s">
        <v>43</v>
      </c>
      <c r="D60" s="232" t="str">
        <f t="shared" si="2"/>
        <v>$/new kW</v>
      </c>
      <c r="E60" s="227">
        <v>304.92</v>
      </c>
      <c r="F60" s="399" t="s">
        <v>535</v>
      </c>
    </row>
    <row r="61" spans="1:6" s="157" customFormat="1" ht="29.1" customHeight="1" x14ac:dyDescent="0.25">
      <c r="A61" s="224" t="s">
        <v>13</v>
      </c>
      <c r="B61" s="225" t="s">
        <v>97</v>
      </c>
      <c r="C61" s="225" t="s">
        <v>43</v>
      </c>
      <c r="D61" s="232" t="str">
        <f t="shared" si="2"/>
        <v>$/new kW</v>
      </c>
      <c r="E61" s="227">
        <v>0</v>
      </c>
      <c r="F61" s="399" t="s">
        <v>141</v>
      </c>
    </row>
    <row r="62" spans="1:6" s="157" customFormat="1" ht="29.1" customHeight="1" x14ac:dyDescent="0.25">
      <c r="A62" s="224" t="s">
        <v>13</v>
      </c>
      <c r="B62" s="225" t="s">
        <v>98</v>
      </c>
      <c r="C62" s="225" t="s">
        <v>43</v>
      </c>
      <c r="D62" s="232" t="str">
        <f t="shared" si="2"/>
        <v>$/new kW</v>
      </c>
      <c r="E62" s="227">
        <v>364.14</v>
      </c>
      <c r="F62" s="399" t="s">
        <v>535</v>
      </c>
    </row>
    <row r="63" spans="1:6" s="157" customFormat="1" ht="29.1" customHeight="1" x14ac:dyDescent="0.25">
      <c r="A63" s="224" t="s">
        <v>13</v>
      </c>
      <c r="B63" s="225" t="s">
        <v>99</v>
      </c>
      <c r="C63" s="225" t="s">
        <v>43</v>
      </c>
      <c r="D63" s="232" t="str">
        <f t="shared" si="2"/>
        <v>$/new kW</v>
      </c>
      <c r="E63" s="227">
        <v>0</v>
      </c>
      <c r="F63" s="399" t="s">
        <v>142</v>
      </c>
    </row>
    <row r="64" spans="1:6" s="157" customFormat="1" ht="29.1" customHeight="1" x14ac:dyDescent="0.25">
      <c r="A64" s="224" t="s">
        <v>13</v>
      </c>
      <c r="B64" s="225" t="s">
        <v>100</v>
      </c>
      <c r="C64" s="225" t="s">
        <v>43</v>
      </c>
      <c r="D64" s="232" t="str">
        <f t="shared" ref="D64:D69" si="3">D46</f>
        <v>$/new kW</v>
      </c>
      <c r="E64" s="227">
        <v>0</v>
      </c>
      <c r="F64" s="399" t="s">
        <v>143</v>
      </c>
    </row>
    <row r="65" spans="1:6" s="157" customFormat="1" ht="29.1" customHeight="1" x14ac:dyDescent="0.25">
      <c r="A65" s="224" t="s">
        <v>13</v>
      </c>
      <c r="B65" s="225" t="s">
        <v>95</v>
      </c>
      <c r="C65" s="225" t="s">
        <v>44</v>
      </c>
      <c r="D65" s="232" t="str">
        <f t="shared" si="3"/>
        <v>$/new kW</v>
      </c>
      <c r="E65" s="227">
        <v>0</v>
      </c>
      <c r="F65" s="399" t="s">
        <v>140</v>
      </c>
    </row>
    <row r="66" spans="1:6" s="157" customFormat="1" ht="29.1" customHeight="1" x14ac:dyDescent="0.25">
      <c r="A66" s="224" t="s">
        <v>13</v>
      </c>
      <c r="B66" s="225" t="s">
        <v>96</v>
      </c>
      <c r="C66" s="225" t="s">
        <v>44</v>
      </c>
      <c r="D66" s="232" t="str">
        <f t="shared" si="3"/>
        <v>$/new kW</v>
      </c>
      <c r="E66" s="227">
        <v>304.92</v>
      </c>
      <c r="F66" s="399" t="s">
        <v>535</v>
      </c>
    </row>
    <row r="67" spans="1:6" s="157" customFormat="1" ht="29.1" customHeight="1" x14ac:dyDescent="0.25">
      <c r="A67" s="224" t="s">
        <v>13</v>
      </c>
      <c r="B67" s="225" t="s">
        <v>97</v>
      </c>
      <c r="C67" s="225" t="s">
        <v>44</v>
      </c>
      <c r="D67" s="232" t="str">
        <f t="shared" si="3"/>
        <v>$/new kW</v>
      </c>
      <c r="E67" s="227">
        <v>0</v>
      </c>
      <c r="F67" s="399" t="s">
        <v>141</v>
      </c>
    </row>
    <row r="68" spans="1:6" s="157" customFormat="1" ht="29.1" customHeight="1" x14ac:dyDescent="0.25">
      <c r="A68" s="224" t="s">
        <v>13</v>
      </c>
      <c r="B68" s="225" t="s">
        <v>98</v>
      </c>
      <c r="C68" s="225" t="s">
        <v>44</v>
      </c>
      <c r="D68" s="232" t="str">
        <f t="shared" si="3"/>
        <v>$/new kW</v>
      </c>
      <c r="E68" s="227">
        <v>364.14</v>
      </c>
      <c r="F68" s="399" t="s">
        <v>535</v>
      </c>
    </row>
    <row r="69" spans="1:6" s="157" customFormat="1" ht="29.1" customHeight="1" x14ac:dyDescent="0.25">
      <c r="A69" s="224" t="s">
        <v>13</v>
      </c>
      <c r="B69" s="225" t="s">
        <v>99</v>
      </c>
      <c r="C69" s="225" t="s">
        <v>44</v>
      </c>
      <c r="D69" s="232" t="str">
        <f t="shared" si="3"/>
        <v>$/new kW</v>
      </c>
      <c r="E69" s="227">
        <v>0</v>
      </c>
      <c r="F69" s="399" t="s">
        <v>142</v>
      </c>
    </row>
    <row r="70" spans="1:6" s="157" customFormat="1" ht="29.1" customHeight="1" x14ac:dyDescent="0.25">
      <c r="A70" s="224" t="s">
        <v>13</v>
      </c>
      <c r="B70" s="225" t="s">
        <v>100</v>
      </c>
      <c r="C70" s="225" t="s">
        <v>44</v>
      </c>
      <c r="D70" s="232" t="str">
        <f>D52</f>
        <v>$/new kW</v>
      </c>
      <c r="E70" s="227">
        <v>0</v>
      </c>
      <c r="F70" s="399" t="s">
        <v>143</v>
      </c>
    </row>
    <row r="71" spans="1:6" s="157" customFormat="1" x14ac:dyDescent="0.25">
      <c r="A71" s="224" t="s">
        <v>13</v>
      </c>
      <c r="B71" s="225" t="s">
        <v>101</v>
      </c>
      <c r="C71" s="225" t="s">
        <v>40</v>
      </c>
      <c r="D71" s="226" t="s">
        <v>77</v>
      </c>
      <c r="E71" s="230">
        <v>166</v>
      </c>
      <c r="F71" s="399" t="s">
        <v>136</v>
      </c>
    </row>
    <row r="72" spans="1:6" s="157" customFormat="1" x14ac:dyDescent="0.25">
      <c r="A72" s="224" t="s">
        <v>13</v>
      </c>
      <c r="B72" s="225" t="s">
        <v>101</v>
      </c>
      <c r="C72" s="225" t="s">
        <v>41</v>
      </c>
      <c r="D72" s="231" t="s">
        <v>137</v>
      </c>
      <c r="E72" s="230">
        <v>0</v>
      </c>
      <c r="F72" s="399" t="s">
        <v>136</v>
      </c>
    </row>
    <row r="73" spans="1:6" s="157" customFormat="1" x14ac:dyDescent="0.25">
      <c r="A73" s="224" t="s">
        <v>13</v>
      </c>
      <c r="B73" s="225" t="s">
        <v>101</v>
      </c>
      <c r="C73" s="225" t="s">
        <v>42</v>
      </c>
      <c r="D73" s="226" t="s">
        <v>77</v>
      </c>
      <c r="E73" s="230">
        <v>166</v>
      </c>
      <c r="F73" s="399" t="s">
        <v>136</v>
      </c>
    </row>
    <row r="74" spans="1:6" s="157" customFormat="1" x14ac:dyDescent="0.25">
      <c r="A74" s="224" t="s">
        <v>13</v>
      </c>
      <c r="B74" s="225" t="s">
        <v>101</v>
      </c>
      <c r="C74" s="225" t="s">
        <v>43</v>
      </c>
      <c r="D74" s="231" t="s">
        <v>137</v>
      </c>
      <c r="E74" s="230">
        <v>0</v>
      </c>
      <c r="F74" s="399" t="s">
        <v>136</v>
      </c>
    </row>
    <row r="75" spans="1:6" s="157" customFormat="1" x14ac:dyDescent="0.25">
      <c r="A75" s="224" t="s">
        <v>13</v>
      </c>
      <c r="B75" s="225" t="s">
        <v>101</v>
      </c>
      <c r="C75" s="225" t="s">
        <v>44</v>
      </c>
      <c r="D75" s="231" t="s">
        <v>137</v>
      </c>
      <c r="E75" s="230">
        <v>0</v>
      </c>
      <c r="F75" s="399" t="s">
        <v>136</v>
      </c>
    </row>
    <row r="76" spans="1:6" s="157" customFormat="1" x14ac:dyDescent="0.25">
      <c r="A76" s="224" t="s">
        <v>13</v>
      </c>
      <c r="B76" s="225" t="s">
        <v>101</v>
      </c>
      <c r="C76" s="225" t="s">
        <v>45</v>
      </c>
      <c r="D76" s="226" t="s">
        <v>77</v>
      </c>
      <c r="E76" s="230">
        <v>122.74937237911395</v>
      </c>
      <c r="F76" s="399" t="s">
        <v>136</v>
      </c>
    </row>
    <row r="77" spans="1:6" s="157" customFormat="1" x14ac:dyDescent="0.25">
      <c r="A77" s="224" t="s">
        <v>13</v>
      </c>
      <c r="B77" s="225" t="s">
        <v>102</v>
      </c>
      <c r="C77" s="225" t="s">
        <v>40</v>
      </c>
      <c r="D77" s="226" t="s">
        <v>137</v>
      </c>
      <c r="E77" s="230">
        <v>0</v>
      </c>
      <c r="F77" s="253" t="s">
        <v>144</v>
      </c>
    </row>
    <row r="78" spans="1:6" s="157" customFormat="1" x14ac:dyDescent="0.25">
      <c r="A78" s="224" t="s">
        <v>13</v>
      </c>
      <c r="B78" s="225" t="s">
        <v>102</v>
      </c>
      <c r="C78" s="225" t="s">
        <v>41</v>
      </c>
      <c r="D78" s="226" t="s">
        <v>137</v>
      </c>
      <c r="E78" s="230">
        <v>0</v>
      </c>
      <c r="F78" s="253" t="s">
        <v>144</v>
      </c>
    </row>
    <row r="79" spans="1:6" s="157" customFormat="1" x14ac:dyDescent="0.25">
      <c r="A79" s="224" t="s">
        <v>13</v>
      </c>
      <c r="B79" s="225" t="s">
        <v>102</v>
      </c>
      <c r="C79" s="225" t="s">
        <v>42</v>
      </c>
      <c r="D79" s="226" t="s">
        <v>137</v>
      </c>
      <c r="E79" s="230">
        <v>0</v>
      </c>
      <c r="F79" s="253" t="s">
        <v>144</v>
      </c>
    </row>
    <row r="80" spans="1:6" s="157" customFormat="1" x14ac:dyDescent="0.25">
      <c r="A80" s="224" t="s">
        <v>13</v>
      </c>
      <c r="B80" s="225" t="s">
        <v>102</v>
      </c>
      <c r="C80" s="225" t="s">
        <v>43</v>
      </c>
      <c r="D80" s="226" t="s">
        <v>137</v>
      </c>
      <c r="E80" s="230">
        <v>0</v>
      </c>
      <c r="F80" s="253" t="s">
        <v>144</v>
      </c>
    </row>
    <row r="81" spans="1:6" s="157" customFormat="1" x14ac:dyDescent="0.25">
      <c r="A81" s="224" t="s">
        <v>13</v>
      </c>
      <c r="B81" s="225" t="s">
        <v>102</v>
      </c>
      <c r="C81" s="225" t="s">
        <v>44</v>
      </c>
      <c r="D81" s="226" t="s">
        <v>137</v>
      </c>
      <c r="E81" s="230">
        <v>0</v>
      </c>
      <c r="F81" s="253" t="s">
        <v>144</v>
      </c>
    </row>
    <row r="82" spans="1:6" s="157" customFormat="1" x14ac:dyDescent="0.25">
      <c r="A82" s="224" t="s">
        <v>13</v>
      </c>
      <c r="B82" s="225" t="s">
        <v>102</v>
      </c>
      <c r="C82" s="225" t="s">
        <v>45</v>
      </c>
      <c r="D82" s="231" t="s">
        <v>77</v>
      </c>
      <c r="E82" s="230">
        <v>0</v>
      </c>
      <c r="F82" s="253" t="s">
        <v>144</v>
      </c>
    </row>
    <row r="83" spans="1:6" x14ac:dyDescent="0.25">
      <c r="A83" s="224" t="s">
        <v>13</v>
      </c>
      <c r="B83" s="225" t="s">
        <v>56</v>
      </c>
      <c r="C83" s="225" t="s">
        <v>40</v>
      </c>
      <c r="D83" s="231" t="s">
        <v>77</v>
      </c>
      <c r="E83" s="230">
        <v>0</v>
      </c>
      <c r="F83" s="253" t="s">
        <v>144</v>
      </c>
    </row>
    <row r="84" spans="1:6" x14ac:dyDescent="0.25">
      <c r="A84" s="224" t="s">
        <v>13</v>
      </c>
      <c r="B84" s="225" t="s">
        <v>56</v>
      </c>
      <c r="C84" s="225" t="s">
        <v>41</v>
      </c>
      <c r="D84" s="231" t="s">
        <v>77</v>
      </c>
      <c r="E84" s="230">
        <v>0</v>
      </c>
      <c r="F84" s="253" t="s">
        <v>144</v>
      </c>
    </row>
    <row r="85" spans="1:6" x14ac:dyDescent="0.25">
      <c r="A85" s="224" t="s">
        <v>13</v>
      </c>
      <c r="B85" s="225" t="s">
        <v>56</v>
      </c>
      <c r="C85" s="225" t="s">
        <v>42</v>
      </c>
      <c r="D85" s="231" t="s">
        <v>77</v>
      </c>
      <c r="E85" s="230">
        <v>0</v>
      </c>
      <c r="F85" s="253" t="s">
        <v>144</v>
      </c>
    </row>
    <row r="86" spans="1:6" x14ac:dyDescent="0.25">
      <c r="A86" s="224" t="s">
        <v>13</v>
      </c>
      <c r="B86" s="225" t="s">
        <v>56</v>
      </c>
      <c r="C86" s="225" t="s">
        <v>43</v>
      </c>
      <c r="D86" s="231" t="s">
        <v>77</v>
      </c>
      <c r="E86" s="230">
        <v>0</v>
      </c>
      <c r="F86" s="253" t="s">
        <v>144</v>
      </c>
    </row>
    <row r="87" spans="1:6" x14ac:dyDescent="0.25">
      <c r="A87" s="224" t="s">
        <v>13</v>
      </c>
      <c r="B87" s="225" t="s">
        <v>56</v>
      </c>
      <c r="C87" s="225" t="s">
        <v>44</v>
      </c>
      <c r="D87" s="231" t="s">
        <v>77</v>
      </c>
      <c r="E87" s="230">
        <v>0</v>
      </c>
      <c r="F87" s="253" t="s">
        <v>144</v>
      </c>
    </row>
    <row r="88" spans="1:6" x14ac:dyDescent="0.25">
      <c r="A88" s="224" t="s">
        <v>13</v>
      </c>
      <c r="B88" s="225" t="s">
        <v>56</v>
      </c>
      <c r="C88" s="225" t="s">
        <v>45</v>
      </c>
      <c r="D88" s="231" t="s">
        <v>77</v>
      </c>
      <c r="E88" s="230">
        <v>0</v>
      </c>
      <c r="F88" s="253" t="s">
        <v>144</v>
      </c>
    </row>
    <row r="89" spans="1:6" x14ac:dyDescent="0.25">
      <c r="A89" s="224" t="s">
        <v>13</v>
      </c>
      <c r="B89" s="225" t="s">
        <v>55</v>
      </c>
      <c r="C89" s="225" t="s">
        <v>46</v>
      </c>
      <c r="D89" s="226" t="s">
        <v>77</v>
      </c>
      <c r="E89" s="230">
        <v>0</v>
      </c>
      <c r="F89" s="228"/>
    </row>
    <row r="90" spans="1:6" x14ac:dyDescent="0.25">
      <c r="A90" s="224" t="s">
        <v>13</v>
      </c>
      <c r="B90" s="225" t="s">
        <v>54</v>
      </c>
      <c r="C90" s="225" t="s">
        <v>45</v>
      </c>
      <c r="D90" s="233" t="s">
        <v>137</v>
      </c>
      <c r="E90" s="230">
        <v>0</v>
      </c>
      <c r="F90" s="253"/>
    </row>
    <row r="91" spans="1:6" ht="15" customHeight="1" x14ac:dyDescent="0.25">
      <c r="A91" s="224" t="s">
        <v>20</v>
      </c>
      <c r="B91" s="225" t="s">
        <v>80</v>
      </c>
      <c r="C91" s="225" t="s">
        <v>45</v>
      </c>
      <c r="D91" s="226" t="s">
        <v>77</v>
      </c>
      <c r="E91" s="230">
        <v>0</v>
      </c>
      <c r="F91" s="228"/>
    </row>
    <row r="92" spans="1:6" ht="15" customHeight="1" x14ac:dyDescent="0.25">
      <c r="A92" s="224" t="s">
        <v>20</v>
      </c>
      <c r="B92" s="225" t="s">
        <v>81</v>
      </c>
      <c r="C92" s="225" t="s">
        <v>45</v>
      </c>
      <c r="D92" s="226" t="s">
        <v>77</v>
      </c>
      <c r="E92" s="230">
        <v>0</v>
      </c>
      <c r="F92" s="228"/>
    </row>
    <row r="93" spans="1:6" ht="15" customHeight="1" x14ac:dyDescent="0.25">
      <c r="A93" s="224" t="s">
        <v>20</v>
      </c>
      <c r="B93" s="225" t="s">
        <v>82</v>
      </c>
      <c r="C93" s="225" t="s">
        <v>45</v>
      </c>
      <c r="D93" s="226" t="s">
        <v>77</v>
      </c>
      <c r="E93" s="230">
        <v>0</v>
      </c>
      <c r="F93" s="228"/>
    </row>
    <row r="94" spans="1:6" ht="15" customHeight="1" x14ac:dyDescent="0.25">
      <c r="A94" s="224" t="s">
        <v>20</v>
      </c>
      <c r="B94" s="225" t="s">
        <v>83</v>
      </c>
      <c r="C94" s="225" t="s">
        <v>45</v>
      </c>
      <c r="D94" s="226" t="s">
        <v>77</v>
      </c>
      <c r="E94" s="230">
        <v>0</v>
      </c>
      <c r="F94" s="228"/>
    </row>
    <row r="95" spans="1:6" ht="15" customHeight="1" x14ac:dyDescent="0.25">
      <c r="A95" s="224" t="s">
        <v>20</v>
      </c>
      <c r="B95" s="225" t="s">
        <v>84</v>
      </c>
      <c r="C95" s="225" t="s">
        <v>45</v>
      </c>
      <c r="D95" s="226" t="s">
        <v>77</v>
      </c>
      <c r="E95" s="230">
        <v>0</v>
      </c>
      <c r="F95" s="228"/>
    </row>
    <row r="96" spans="1:6" ht="15" customHeight="1" x14ac:dyDescent="0.25">
      <c r="A96" s="224" t="s">
        <v>20</v>
      </c>
      <c r="B96" s="225" t="s">
        <v>85</v>
      </c>
      <c r="C96" s="225" t="s">
        <v>45</v>
      </c>
      <c r="D96" s="226" t="s">
        <v>77</v>
      </c>
      <c r="E96" s="230">
        <v>0</v>
      </c>
      <c r="F96" s="228"/>
    </row>
    <row r="97" spans="1:6" ht="15" customHeight="1" x14ac:dyDescent="0.25">
      <c r="A97" s="224" t="s">
        <v>20</v>
      </c>
      <c r="B97" s="225" t="s">
        <v>86</v>
      </c>
      <c r="C97" s="225" t="s">
        <v>45</v>
      </c>
      <c r="D97" s="226" t="s">
        <v>77</v>
      </c>
      <c r="E97" s="230">
        <v>0</v>
      </c>
      <c r="F97" s="228"/>
    </row>
    <row r="98" spans="1:6" ht="15" customHeight="1" x14ac:dyDescent="0.25">
      <c r="A98" s="224" t="s">
        <v>20</v>
      </c>
      <c r="B98" s="225" t="s">
        <v>87</v>
      </c>
      <c r="C98" s="225" t="s">
        <v>40</v>
      </c>
      <c r="D98" s="226" t="s">
        <v>77</v>
      </c>
      <c r="E98" s="230">
        <v>0</v>
      </c>
      <c r="F98" s="228"/>
    </row>
    <row r="99" spans="1:6" ht="15" customHeight="1" x14ac:dyDescent="0.25">
      <c r="A99" s="224" t="s">
        <v>20</v>
      </c>
      <c r="B99" s="225" t="s">
        <v>80</v>
      </c>
      <c r="C99" s="225" t="s">
        <v>40</v>
      </c>
      <c r="D99" s="226" t="s">
        <v>137</v>
      </c>
      <c r="E99" s="230">
        <v>0</v>
      </c>
      <c r="F99" s="228"/>
    </row>
    <row r="100" spans="1:6" ht="15" customHeight="1" x14ac:dyDescent="0.25">
      <c r="A100" s="224" t="s">
        <v>20</v>
      </c>
      <c r="B100" s="225" t="s">
        <v>80</v>
      </c>
      <c r="C100" s="225" t="s">
        <v>42</v>
      </c>
      <c r="D100" s="226" t="s">
        <v>137</v>
      </c>
      <c r="E100" s="230">
        <v>0</v>
      </c>
      <c r="F100" s="228"/>
    </row>
    <row r="101" spans="1:6" ht="15" customHeight="1" x14ac:dyDescent="0.25">
      <c r="A101" s="224" t="s">
        <v>20</v>
      </c>
      <c r="B101" s="225" t="s">
        <v>81</v>
      </c>
      <c r="C101" s="225" t="s">
        <v>40</v>
      </c>
      <c r="D101" s="226" t="s">
        <v>77</v>
      </c>
      <c r="E101" s="230">
        <v>0</v>
      </c>
      <c r="F101" s="228"/>
    </row>
    <row r="102" spans="1:6" ht="15" customHeight="1" x14ac:dyDescent="0.25">
      <c r="A102" s="224" t="s">
        <v>20</v>
      </c>
      <c r="B102" s="225" t="s">
        <v>81</v>
      </c>
      <c r="C102" s="225" t="s">
        <v>42</v>
      </c>
      <c r="D102" s="226" t="s">
        <v>77</v>
      </c>
      <c r="E102" s="230">
        <v>0</v>
      </c>
      <c r="F102" s="228"/>
    </row>
    <row r="103" spans="1:6" ht="15" customHeight="1" x14ac:dyDescent="0.25">
      <c r="A103" s="224" t="s">
        <v>20</v>
      </c>
      <c r="B103" s="225" t="s">
        <v>88</v>
      </c>
      <c r="C103" s="225" t="s">
        <v>40</v>
      </c>
      <c r="D103" s="231" t="s">
        <v>137</v>
      </c>
      <c r="E103" s="230">
        <v>0</v>
      </c>
      <c r="F103" s="228"/>
    </row>
    <row r="104" spans="1:6" ht="15" customHeight="1" x14ac:dyDescent="0.25">
      <c r="A104" s="224" t="s">
        <v>20</v>
      </c>
      <c r="B104" s="225" t="s">
        <v>88</v>
      </c>
      <c r="C104" s="225" t="s">
        <v>42</v>
      </c>
      <c r="D104" s="231" t="s">
        <v>137</v>
      </c>
      <c r="E104" s="230">
        <v>0</v>
      </c>
      <c r="F104" s="228"/>
    </row>
    <row r="105" spans="1:6" ht="15" customHeight="1" x14ac:dyDescent="0.25">
      <c r="A105" s="224" t="s">
        <v>20</v>
      </c>
      <c r="B105" s="225" t="s">
        <v>54</v>
      </c>
      <c r="C105" s="225" t="s">
        <v>40</v>
      </c>
      <c r="D105" s="226" t="s">
        <v>137</v>
      </c>
      <c r="E105" s="230">
        <v>0</v>
      </c>
      <c r="F105" s="228"/>
    </row>
    <row r="106" spans="1:6" ht="15" customHeight="1" x14ac:dyDescent="0.25">
      <c r="A106" s="224" t="s">
        <v>20</v>
      </c>
      <c r="B106" s="225" t="s">
        <v>54</v>
      </c>
      <c r="C106" s="225" t="s">
        <v>41</v>
      </c>
      <c r="D106" s="226" t="s">
        <v>137</v>
      </c>
      <c r="E106" s="230">
        <v>0</v>
      </c>
      <c r="F106" s="228"/>
    </row>
    <row r="107" spans="1:6" ht="15" customHeight="1" x14ac:dyDescent="0.25">
      <c r="A107" s="224" t="s">
        <v>20</v>
      </c>
      <c r="B107" s="225" t="s">
        <v>54</v>
      </c>
      <c r="C107" s="225" t="s">
        <v>42</v>
      </c>
      <c r="D107" s="226" t="s">
        <v>137</v>
      </c>
      <c r="E107" s="230">
        <v>0</v>
      </c>
      <c r="F107" s="228"/>
    </row>
    <row r="108" spans="1:6" ht="15" customHeight="1" x14ac:dyDescent="0.25">
      <c r="A108" s="224" t="s">
        <v>20</v>
      </c>
      <c r="B108" s="225" t="s">
        <v>54</v>
      </c>
      <c r="C108" s="225" t="s">
        <v>43</v>
      </c>
      <c r="D108" s="226" t="s">
        <v>137</v>
      </c>
      <c r="E108" s="230">
        <v>0</v>
      </c>
      <c r="F108" s="228"/>
    </row>
    <row r="109" spans="1:6" ht="15" customHeight="1" x14ac:dyDescent="0.25">
      <c r="A109" s="224" t="s">
        <v>20</v>
      </c>
      <c r="B109" s="225" t="s">
        <v>54</v>
      </c>
      <c r="C109" s="225" t="s">
        <v>44</v>
      </c>
      <c r="D109" s="226" t="s">
        <v>137</v>
      </c>
      <c r="E109" s="230">
        <v>0</v>
      </c>
      <c r="F109" s="228"/>
    </row>
    <row r="110" spans="1:6" ht="15" customHeight="1" x14ac:dyDescent="0.25">
      <c r="A110" s="224" t="s">
        <v>13</v>
      </c>
      <c r="B110" s="225" t="s">
        <v>89</v>
      </c>
      <c r="C110" s="225" t="s">
        <v>41</v>
      </c>
      <c r="D110" s="226" t="s">
        <v>137</v>
      </c>
      <c r="E110" s="230">
        <v>0</v>
      </c>
      <c r="F110" s="228"/>
    </row>
    <row r="111" spans="1:6" ht="15" customHeight="1" x14ac:dyDescent="0.25">
      <c r="A111" s="224" t="s">
        <v>13</v>
      </c>
      <c r="B111" s="225" t="s">
        <v>90</v>
      </c>
      <c r="C111" s="225" t="s">
        <v>41</v>
      </c>
      <c r="D111" s="226" t="s">
        <v>137</v>
      </c>
      <c r="E111" s="230">
        <v>0</v>
      </c>
      <c r="F111" s="228"/>
    </row>
    <row r="112" spans="1:6" ht="15" customHeight="1" x14ac:dyDescent="0.25">
      <c r="A112" s="224" t="s">
        <v>13</v>
      </c>
      <c r="B112" s="225" t="s">
        <v>91</v>
      </c>
      <c r="C112" s="225" t="s">
        <v>41</v>
      </c>
      <c r="D112" s="226" t="s">
        <v>137</v>
      </c>
      <c r="E112" s="230">
        <v>0</v>
      </c>
      <c r="F112" s="228"/>
    </row>
    <row r="113" spans="1:6" ht="15" customHeight="1" x14ac:dyDescent="0.25">
      <c r="A113" s="224" t="s">
        <v>13</v>
      </c>
      <c r="B113" s="225" t="s">
        <v>92</v>
      </c>
      <c r="C113" s="225" t="s">
        <v>41</v>
      </c>
      <c r="D113" s="231" t="s">
        <v>137</v>
      </c>
      <c r="E113" s="230">
        <v>0</v>
      </c>
      <c r="F113" s="228"/>
    </row>
    <row r="114" spans="1:6" ht="15" customHeight="1" x14ac:dyDescent="0.25">
      <c r="A114" s="224" t="s">
        <v>13</v>
      </c>
      <c r="B114" s="225" t="s">
        <v>93</v>
      </c>
      <c r="C114" s="225" t="s">
        <v>41</v>
      </c>
      <c r="D114" s="226" t="s">
        <v>137</v>
      </c>
      <c r="E114" s="230">
        <v>0</v>
      </c>
      <c r="F114" s="228"/>
    </row>
    <row r="115" spans="1:6" ht="15" customHeight="1" x14ac:dyDescent="0.25">
      <c r="A115" s="224" t="s">
        <v>13</v>
      </c>
      <c r="B115" s="225" t="s">
        <v>147</v>
      </c>
      <c r="C115" s="225" t="s">
        <v>41</v>
      </c>
      <c r="D115" s="226" t="s">
        <v>137</v>
      </c>
      <c r="E115" s="230">
        <v>0</v>
      </c>
      <c r="F115" s="228"/>
    </row>
    <row r="116" spans="1:6" ht="15" customHeight="1" x14ac:dyDescent="0.25">
      <c r="A116" s="224" t="s">
        <v>13</v>
      </c>
      <c r="B116" s="225" t="s">
        <v>94</v>
      </c>
      <c r="C116" s="225" t="s">
        <v>41</v>
      </c>
      <c r="D116" s="226" t="s">
        <v>137</v>
      </c>
      <c r="E116" s="230">
        <v>0</v>
      </c>
      <c r="F116" s="228"/>
    </row>
    <row r="117" spans="1:6" ht="15" customHeight="1" x14ac:dyDescent="0.25">
      <c r="A117" s="224" t="s">
        <v>13</v>
      </c>
      <c r="B117" s="225" t="s">
        <v>89</v>
      </c>
      <c r="C117" s="225" t="s">
        <v>43</v>
      </c>
      <c r="D117" s="226" t="s">
        <v>137</v>
      </c>
      <c r="E117" s="230">
        <v>0</v>
      </c>
      <c r="F117" s="228"/>
    </row>
    <row r="118" spans="1:6" ht="15" customHeight="1" x14ac:dyDescent="0.25">
      <c r="A118" s="224" t="s">
        <v>13</v>
      </c>
      <c r="B118" s="225" t="s">
        <v>90</v>
      </c>
      <c r="C118" s="225" t="s">
        <v>43</v>
      </c>
      <c r="D118" s="226" t="s">
        <v>137</v>
      </c>
      <c r="E118" s="230">
        <v>0</v>
      </c>
      <c r="F118" s="228"/>
    </row>
    <row r="119" spans="1:6" ht="15" customHeight="1" x14ac:dyDescent="0.25">
      <c r="A119" s="224" t="s">
        <v>13</v>
      </c>
      <c r="B119" s="225" t="s">
        <v>91</v>
      </c>
      <c r="C119" s="225" t="s">
        <v>43</v>
      </c>
      <c r="D119" s="226" t="s">
        <v>137</v>
      </c>
      <c r="E119" s="230">
        <v>0</v>
      </c>
      <c r="F119" s="228"/>
    </row>
    <row r="120" spans="1:6" ht="15" customHeight="1" x14ac:dyDescent="0.25">
      <c r="A120" s="224" t="s">
        <v>13</v>
      </c>
      <c r="B120" s="225" t="s">
        <v>92</v>
      </c>
      <c r="C120" s="225" t="s">
        <v>43</v>
      </c>
      <c r="D120" s="231" t="s">
        <v>137</v>
      </c>
      <c r="E120" s="230">
        <v>0</v>
      </c>
      <c r="F120" s="228"/>
    </row>
    <row r="121" spans="1:6" ht="15" customHeight="1" x14ac:dyDescent="0.25">
      <c r="A121" s="224" t="s">
        <v>13</v>
      </c>
      <c r="B121" s="225" t="s">
        <v>93</v>
      </c>
      <c r="C121" s="225" t="s">
        <v>43</v>
      </c>
      <c r="D121" s="226" t="s">
        <v>137</v>
      </c>
      <c r="E121" s="230">
        <v>0</v>
      </c>
      <c r="F121" s="228"/>
    </row>
    <row r="122" spans="1:6" ht="15" customHeight="1" x14ac:dyDescent="0.25">
      <c r="A122" s="224" t="s">
        <v>13</v>
      </c>
      <c r="B122" s="225" t="s">
        <v>147</v>
      </c>
      <c r="C122" s="225" t="s">
        <v>43</v>
      </c>
      <c r="D122" s="226" t="s">
        <v>137</v>
      </c>
      <c r="E122" s="230">
        <v>0</v>
      </c>
      <c r="F122" s="228"/>
    </row>
    <row r="123" spans="1:6" ht="15" customHeight="1" x14ac:dyDescent="0.25">
      <c r="A123" s="224" t="s">
        <v>13</v>
      </c>
      <c r="B123" s="225" t="s">
        <v>94</v>
      </c>
      <c r="C123" s="225" t="s">
        <v>43</v>
      </c>
      <c r="D123" s="226" t="s">
        <v>137</v>
      </c>
      <c r="E123" s="230">
        <v>0</v>
      </c>
      <c r="F123" s="228"/>
    </row>
    <row r="124" spans="1:6" ht="15" customHeight="1" x14ac:dyDescent="0.25">
      <c r="A124" s="224" t="s">
        <v>13</v>
      </c>
      <c r="B124" s="225" t="s">
        <v>89</v>
      </c>
      <c r="C124" s="225" t="s">
        <v>44</v>
      </c>
      <c r="D124" s="226" t="s">
        <v>137</v>
      </c>
      <c r="E124" s="230">
        <v>0</v>
      </c>
      <c r="F124" s="228"/>
    </row>
    <row r="125" spans="1:6" ht="15" customHeight="1" x14ac:dyDescent="0.25">
      <c r="A125" s="224" t="s">
        <v>13</v>
      </c>
      <c r="B125" s="225" t="s">
        <v>90</v>
      </c>
      <c r="C125" s="225" t="s">
        <v>44</v>
      </c>
      <c r="D125" s="226" t="s">
        <v>137</v>
      </c>
      <c r="E125" s="230">
        <v>0</v>
      </c>
      <c r="F125" s="228"/>
    </row>
    <row r="126" spans="1:6" ht="15" customHeight="1" x14ac:dyDescent="0.25">
      <c r="A126" s="224" t="s">
        <v>13</v>
      </c>
      <c r="B126" s="225" t="s">
        <v>91</v>
      </c>
      <c r="C126" s="225" t="s">
        <v>44</v>
      </c>
      <c r="D126" s="226" t="s">
        <v>137</v>
      </c>
      <c r="E126" s="230">
        <v>0</v>
      </c>
      <c r="F126" s="228"/>
    </row>
    <row r="127" spans="1:6" ht="15" customHeight="1" x14ac:dyDescent="0.25">
      <c r="A127" s="224" t="s">
        <v>13</v>
      </c>
      <c r="B127" s="225" t="s">
        <v>92</v>
      </c>
      <c r="C127" s="225" t="s">
        <v>44</v>
      </c>
      <c r="D127" s="231" t="s">
        <v>137</v>
      </c>
      <c r="E127" s="230">
        <v>0</v>
      </c>
      <c r="F127" s="228"/>
    </row>
    <row r="128" spans="1:6" ht="15" customHeight="1" x14ac:dyDescent="0.25">
      <c r="A128" s="224" t="s">
        <v>13</v>
      </c>
      <c r="B128" s="225" t="s">
        <v>93</v>
      </c>
      <c r="C128" s="225" t="s">
        <v>44</v>
      </c>
      <c r="D128" s="226" t="s">
        <v>137</v>
      </c>
      <c r="E128" s="230">
        <v>0</v>
      </c>
      <c r="F128" s="228"/>
    </row>
    <row r="129" spans="1:6" ht="15" customHeight="1" x14ac:dyDescent="0.25">
      <c r="A129" s="224" t="s">
        <v>13</v>
      </c>
      <c r="B129" s="225" t="s">
        <v>147</v>
      </c>
      <c r="C129" s="225" t="s">
        <v>44</v>
      </c>
      <c r="D129" s="226" t="s">
        <v>137</v>
      </c>
      <c r="E129" s="230">
        <v>0</v>
      </c>
      <c r="F129" s="228"/>
    </row>
    <row r="130" spans="1:6" ht="15" customHeight="1" x14ac:dyDescent="0.25">
      <c r="A130" s="224" t="s">
        <v>13</v>
      </c>
      <c r="B130" s="225" t="s">
        <v>94</v>
      </c>
      <c r="C130" s="225" t="s">
        <v>44</v>
      </c>
      <c r="D130" s="226" t="s">
        <v>137</v>
      </c>
      <c r="E130" s="230">
        <v>0</v>
      </c>
      <c r="F130" s="228"/>
    </row>
    <row r="131" spans="1:6" ht="15" customHeight="1" x14ac:dyDescent="0.25">
      <c r="A131" s="224" t="s">
        <v>20</v>
      </c>
      <c r="B131" s="225" t="s">
        <v>95</v>
      </c>
      <c r="C131" s="225" t="s">
        <v>41</v>
      </c>
      <c r="D131" s="226" t="s">
        <v>137</v>
      </c>
      <c r="E131" s="230">
        <v>0</v>
      </c>
      <c r="F131" s="229" t="s">
        <v>140</v>
      </c>
    </row>
    <row r="132" spans="1:6" ht="15" customHeight="1" x14ac:dyDescent="0.25">
      <c r="A132" s="224" t="s">
        <v>20</v>
      </c>
      <c r="B132" s="225" t="s">
        <v>96</v>
      </c>
      <c r="C132" s="225" t="s">
        <v>41</v>
      </c>
      <c r="D132" s="226" t="s">
        <v>137</v>
      </c>
      <c r="E132" s="230">
        <v>0</v>
      </c>
      <c r="F132" s="228" t="s">
        <v>145</v>
      </c>
    </row>
    <row r="133" spans="1:6" ht="15" customHeight="1" x14ac:dyDescent="0.25">
      <c r="A133" s="224" t="s">
        <v>20</v>
      </c>
      <c r="B133" s="225" t="s">
        <v>97</v>
      </c>
      <c r="C133" s="225" t="s">
        <v>41</v>
      </c>
      <c r="D133" s="226" t="s">
        <v>137</v>
      </c>
      <c r="E133" s="227">
        <v>0</v>
      </c>
      <c r="F133" s="229" t="s">
        <v>141</v>
      </c>
    </row>
    <row r="134" spans="1:6" x14ac:dyDescent="0.25">
      <c r="A134" s="224" t="s">
        <v>20</v>
      </c>
      <c r="B134" s="225" t="s">
        <v>98</v>
      </c>
      <c r="C134" s="225" t="s">
        <v>41</v>
      </c>
      <c r="D134" s="226" t="s">
        <v>137</v>
      </c>
      <c r="E134" s="230">
        <v>0</v>
      </c>
      <c r="F134" s="228" t="s">
        <v>145</v>
      </c>
    </row>
    <row r="135" spans="1:6" ht="15" customHeight="1" x14ac:dyDescent="0.25">
      <c r="A135" s="224" t="s">
        <v>20</v>
      </c>
      <c r="B135" s="225" t="s">
        <v>99</v>
      </c>
      <c r="C135" s="225" t="s">
        <v>41</v>
      </c>
      <c r="D135" s="226" t="s">
        <v>137</v>
      </c>
      <c r="E135" s="230">
        <v>0</v>
      </c>
      <c r="F135" s="228"/>
    </row>
    <row r="136" spans="1:6" ht="15" customHeight="1" x14ac:dyDescent="0.25">
      <c r="A136" s="224" t="s">
        <v>13</v>
      </c>
      <c r="B136" s="225" t="s">
        <v>129</v>
      </c>
      <c r="C136" s="225" t="s">
        <v>41</v>
      </c>
      <c r="D136" s="226" t="s">
        <v>137</v>
      </c>
      <c r="E136" s="230">
        <v>0</v>
      </c>
      <c r="F136" s="228" t="s">
        <v>146</v>
      </c>
    </row>
    <row r="137" spans="1:6" ht="15" customHeight="1" x14ac:dyDescent="0.25">
      <c r="A137" s="224" t="s">
        <v>20</v>
      </c>
      <c r="B137" s="225" t="s">
        <v>100</v>
      </c>
      <c r="C137" s="225" t="s">
        <v>41</v>
      </c>
      <c r="D137" s="226" t="s">
        <v>137</v>
      </c>
      <c r="E137" s="230">
        <v>0</v>
      </c>
      <c r="F137" s="228" t="s">
        <v>145</v>
      </c>
    </row>
    <row r="138" spans="1:6" ht="15" customHeight="1" x14ac:dyDescent="0.25">
      <c r="A138" s="224" t="s">
        <v>20</v>
      </c>
      <c r="B138" s="225" t="s">
        <v>95</v>
      </c>
      <c r="C138" s="225" t="s">
        <v>43</v>
      </c>
      <c r="D138" s="226" t="s">
        <v>137</v>
      </c>
      <c r="E138" s="230">
        <v>0</v>
      </c>
      <c r="F138" s="229" t="s">
        <v>140</v>
      </c>
    </row>
    <row r="139" spans="1:6" ht="15" customHeight="1" x14ac:dyDescent="0.25">
      <c r="A139" s="224" t="s">
        <v>20</v>
      </c>
      <c r="B139" s="225" t="s">
        <v>96</v>
      </c>
      <c r="C139" s="225" t="s">
        <v>43</v>
      </c>
      <c r="D139" s="226" t="s">
        <v>137</v>
      </c>
      <c r="E139" s="230">
        <v>0</v>
      </c>
      <c r="F139" s="228" t="s">
        <v>145</v>
      </c>
    </row>
    <row r="140" spans="1:6" ht="15" customHeight="1" x14ac:dyDescent="0.25">
      <c r="A140" s="224" t="s">
        <v>20</v>
      </c>
      <c r="B140" s="225" t="s">
        <v>97</v>
      </c>
      <c r="C140" s="225" t="s">
        <v>43</v>
      </c>
      <c r="D140" s="226" t="s">
        <v>137</v>
      </c>
      <c r="E140" s="227">
        <v>0</v>
      </c>
      <c r="F140" s="229" t="s">
        <v>141</v>
      </c>
    </row>
    <row r="141" spans="1:6" x14ac:dyDescent="0.25">
      <c r="A141" s="224" t="s">
        <v>20</v>
      </c>
      <c r="B141" s="225" t="s">
        <v>98</v>
      </c>
      <c r="C141" s="225" t="s">
        <v>43</v>
      </c>
      <c r="D141" s="226" t="s">
        <v>137</v>
      </c>
      <c r="E141" s="230">
        <v>0</v>
      </c>
      <c r="F141" s="228" t="s">
        <v>145</v>
      </c>
    </row>
    <row r="142" spans="1:6" ht="15" customHeight="1" x14ac:dyDescent="0.25">
      <c r="A142" s="224" t="s">
        <v>20</v>
      </c>
      <c r="B142" s="225" t="s">
        <v>99</v>
      </c>
      <c r="C142" s="225" t="s">
        <v>43</v>
      </c>
      <c r="D142" s="226" t="s">
        <v>137</v>
      </c>
      <c r="E142" s="230">
        <v>0</v>
      </c>
      <c r="F142" s="228"/>
    </row>
    <row r="143" spans="1:6" ht="15" customHeight="1" x14ac:dyDescent="0.25">
      <c r="A143" s="224" t="s">
        <v>13</v>
      </c>
      <c r="B143" s="225" t="s">
        <v>129</v>
      </c>
      <c r="C143" s="225" t="s">
        <v>43</v>
      </c>
      <c r="D143" s="226" t="s">
        <v>137</v>
      </c>
      <c r="E143" s="230">
        <v>0</v>
      </c>
      <c r="F143" s="228" t="s">
        <v>146</v>
      </c>
    </row>
    <row r="144" spans="1:6" ht="15" customHeight="1" x14ac:dyDescent="0.25">
      <c r="A144" s="224" t="s">
        <v>20</v>
      </c>
      <c r="B144" s="225" t="s">
        <v>100</v>
      </c>
      <c r="C144" s="225" t="s">
        <v>43</v>
      </c>
      <c r="D144" s="226" t="s">
        <v>137</v>
      </c>
      <c r="E144" s="230">
        <v>0</v>
      </c>
      <c r="F144" s="228" t="s">
        <v>145</v>
      </c>
    </row>
    <row r="145" spans="1:6" ht="15" customHeight="1" x14ac:dyDescent="0.25">
      <c r="A145" s="224" t="s">
        <v>20</v>
      </c>
      <c r="B145" s="225" t="s">
        <v>95</v>
      </c>
      <c r="C145" s="225" t="s">
        <v>44</v>
      </c>
      <c r="D145" s="226" t="s">
        <v>137</v>
      </c>
      <c r="E145" s="230">
        <v>0</v>
      </c>
      <c r="F145" s="229" t="s">
        <v>140</v>
      </c>
    </row>
    <row r="146" spans="1:6" ht="15" customHeight="1" x14ac:dyDescent="0.25">
      <c r="A146" s="224" t="s">
        <v>20</v>
      </c>
      <c r="B146" s="225" t="s">
        <v>96</v>
      </c>
      <c r="C146" s="225" t="s">
        <v>44</v>
      </c>
      <c r="D146" s="226" t="s">
        <v>137</v>
      </c>
      <c r="E146" s="230">
        <v>0</v>
      </c>
      <c r="F146" s="228" t="s">
        <v>145</v>
      </c>
    </row>
    <row r="147" spans="1:6" ht="15" customHeight="1" x14ac:dyDescent="0.25">
      <c r="A147" s="224" t="s">
        <v>20</v>
      </c>
      <c r="B147" s="225" t="s">
        <v>97</v>
      </c>
      <c r="C147" s="225" t="s">
        <v>44</v>
      </c>
      <c r="D147" s="226" t="s">
        <v>137</v>
      </c>
      <c r="E147" s="227">
        <v>0</v>
      </c>
      <c r="F147" s="229" t="s">
        <v>141</v>
      </c>
    </row>
    <row r="148" spans="1:6" x14ac:dyDescent="0.25">
      <c r="A148" s="224" t="s">
        <v>20</v>
      </c>
      <c r="B148" s="225" t="s">
        <v>98</v>
      </c>
      <c r="C148" s="225" t="s">
        <v>44</v>
      </c>
      <c r="D148" s="226" t="s">
        <v>137</v>
      </c>
      <c r="E148" s="230">
        <v>0</v>
      </c>
      <c r="F148" s="228" t="s">
        <v>145</v>
      </c>
    </row>
    <row r="149" spans="1:6" ht="15" customHeight="1" x14ac:dyDescent="0.25">
      <c r="A149" s="224" t="s">
        <v>20</v>
      </c>
      <c r="B149" s="225" t="s">
        <v>99</v>
      </c>
      <c r="C149" s="225" t="s">
        <v>44</v>
      </c>
      <c r="D149" s="226" t="s">
        <v>137</v>
      </c>
      <c r="E149" s="230">
        <v>0</v>
      </c>
      <c r="F149" s="228"/>
    </row>
    <row r="150" spans="1:6" ht="15" customHeight="1" x14ac:dyDescent="0.25">
      <c r="A150" s="224" t="s">
        <v>13</v>
      </c>
      <c r="B150" s="225" t="s">
        <v>129</v>
      </c>
      <c r="C150" s="225" t="s">
        <v>44</v>
      </c>
      <c r="D150" s="226" t="s">
        <v>137</v>
      </c>
      <c r="E150" s="230">
        <v>0</v>
      </c>
      <c r="F150" s="228" t="s">
        <v>146</v>
      </c>
    </row>
    <row r="151" spans="1:6" ht="15" customHeight="1" x14ac:dyDescent="0.25">
      <c r="A151" s="224" t="s">
        <v>20</v>
      </c>
      <c r="B151" s="225" t="s">
        <v>100</v>
      </c>
      <c r="C151" s="225" t="s">
        <v>44</v>
      </c>
      <c r="D151" s="226" t="s">
        <v>137</v>
      </c>
      <c r="E151" s="230">
        <v>0</v>
      </c>
      <c r="F151" s="228" t="s">
        <v>145</v>
      </c>
    </row>
    <row r="152" spans="1:6" ht="15" customHeight="1" x14ac:dyDescent="0.25">
      <c r="A152" s="224" t="s">
        <v>20</v>
      </c>
      <c r="B152" s="225" t="s">
        <v>101</v>
      </c>
      <c r="C152" s="225" t="s">
        <v>40</v>
      </c>
      <c r="D152" s="231" t="s">
        <v>137</v>
      </c>
      <c r="E152" s="230">
        <v>0</v>
      </c>
      <c r="F152" s="228"/>
    </row>
    <row r="153" spans="1:6" ht="15" customHeight="1" x14ac:dyDescent="0.25">
      <c r="A153" s="224" t="s">
        <v>20</v>
      </c>
      <c r="B153" s="225" t="s">
        <v>101</v>
      </c>
      <c r="C153" s="225" t="s">
        <v>41</v>
      </c>
      <c r="D153" s="231" t="s">
        <v>137</v>
      </c>
      <c r="E153" s="230">
        <v>0</v>
      </c>
      <c r="F153" s="228"/>
    </row>
    <row r="154" spans="1:6" ht="15" customHeight="1" x14ac:dyDescent="0.25">
      <c r="A154" s="224" t="s">
        <v>20</v>
      </c>
      <c r="B154" s="225" t="s">
        <v>101</v>
      </c>
      <c r="C154" s="225" t="s">
        <v>42</v>
      </c>
      <c r="D154" s="231" t="s">
        <v>137</v>
      </c>
      <c r="E154" s="230">
        <v>0</v>
      </c>
      <c r="F154" s="228"/>
    </row>
    <row r="155" spans="1:6" ht="15" customHeight="1" x14ac:dyDescent="0.25">
      <c r="A155" s="224" t="s">
        <v>20</v>
      </c>
      <c r="B155" s="225" t="s">
        <v>101</v>
      </c>
      <c r="C155" s="225" t="s">
        <v>43</v>
      </c>
      <c r="D155" s="231" t="s">
        <v>137</v>
      </c>
      <c r="E155" s="230">
        <v>0</v>
      </c>
      <c r="F155" s="228"/>
    </row>
    <row r="156" spans="1:6" ht="15" customHeight="1" x14ac:dyDescent="0.25">
      <c r="A156" s="224" t="s">
        <v>20</v>
      </c>
      <c r="B156" s="225" t="s">
        <v>101</v>
      </c>
      <c r="C156" s="225" t="s">
        <v>44</v>
      </c>
      <c r="D156" s="231" t="s">
        <v>137</v>
      </c>
      <c r="E156" s="230">
        <v>0</v>
      </c>
      <c r="F156" s="228"/>
    </row>
    <row r="157" spans="1:6" ht="15" customHeight="1" x14ac:dyDescent="0.25">
      <c r="A157" s="224" t="s">
        <v>20</v>
      </c>
      <c r="B157" s="225" t="s">
        <v>101</v>
      </c>
      <c r="C157" s="225" t="s">
        <v>45</v>
      </c>
      <c r="D157" s="231" t="s">
        <v>137</v>
      </c>
      <c r="E157" s="230">
        <v>0</v>
      </c>
      <c r="F157" s="228"/>
    </row>
    <row r="158" spans="1:6" ht="15" customHeight="1" x14ac:dyDescent="0.25">
      <c r="A158" s="224" t="s">
        <v>20</v>
      </c>
      <c r="B158" s="225" t="s">
        <v>102</v>
      </c>
      <c r="C158" s="225" t="s">
        <v>40</v>
      </c>
      <c r="D158" s="226" t="s">
        <v>137</v>
      </c>
      <c r="E158" s="230">
        <v>0</v>
      </c>
      <c r="F158" s="228"/>
    </row>
    <row r="159" spans="1:6" ht="15" customHeight="1" x14ac:dyDescent="0.25">
      <c r="A159" s="224" t="s">
        <v>20</v>
      </c>
      <c r="B159" s="225" t="s">
        <v>102</v>
      </c>
      <c r="C159" s="225" t="s">
        <v>41</v>
      </c>
      <c r="D159" s="226" t="s">
        <v>137</v>
      </c>
      <c r="E159" s="230">
        <v>0</v>
      </c>
      <c r="F159" s="228"/>
    </row>
    <row r="160" spans="1:6" ht="15" customHeight="1" x14ac:dyDescent="0.25">
      <c r="A160" s="224" t="s">
        <v>20</v>
      </c>
      <c r="B160" s="225" t="s">
        <v>102</v>
      </c>
      <c r="C160" s="225" t="s">
        <v>42</v>
      </c>
      <c r="D160" s="226" t="s">
        <v>137</v>
      </c>
      <c r="E160" s="230">
        <v>0</v>
      </c>
      <c r="F160" s="228"/>
    </row>
    <row r="161" spans="1:6" ht="15" customHeight="1" x14ac:dyDescent="0.25">
      <c r="A161" s="224" t="s">
        <v>20</v>
      </c>
      <c r="B161" s="225" t="s">
        <v>102</v>
      </c>
      <c r="C161" s="225" t="s">
        <v>43</v>
      </c>
      <c r="D161" s="226" t="s">
        <v>137</v>
      </c>
      <c r="E161" s="230">
        <v>0</v>
      </c>
      <c r="F161" s="228"/>
    </row>
    <row r="162" spans="1:6" ht="15" customHeight="1" x14ac:dyDescent="0.25">
      <c r="A162" s="224" t="s">
        <v>20</v>
      </c>
      <c r="B162" s="225" t="s">
        <v>102</v>
      </c>
      <c r="C162" s="225" t="s">
        <v>44</v>
      </c>
      <c r="D162" s="226" t="s">
        <v>137</v>
      </c>
      <c r="E162" s="230">
        <v>0</v>
      </c>
      <c r="F162" s="228"/>
    </row>
    <row r="163" spans="1:6" ht="15" customHeight="1" x14ac:dyDescent="0.25">
      <c r="A163" s="224" t="s">
        <v>20</v>
      </c>
      <c r="B163" s="225" t="s">
        <v>102</v>
      </c>
      <c r="C163" s="225" t="s">
        <v>45</v>
      </c>
      <c r="D163" s="231" t="s">
        <v>77</v>
      </c>
      <c r="E163" s="230">
        <v>0</v>
      </c>
      <c r="F163" s="228"/>
    </row>
    <row r="164" spans="1:6" ht="15" customHeight="1" x14ac:dyDescent="0.25">
      <c r="A164" s="224" t="s">
        <v>20</v>
      </c>
      <c r="B164" s="225" t="s">
        <v>56</v>
      </c>
      <c r="C164" s="225" t="s">
        <v>40</v>
      </c>
      <c r="D164" s="231" t="s">
        <v>77</v>
      </c>
      <c r="E164" s="230">
        <v>0</v>
      </c>
      <c r="F164" s="228"/>
    </row>
    <row r="165" spans="1:6" ht="15" customHeight="1" x14ac:dyDescent="0.25">
      <c r="A165" s="224" t="s">
        <v>20</v>
      </c>
      <c r="B165" s="225" t="s">
        <v>56</v>
      </c>
      <c r="C165" s="225" t="s">
        <v>41</v>
      </c>
      <c r="D165" s="231" t="s">
        <v>77</v>
      </c>
      <c r="E165" s="230">
        <v>0</v>
      </c>
      <c r="F165" s="228"/>
    </row>
    <row r="166" spans="1:6" ht="15" customHeight="1" x14ac:dyDescent="0.25">
      <c r="A166" s="224" t="s">
        <v>20</v>
      </c>
      <c r="B166" s="225" t="s">
        <v>56</v>
      </c>
      <c r="C166" s="225" t="s">
        <v>42</v>
      </c>
      <c r="D166" s="231" t="s">
        <v>77</v>
      </c>
      <c r="E166" s="230">
        <v>0</v>
      </c>
      <c r="F166" s="228"/>
    </row>
    <row r="167" spans="1:6" ht="15" customHeight="1" x14ac:dyDescent="0.25">
      <c r="A167" s="224" t="s">
        <v>20</v>
      </c>
      <c r="B167" s="225" t="s">
        <v>56</v>
      </c>
      <c r="C167" s="225" t="s">
        <v>43</v>
      </c>
      <c r="D167" s="231" t="s">
        <v>77</v>
      </c>
      <c r="E167" s="230">
        <v>0</v>
      </c>
      <c r="F167" s="228"/>
    </row>
    <row r="168" spans="1:6" ht="15" customHeight="1" x14ac:dyDescent="0.25">
      <c r="A168" s="224" t="s">
        <v>20</v>
      </c>
      <c r="B168" s="225" t="s">
        <v>56</v>
      </c>
      <c r="C168" s="225" t="s">
        <v>44</v>
      </c>
      <c r="D168" s="231" t="s">
        <v>77</v>
      </c>
      <c r="E168" s="230">
        <v>0</v>
      </c>
      <c r="F168" s="228"/>
    </row>
    <row r="169" spans="1:6" ht="15" customHeight="1" x14ac:dyDescent="0.25">
      <c r="A169" s="224" t="s">
        <v>20</v>
      </c>
      <c r="B169" s="225" t="s">
        <v>56</v>
      </c>
      <c r="C169" s="225" t="s">
        <v>45</v>
      </c>
      <c r="D169" s="231" t="s">
        <v>77</v>
      </c>
      <c r="E169" s="230">
        <v>0</v>
      </c>
      <c r="F169" s="228"/>
    </row>
    <row r="170" spans="1:6" ht="15" customHeight="1" x14ac:dyDescent="0.25">
      <c r="A170" s="224" t="s">
        <v>20</v>
      </c>
      <c r="B170" s="225" t="s">
        <v>55</v>
      </c>
      <c r="C170" s="225" t="s">
        <v>46</v>
      </c>
      <c r="D170" s="226" t="s">
        <v>77</v>
      </c>
      <c r="E170" s="230">
        <v>0</v>
      </c>
      <c r="F170" s="228"/>
    </row>
    <row r="171" spans="1:6" ht="15" customHeight="1" x14ac:dyDescent="0.25">
      <c r="A171" s="224" t="s">
        <v>20</v>
      </c>
      <c r="B171" s="225" t="s">
        <v>54</v>
      </c>
      <c r="C171" s="225" t="s">
        <v>45</v>
      </c>
      <c r="D171" s="233" t="s">
        <v>137</v>
      </c>
      <c r="E171" s="230">
        <v>0</v>
      </c>
      <c r="F171" s="228"/>
    </row>
    <row r="172" spans="1:6" x14ac:dyDescent="0.25">
      <c r="A172" s="224" t="s">
        <v>20</v>
      </c>
      <c r="B172" s="225" t="s">
        <v>129</v>
      </c>
      <c r="C172" s="225" t="s">
        <v>41</v>
      </c>
      <c r="D172" s="226" t="s">
        <v>137</v>
      </c>
      <c r="E172" s="230">
        <v>0</v>
      </c>
      <c r="F172" s="228" t="s">
        <v>146</v>
      </c>
    </row>
    <row r="173" spans="1:6" x14ac:dyDescent="0.25">
      <c r="A173" s="224" t="s">
        <v>20</v>
      </c>
      <c r="B173" s="225" t="s">
        <v>129</v>
      </c>
      <c r="C173" s="225" t="s">
        <v>43</v>
      </c>
      <c r="D173" s="226" t="s">
        <v>137</v>
      </c>
      <c r="E173" s="230">
        <v>0</v>
      </c>
      <c r="F173" s="228" t="s">
        <v>146</v>
      </c>
    </row>
    <row r="174" spans="1:6" x14ac:dyDescent="0.25">
      <c r="A174" s="224" t="s">
        <v>20</v>
      </c>
      <c r="B174" s="225" t="s">
        <v>129</v>
      </c>
      <c r="C174" s="225" t="s">
        <v>44</v>
      </c>
      <c r="D174" s="226" t="s">
        <v>137</v>
      </c>
      <c r="E174" s="230">
        <v>0</v>
      </c>
      <c r="F174" s="228" t="s">
        <v>146</v>
      </c>
    </row>
    <row r="175" spans="1:6" x14ac:dyDescent="0.25">
      <c r="A175" s="224" t="s">
        <v>20</v>
      </c>
      <c r="B175" s="225" t="s">
        <v>147</v>
      </c>
      <c r="C175" s="225" t="s">
        <v>44</v>
      </c>
      <c r="D175" s="226" t="s">
        <v>137</v>
      </c>
      <c r="E175" s="230">
        <v>0</v>
      </c>
      <c r="F175" s="253"/>
    </row>
    <row r="176" spans="1:6" ht="27.6" x14ac:dyDescent="0.25">
      <c r="A176" s="224" t="s">
        <v>20</v>
      </c>
      <c r="B176" s="225" t="s">
        <v>147</v>
      </c>
      <c r="C176" s="225" t="s">
        <v>41</v>
      </c>
      <c r="D176" s="226" t="s">
        <v>137</v>
      </c>
      <c r="E176" s="227">
        <v>0</v>
      </c>
      <c r="F176" s="229" t="s">
        <v>139</v>
      </c>
    </row>
    <row r="177" spans="1:6" ht="27.6" x14ac:dyDescent="0.25">
      <c r="A177" s="224" t="s">
        <v>20</v>
      </c>
      <c r="B177" s="225" t="s">
        <v>147</v>
      </c>
      <c r="C177" s="225" t="s">
        <v>43</v>
      </c>
      <c r="D177" s="226" t="s">
        <v>137</v>
      </c>
      <c r="E177" s="227">
        <v>0</v>
      </c>
      <c r="F177" s="229" t="s">
        <v>139</v>
      </c>
    </row>
  </sheetData>
  <autoFilter ref="A3:F177" xr:uid="{57B7C9AE-0BD4-4251-8669-42566AD41B56}"/>
  <mergeCells count="1">
    <mergeCell ref="F30:F34"/>
  </mergeCells>
  <dataValidations count="1">
    <dataValidation type="list" allowBlank="1" showInputMessage="1" showErrorMessage="1" sqref="D74:D75 D99:D100 D171:D177 D77:D88 D103:D169 D72 D16:D52 D90" xr:uid="{00000000-0002-0000-0800-000000000000}">
      <formula1>CostUnit</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A8B02CA-344F-4603-B029-F6E7BDA9C9FF}">
          <x14:formula1>
            <xm:f>EditableIndexes!$E$5:$E$33</xm:f>
          </x14:formula1>
          <xm:sqref>B172:D175 B176:B177 B35:B70 B110:D151</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32215-A7ED-412A-9059-D603651A9C0D}">
  <sheetPr>
    <tabColor theme="4" tint="0.59999389629810485"/>
  </sheetPr>
  <dimension ref="A1:AO133"/>
  <sheetViews>
    <sheetView zoomScaleNormal="100" workbookViewId="0">
      <selection activeCell="A28" sqref="A28"/>
    </sheetView>
  </sheetViews>
  <sheetFormatPr defaultRowHeight="13.8" x14ac:dyDescent="0.25"/>
  <cols>
    <col min="1" max="1" width="89.796875" bestFit="1" customWidth="1"/>
    <col min="2" max="2" width="18.19921875" customWidth="1"/>
    <col min="3" max="3" width="23.59765625" customWidth="1"/>
    <col min="4" max="4" width="19.296875" customWidth="1"/>
    <col min="5" max="5" width="19.796875" customWidth="1"/>
    <col min="6" max="6" width="22.59765625" customWidth="1"/>
    <col min="7" max="7" width="13" bestFit="1" customWidth="1"/>
    <col min="12" max="12" width="48.5" customWidth="1"/>
    <col min="13" max="13" width="53.09765625" customWidth="1"/>
    <col min="14" max="14" width="25.69921875" customWidth="1"/>
    <col min="15" max="15" width="19.296875" customWidth="1"/>
    <col min="16" max="17" width="13.296875" customWidth="1"/>
    <col min="18" max="18" width="13.296875" style="43" customWidth="1"/>
    <col min="19" max="21" width="13.296875" customWidth="1"/>
    <col min="22" max="23" width="12.69921875" customWidth="1"/>
    <col min="24" max="24" width="49.69921875" style="31" customWidth="1"/>
    <col min="31" max="41" width="12.19921875" customWidth="1"/>
  </cols>
  <sheetData>
    <row r="1" spans="1:7" ht="19.8" thickBot="1" x14ac:dyDescent="0.4">
      <c r="A1" s="113" t="s">
        <v>148</v>
      </c>
    </row>
    <row r="2" spans="1:7" ht="14.4" thickTop="1" x14ac:dyDescent="0.25">
      <c r="A2" t="s">
        <v>149</v>
      </c>
      <c r="B2" t="s">
        <v>150</v>
      </c>
      <c r="C2" t="s">
        <v>151</v>
      </c>
      <c r="D2" t="s">
        <v>152</v>
      </c>
      <c r="E2" t="s">
        <v>152</v>
      </c>
      <c r="F2" t="s">
        <v>152</v>
      </c>
      <c r="G2" s="18" t="s">
        <v>522</v>
      </c>
    </row>
    <row r="3" spans="1:7" x14ac:dyDescent="0.25">
      <c r="A3" t="s">
        <v>153</v>
      </c>
      <c r="B3">
        <v>10</v>
      </c>
      <c r="C3">
        <v>1</v>
      </c>
      <c r="D3">
        <v>14.890447497697268</v>
      </c>
      <c r="E3">
        <v>15.188256447651215</v>
      </c>
      <c r="F3">
        <v>15.492021576604239</v>
      </c>
      <c r="G3" s="18"/>
    </row>
    <row r="4" spans="1:7" x14ac:dyDescent="0.25">
      <c r="A4" t="s">
        <v>154</v>
      </c>
      <c r="B4">
        <v>10</v>
      </c>
      <c r="C4">
        <v>1</v>
      </c>
      <c r="D4">
        <v>0</v>
      </c>
      <c r="E4">
        <v>0</v>
      </c>
      <c r="F4">
        <v>0</v>
      </c>
      <c r="G4" s="18"/>
    </row>
    <row r="5" spans="1:7" x14ac:dyDescent="0.25">
      <c r="A5" t="s">
        <v>155</v>
      </c>
      <c r="B5">
        <v>11</v>
      </c>
      <c r="C5">
        <v>1.02</v>
      </c>
      <c r="D5">
        <v>166</v>
      </c>
      <c r="E5">
        <v>169.32</v>
      </c>
      <c r="F5">
        <v>172.7064</v>
      </c>
      <c r="G5" s="18">
        <f>VLOOKUP($A5,$C$122:$G$133,3,FALSE)</f>
        <v>166</v>
      </c>
    </row>
    <row r="6" spans="1:7" x14ac:dyDescent="0.25">
      <c r="A6" t="s">
        <v>156</v>
      </c>
      <c r="B6">
        <v>11</v>
      </c>
      <c r="C6">
        <v>1.02</v>
      </c>
      <c r="D6">
        <v>166</v>
      </c>
      <c r="E6">
        <v>169.32</v>
      </c>
      <c r="F6">
        <v>172.7064</v>
      </c>
      <c r="G6" s="18">
        <f>VLOOKUP($A6,$C$122:$G$133,3,FALSE)</f>
        <v>166</v>
      </c>
    </row>
    <row r="7" spans="1:7" x14ac:dyDescent="0.25">
      <c r="A7" t="s">
        <v>157</v>
      </c>
      <c r="B7">
        <v>10</v>
      </c>
      <c r="C7">
        <v>1.02</v>
      </c>
      <c r="D7">
        <v>0</v>
      </c>
      <c r="E7">
        <v>0</v>
      </c>
      <c r="F7">
        <v>0</v>
      </c>
      <c r="G7" s="18"/>
    </row>
    <row r="8" spans="1:7" x14ac:dyDescent="0.25">
      <c r="A8" t="s">
        <v>158</v>
      </c>
      <c r="B8">
        <v>10</v>
      </c>
      <c r="C8">
        <v>1.02</v>
      </c>
      <c r="D8">
        <v>0</v>
      </c>
      <c r="E8">
        <v>0</v>
      </c>
      <c r="F8">
        <v>0</v>
      </c>
      <c r="G8" s="18"/>
    </row>
    <row r="9" spans="1:7" x14ac:dyDescent="0.25">
      <c r="A9" t="s">
        <v>159</v>
      </c>
      <c r="B9">
        <v>11</v>
      </c>
      <c r="C9">
        <v>1</v>
      </c>
      <c r="D9">
        <v>166</v>
      </c>
      <c r="E9">
        <v>169.32</v>
      </c>
      <c r="F9">
        <v>172.7064</v>
      </c>
      <c r="G9" s="18">
        <f t="shared" ref="G9:G17" si="0">VLOOKUP($A9,$C$122:$G$133,3,FALSE)</f>
        <v>151</v>
      </c>
    </row>
    <row r="10" spans="1:7" x14ac:dyDescent="0.25">
      <c r="A10" t="s">
        <v>160</v>
      </c>
      <c r="B10">
        <v>11</v>
      </c>
      <c r="C10">
        <v>1</v>
      </c>
      <c r="D10">
        <v>166</v>
      </c>
      <c r="E10">
        <v>169.32</v>
      </c>
      <c r="F10">
        <v>172.7064</v>
      </c>
      <c r="G10" s="18">
        <f t="shared" si="0"/>
        <v>166</v>
      </c>
    </row>
    <row r="11" spans="1:7" x14ac:dyDescent="0.25">
      <c r="A11" t="s">
        <v>161</v>
      </c>
      <c r="B11">
        <v>11</v>
      </c>
      <c r="C11">
        <v>1.02</v>
      </c>
      <c r="D11">
        <v>166</v>
      </c>
      <c r="E11">
        <v>169.32</v>
      </c>
      <c r="F11">
        <v>172.7064</v>
      </c>
      <c r="G11" s="18">
        <f t="shared" si="0"/>
        <v>151</v>
      </c>
    </row>
    <row r="12" spans="1:7" x14ac:dyDescent="0.25">
      <c r="A12" t="s">
        <v>162</v>
      </c>
      <c r="B12">
        <v>11</v>
      </c>
      <c r="C12">
        <v>1.02</v>
      </c>
      <c r="D12">
        <v>166</v>
      </c>
      <c r="E12">
        <v>169.32</v>
      </c>
      <c r="F12">
        <v>172.7064</v>
      </c>
      <c r="G12" s="18">
        <f t="shared" si="0"/>
        <v>166</v>
      </c>
    </row>
    <row r="13" spans="1:7" x14ac:dyDescent="0.25">
      <c r="A13" t="s">
        <v>163</v>
      </c>
      <c r="B13">
        <v>11</v>
      </c>
      <c r="C13">
        <v>1.02</v>
      </c>
      <c r="D13">
        <v>166</v>
      </c>
      <c r="E13">
        <v>169.32</v>
      </c>
      <c r="F13">
        <v>172.7064</v>
      </c>
      <c r="G13" s="18">
        <f t="shared" si="0"/>
        <v>106</v>
      </c>
    </row>
    <row r="14" spans="1:7" x14ac:dyDescent="0.25">
      <c r="A14" t="s">
        <v>164</v>
      </c>
      <c r="B14">
        <v>11</v>
      </c>
      <c r="C14">
        <v>0.85</v>
      </c>
      <c r="D14">
        <v>166</v>
      </c>
      <c r="E14">
        <v>169.32</v>
      </c>
      <c r="F14">
        <v>172.7064</v>
      </c>
      <c r="G14" s="18">
        <f t="shared" si="0"/>
        <v>151</v>
      </c>
    </row>
    <row r="15" spans="1:7" x14ac:dyDescent="0.25">
      <c r="A15" t="s">
        <v>165</v>
      </c>
      <c r="B15">
        <v>11</v>
      </c>
      <c r="C15">
        <v>0.85</v>
      </c>
      <c r="D15">
        <v>166</v>
      </c>
      <c r="E15">
        <v>169.32</v>
      </c>
      <c r="F15">
        <v>172.7064</v>
      </c>
      <c r="G15" s="18">
        <f t="shared" si="0"/>
        <v>166</v>
      </c>
    </row>
    <row r="16" spans="1:7" x14ac:dyDescent="0.25">
      <c r="A16" t="s">
        <v>166</v>
      </c>
      <c r="B16">
        <v>11</v>
      </c>
      <c r="C16">
        <v>0.85</v>
      </c>
      <c r="D16">
        <v>166</v>
      </c>
      <c r="E16">
        <v>169.32</v>
      </c>
      <c r="F16">
        <v>172.7064</v>
      </c>
      <c r="G16" s="18">
        <f t="shared" si="0"/>
        <v>106</v>
      </c>
    </row>
    <row r="17" spans="1:41" x14ac:dyDescent="0.25">
      <c r="A17" t="s">
        <v>167</v>
      </c>
      <c r="B17">
        <v>11</v>
      </c>
      <c r="C17">
        <v>1.02</v>
      </c>
      <c r="D17">
        <v>166</v>
      </c>
      <c r="E17">
        <v>169.32</v>
      </c>
      <c r="F17">
        <v>172.7064</v>
      </c>
      <c r="G17" s="18">
        <f t="shared" si="0"/>
        <v>166</v>
      </c>
    </row>
    <row r="18" spans="1:41" x14ac:dyDescent="0.25">
      <c r="A18" t="s">
        <v>168</v>
      </c>
      <c r="D18">
        <v>166</v>
      </c>
    </row>
    <row r="20" spans="1:41" ht="19.8" thickBot="1" x14ac:dyDescent="0.4">
      <c r="A20" s="113" t="s">
        <v>169</v>
      </c>
    </row>
    <row r="21" spans="1:41" ht="20.399999999999999" thickTop="1" thickBot="1" x14ac:dyDescent="0.4">
      <c r="M21" s="113" t="s">
        <v>170</v>
      </c>
    </row>
    <row r="22" spans="1:41" ht="14.4" thickTop="1" x14ac:dyDescent="0.25">
      <c r="AE22" t="s">
        <v>171</v>
      </c>
      <c r="AN22" t="s">
        <v>172</v>
      </c>
    </row>
    <row r="23" spans="1:41" x14ac:dyDescent="0.25">
      <c r="A23" s="114" t="s">
        <v>173</v>
      </c>
      <c r="L23" t="s">
        <v>134</v>
      </c>
      <c r="M23" s="18" t="s">
        <v>174</v>
      </c>
      <c r="N23" s="18" t="s">
        <v>175</v>
      </c>
      <c r="O23" s="18" t="s">
        <v>176</v>
      </c>
      <c r="P23" s="18" t="s">
        <v>3</v>
      </c>
      <c r="Q23" s="18" t="s">
        <v>177</v>
      </c>
      <c r="R23" s="118" t="s">
        <v>178</v>
      </c>
      <c r="S23" s="18" t="s">
        <v>179</v>
      </c>
      <c r="T23" s="18" t="s">
        <v>180</v>
      </c>
      <c r="U23" s="18" t="s">
        <v>15</v>
      </c>
      <c r="V23" s="18" t="s">
        <v>181</v>
      </c>
      <c r="W23" s="18" t="s">
        <v>182</v>
      </c>
      <c r="X23" s="84" t="s">
        <v>183</v>
      </c>
      <c r="Y23" s="18" t="s">
        <v>184</v>
      </c>
      <c r="Z23" s="18"/>
      <c r="AA23" s="18" t="s">
        <v>185</v>
      </c>
      <c r="AB23" s="18" t="s">
        <v>186</v>
      </c>
      <c r="AC23" s="18"/>
      <c r="AD23" s="18"/>
      <c r="AE23">
        <v>2025</v>
      </c>
      <c r="AF23">
        <v>2026</v>
      </c>
      <c r="AG23">
        <v>2027</v>
      </c>
      <c r="AH23">
        <v>2028</v>
      </c>
      <c r="AI23">
        <v>2029</v>
      </c>
      <c r="AJ23">
        <v>2030</v>
      </c>
      <c r="AK23">
        <v>2031</v>
      </c>
      <c r="AL23">
        <v>2032</v>
      </c>
      <c r="AM23">
        <v>2033</v>
      </c>
      <c r="AN23">
        <v>2034</v>
      </c>
      <c r="AO23">
        <v>2035</v>
      </c>
    </row>
    <row r="24" spans="1:41" ht="66.599999999999994" customHeight="1" thickBot="1" x14ac:dyDescent="0.3">
      <c r="A24" s="421" t="s">
        <v>187</v>
      </c>
      <c r="B24" s="423" t="s">
        <v>188</v>
      </c>
      <c r="C24" s="423"/>
      <c r="D24" s="423"/>
      <c r="E24" s="423"/>
      <c r="F24" s="423"/>
      <c r="G24" s="423"/>
      <c r="L24" t="str">
        <f>_xlfn.CONCAT(M24:N24)</f>
        <v>DLC-Thermostat-DI-Central Heat PumpResidential</v>
      </c>
      <c r="M24" t="s">
        <v>82</v>
      </c>
      <c r="N24" t="s">
        <v>45</v>
      </c>
      <c r="O24" t="str" cm="1">
        <f t="array" ref="O24">INDEX('Unit Impact by End Use'!D:D,MATCH(1,($M24='Unit Impact by End Use'!$B:$B)*($N24='Unit Impact by End Use'!$C:$C),0))</f>
        <v>kW per participant</v>
      </c>
      <c r="P24" cm="1">
        <f t="array" ref="P24">INDEX('Unit Impact by End Use'!E:E,MATCH(1,($M24='Unit Impact by End Use'!$B:$B)*($N24='Unit Impact by End Use'!$C:$C),0))</f>
        <v>1.21</v>
      </c>
      <c r="Q24">
        <v>2.5</v>
      </c>
      <c r="R24" s="43" cm="1">
        <f t="array" ref="R24">INDEX('Opt Out Factor'!C:C,MATCH(1,($M24='Opt Out Factor'!A:A)*($N24='Opt Out Factor'!B:B),0))</f>
        <v>0.25</v>
      </c>
      <c r="S24" s="36">
        <f>SUMIFS('Winter Peak Load'!H:H,'Winter Peak Load'!B:B,N24)*1000</f>
        <v>1611800.1649159668</v>
      </c>
      <c r="T24" s="36">
        <f>SUMIFS('Customer Count'!G:G,'Customer Count'!B:B,N24)</f>
        <v>490837</v>
      </c>
      <c r="U24" s="22">
        <f>'Global Parameters'!C5</f>
        <v>6.3299999999999995E-2</v>
      </c>
      <c r="V24" s="119">
        <f>NPV(U24,AE24:AO24)</f>
        <v>1422.2265322166454</v>
      </c>
      <c r="W24" t="str">
        <f t="shared" ref="W24:W29" si="1">SUBSTITUTE(SUBSTITUTE(N24," Commercial", ""), " Industrial","")</f>
        <v>Residential</v>
      </c>
      <c r="X24" s="123" t="str" cm="1">
        <f t="array" ref="X24">INDEX($B$27:$B$77,MATCH(1, (M24=$A$27:$A$77)*(W24=$C$27:$C$77),0))</f>
        <v>Smart thermostats for central air source heat pump  | Efficient Products Installation</v>
      </c>
      <c r="Y24">
        <f>INDEX($F$24:$F$39,MATCH(X24,$A$24:$A$39,0))</f>
        <v>595.68902151361203</v>
      </c>
      <c r="Z24">
        <f>INDEX($G$24:$G$39,MATCH(X24,$A$24:$A$39,0))</f>
        <v>969.50410874494003</v>
      </c>
      <c r="AA24" s="43">
        <f>IFERROR(V24/(SUM(V24,Y24)),0)</f>
        <v>0.70479982652770612</v>
      </c>
      <c r="AB24" s="43">
        <f>IFERROR(V24/(SUM(V24,Z24)),0)</f>
        <v>0.59464327121922278</v>
      </c>
      <c r="AC24" s="43"/>
      <c r="AE24" s="121">
        <f>$P24*(1-$R24)*(1/$Q24)*IF($O24 = "kW perparticipant",1,$S24/$T24)*(SUM('Avoided Costs'!G$4:G$5))</f>
        <v>120.39318438975481</v>
      </c>
      <c r="AF24" s="121">
        <f>$P24*(1-$R24)*(1/$Q24)*IF($O24 = "kW perparticipant",1,$S24/$T24)*(SUM('Avoided Costs'!H$4:H$5))</f>
        <v>137.08134856259213</v>
      </c>
      <c r="AG24" s="121">
        <f>$P24*(1-$R24)*(1/$Q24)*IF($O24 = "kW perparticipant",1,$S24/$T24)*(SUM('Avoided Costs'!I$4:I$5))</f>
        <v>153.7695127354294</v>
      </c>
      <c r="AH24" s="121">
        <f>$P24*(1-$R24)*(1/$Q24)*IF($O24 = "kW perparticipant",1,$S24/$T24)*(SUM('Avoided Costs'!J$4:J$5))</f>
        <v>168.07365345500423</v>
      </c>
      <c r="AI24" s="121">
        <f>$P24*(1-$R24)*(1/$Q24)*IF($O24 = "kW perparticipant",1,$S24/$T24)*(SUM('Avoided Costs'!K$4:K$5))</f>
        <v>182.37779417457907</v>
      </c>
      <c r="AJ24" s="121">
        <f>$P24*(1-$R24)*(1/$Q24)*IF($O24 = "kW perparticipant",1,$S24/$T24)*(SUM('Avoided Costs'!L$4:L$5))</f>
        <v>195.48992316752268</v>
      </c>
      <c r="AK24" s="121">
        <f>$P24*(1-$R24)*(1/$Q24)*IF($O24 = "kW perparticipant",1,$S24/$T24)*(SUM('Avoided Costs'!M$4:M$5))</f>
        <v>208.60205216046626</v>
      </c>
      <c r="AL24" s="121">
        <f>$P24*(1-$R24)*(1/$Q24)*IF($O24 = "kW perparticipant",1,$S24/$T24)*(SUM('Avoided Costs'!N$4:N$5))</f>
        <v>219.3301577001474</v>
      </c>
      <c r="AM24" s="121">
        <f>$P24*(1-$R24)*(1/$Q24)*IF($O24 = "kW perparticipant",1,$S24/$T24)*(SUM('Avoided Costs'!O$4:O$5))</f>
        <v>230.05826323982851</v>
      </c>
      <c r="AN24" s="121">
        <f>$P24*(1-$R24)*(1/$Q24)*IF($O24 = "kW perparticipant",1,$S24/$T24)*(SUM('Avoided Costs'!P$4:P$5))</f>
        <v>239.59435705287839</v>
      </c>
      <c r="AO24" s="121">
        <f>$P24*(1-$R24)*(1/$Q24)*IF($O24 = "kW perparticipant",1,$S24/$T24)*(SUM('Avoided Costs'!Q$4:Q$5))</f>
        <v>249.13045086592828</v>
      </c>
    </row>
    <row r="25" spans="1:41" ht="14.4" thickBot="1" x14ac:dyDescent="0.3">
      <c r="A25" s="421"/>
      <c r="B25" s="424">
        <v>2023</v>
      </c>
      <c r="C25" s="424"/>
      <c r="D25" s="424">
        <v>2024</v>
      </c>
      <c r="E25" s="424"/>
      <c r="F25" s="425">
        <v>2025</v>
      </c>
      <c r="G25" s="425"/>
      <c r="H25" t="s">
        <v>189</v>
      </c>
      <c r="I25" t="s">
        <v>190</v>
      </c>
      <c r="J25" t="s">
        <v>191</v>
      </c>
      <c r="L25" t="str">
        <f t="shared" ref="L25:L49" si="2">_xlfn.CONCAT(M25:N25)</f>
        <v>DLC-Thermostat-BYOT-Central Heat PumpResidential</v>
      </c>
      <c r="M25" t="s">
        <v>83</v>
      </c>
      <c r="N25" t="s">
        <v>45</v>
      </c>
      <c r="O25" t="str" cm="1">
        <f t="array" ref="O25">INDEX('Unit Impact by End Use'!D:D,MATCH(1,($M25='Unit Impact by End Use'!$B:$B)*($N25='Unit Impact by End Use'!$C:$C),0))</f>
        <v>kW per participant</v>
      </c>
      <c r="P25" cm="1">
        <f t="array" ref="P25">INDEX('Unit Impact by End Use'!E:E,MATCH(1,($M25='Unit Impact by End Use'!$B:$B)*($N25='Unit Impact by End Use'!$C:$C),0))</f>
        <v>0</v>
      </c>
      <c r="Q25">
        <v>2.5</v>
      </c>
      <c r="R25" s="43" cm="1">
        <f t="array" ref="R25">INDEX('Opt Out Factor'!C:C,MATCH(1,($M25='Opt Out Factor'!A:A)*($N25='Opt Out Factor'!B:B),0))</f>
        <v>0.25</v>
      </c>
      <c r="S25" s="36">
        <f>SUMIFS('Winter Peak Load'!H:H,'Winter Peak Load'!B:B,N25)*1000</f>
        <v>1611800.1649159668</v>
      </c>
      <c r="T25" s="36">
        <f>SUMIFS('Customer Count'!G:G,'Customer Count'!B:B,N25)</f>
        <v>490837</v>
      </c>
      <c r="U25" s="22">
        <f>U24</f>
        <v>6.3299999999999995E-2</v>
      </c>
      <c r="V25" s="119">
        <f t="shared" ref="V25:V49" si="3">NPV(U25,AE25:AO25)</f>
        <v>0</v>
      </c>
      <c r="W25" t="str">
        <f t="shared" si="1"/>
        <v>Residential</v>
      </c>
      <c r="X25" s="123" t="e" cm="1">
        <f t="array" ref="X25">INDEX($B$27:$B$77,MATCH(1, (M25=$A$27:$A$77)*(W25=$C$27:$C$77),0))</f>
        <v>#N/A</v>
      </c>
      <c r="Y25">
        <v>0</v>
      </c>
      <c r="Z25" t="e">
        <f t="shared" ref="Z25:Z49" si="4">INDEX($G$24:$G$39,MATCH(X25,$A$24:$A$39,0))</f>
        <v>#N/A</v>
      </c>
      <c r="AA25" s="43">
        <f t="shared" ref="AA25:AA49" si="5">IFERROR(V25/(SUM(V25,Y25)),0)</f>
        <v>0</v>
      </c>
      <c r="AB25" s="43">
        <f t="shared" ref="AB25:AB49" si="6">IFERROR(V25/(SUM(V25,Z25)),0)</f>
        <v>0</v>
      </c>
      <c r="AC25" s="43"/>
      <c r="AE25" s="121">
        <f>$P25*(1-$R25)*(1/$Q25)*IF($O25 = "kW perparticipant",1,$S25/$T25)*(SUM('Avoided Costs'!G$4:G$5))</f>
        <v>0</v>
      </c>
      <c r="AF25" s="121">
        <f>$P25*(1-$R25)*(1/$Q25)*IF($O25 = "kW perparticipant",1,$S25/$T25)*(SUM('Avoided Costs'!H$4:H$5))</f>
        <v>0</v>
      </c>
      <c r="AG25" s="121">
        <f>$P25*(1-$R25)*(1/$Q25)*IF($O25 = "kW perparticipant",1,$S25/$T25)*(SUM('Avoided Costs'!I$4:I$5))</f>
        <v>0</v>
      </c>
      <c r="AH25" s="121">
        <f>$P25*(1-$R25)*(1/$Q25)*IF($O25 = "kW perparticipant",1,$S25/$T25)*(SUM('Avoided Costs'!J$4:J$5))</f>
        <v>0</v>
      </c>
      <c r="AI25" s="121">
        <f>$P25*(1-$R25)*(1/$Q25)*IF($O25 = "kW perparticipant",1,$S25/$T25)*(SUM('Avoided Costs'!K$4:K$5))</f>
        <v>0</v>
      </c>
      <c r="AJ25" s="121">
        <f>$P25*(1-$R25)*(1/$Q25)*IF($O25 = "kW perparticipant",1,$S25/$T25)*(SUM('Avoided Costs'!L$4:L$5))</f>
        <v>0</v>
      </c>
      <c r="AK25" s="121">
        <f>$P25*(1-$R25)*(1/$Q25)*IF($O25 = "kW perparticipant",1,$S25/$T25)*(SUM('Avoided Costs'!M$4:M$5))</f>
        <v>0</v>
      </c>
      <c r="AL25" s="121">
        <f>$P25*(1-$R25)*(1/$Q25)*IF($O25 = "kW perparticipant",1,$S25/$T25)*(SUM('Avoided Costs'!N$4:N$5))</f>
        <v>0</v>
      </c>
      <c r="AM25" s="121">
        <f>$P25*(1-$R25)*(1/$Q25)*IF($O25 = "kW perparticipant",1,$S25/$T25)*(SUM('Avoided Costs'!O$4:O$5))</f>
        <v>0</v>
      </c>
      <c r="AN25" s="121">
        <f>$P25*(1-$R25)*(1/$Q25)*IF($O25 = "kW perparticipant",1,$S25/$T25)*(SUM('Avoided Costs'!P$4:P$5))</f>
        <v>0</v>
      </c>
      <c r="AO25" s="121">
        <f>$P25*(1-$R25)*(1/$Q25)*IF($O25 = "kW perparticipant",1,$S25/$T25)*(SUM('Avoided Costs'!Q$4:Q$5))</f>
        <v>0</v>
      </c>
    </row>
    <row r="26" spans="1:41" ht="46.05" customHeight="1" thickBot="1" x14ac:dyDescent="0.3">
      <c r="A26" s="422"/>
      <c r="B26" s="115" t="s">
        <v>192</v>
      </c>
      <c r="C26" s="115" t="s">
        <v>193</v>
      </c>
      <c r="D26" s="115" t="s">
        <v>192</v>
      </c>
      <c r="E26" s="115" t="s">
        <v>193</v>
      </c>
      <c r="F26" s="115" t="s">
        <v>192</v>
      </c>
      <c r="G26" s="115" t="s">
        <v>193</v>
      </c>
      <c r="L26" t="str">
        <f t="shared" si="2"/>
        <v>DLC-Thermostat-DI-Baseboard HeatingResidential</v>
      </c>
      <c r="M26" t="s">
        <v>84</v>
      </c>
      <c r="N26" t="s">
        <v>45</v>
      </c>
      <c r="O26" t="str" cm="1">
        <f t="array" ref="O26">INDEX('Unit Impact by End Use'!D:D,MATCH(1,($M26='Unit Impact by End Use'!$B:$B)*($N26='Unit Impact by End Use'!$C:$C),0))</f>
        <v>kW per participant</v>
      </c>
      <c r="P26" cm="1">
        <f t="array" ref="P26">INDEX('Unit Impact by End Use'!E:E,MATCH(1,($M26='Unit Impact by End Use'!$B:$B)*($N26='Unit Impact by End Use'!$C:$C),0))</f>
        <v>0.5</v>
      </c>
      <c r="Q26">
        <v>2.5</v>
      </c>
      <c r="R26" s="43" cm="1">
        <f t="array" ref="R26">INDEX('Opt Out Factor'!C:C,MATCH(1,($M26='Opt Out Factor'!A:A)*($N26='Opt Out Factor'!B:B),0))</f>
        <v>0.25</v>
      </c>
      <c r="S26" s="36">
        <f>SUMIFS('Winter Peak Load'!H:H,'Winter Peak Load'!B:B,N26)*1000</f>
        <v>1611800.1649159668</v>
      </c>
      <c r="T26" s="36">
        <f>SUMIFS('Customer Count'!G:G,'Customer Count'!B:B,N26)</f>
        <v>490837</v>
      </c>
      <c r="U26" s="22">
        <f t="shared" ref="U26:U49" si="7">U25</f>
        <v>6.3299999999999995E-2</v>
      </c>
      <c r="V26" s="119">
        <f t="shared" si="3"/>
        <v>587.69691413910971</v>
      </c>
      <c r="W26" t="str">
        <f t="shared" si="1"/>
        <v>Residential</v>
      </c>
      <c r="X26" s="123" t="str" cm="1">
        <f t="array" ref="X26">INDEX($B$27:$B$77,MATCH(1, (M26=$A$27:$A$77)*(W26=$C$27:$C$77),0))</f>
        <v>Smart thermostats for electric baseboards | Efficient Products Installation</v>
      </c>
      <c r="Y26">
        <f t="shared" ref="Y26:Y49" si="8">INDEX($F$24:$F$39,MATCH(X26,$A$24:$A$39,0))</f>
        <v>300.07190634326201</v>
      </c>
      <c r="Z26">
        <f t="shared" si="4"/>
        <v>488.37721631918902</v>
      </c>
      <c r="AA26" s="43">
        <f t="shared" si="5"/>
        <v>0.66199319077210095</v>
      </c>
      <c r="AB26" s="43">
        <f t="shared" si="6"/>
        <v>0.5461490965207112</v>
      </c>
      <c r="AC26" s="43"/>
      <c r="AE26" s="121">
        <f>$P26*(1-$R26)*(1/$Q26)*IF($O26 = "kW perparticipant",1,$S26/$T26)*(SUM('Avoided Costs'!G$4:G$5))</f>
        <v>49.749249747832579</v>
      </c>
      <c r="AF26" s="121">
        <f>$P26*(1-$R26)*(1/$Q26)*IF($O26 = "kW perparticipant",1,$S26/$T26)*(SUM('Avoided Costs'!H$4:H$5))</f>
        <v>56.645185356443037</v>
      </c>
      <c r="AG26" s="121">
        <f>$P26*(1-$R26)*(1/$Q26)*IF($O26 = "kW perparticipant",1,$S26/$T26)*(SUM('Avoided Costs'!I$4:I$5))</f>
        <v>63.541120965053487</v>
      </c>
      <c r="AH26" s="121">
        <f>$P26*(1-$R26)*(1/$Q26)*IF($O26 = "kW perparticipant",1,$S26/$T26)*(SUM('Avoided Costs'!J$4:J$5))</f>
        <v>69.451922915291021</v>
      </c>
      <c r="AI26" s="121">
        <f>$P26*(1-$R26)*(1/$Q26)*IF($O26 = "kW perparticipant",1,$S26/$T26)*(SUM('Avoided Costs'!K$4:K$5))</f>
        <v>75.362724865528563</v>
      </c>
      <c r="AJ26" s="121">
        <f>$P26*(1-$R26)*(1/$Q26)*IF($O26 = "kW perparticipant",1,$S26/$T26)*(SUM('Avoided Costs'!L$4:L$5))</f>
        <v>80.780959986579632</v>
      </c>
      <c r="AK26" s="121">
        <f>$P26*(1-$R26)*(1/$Q26)*IF($O26 = "kW perparticipant",1,$S26/$T26)*(SUM('Avoided Costs'!M$4:M$5))</f>
        <v>86.1991951076307</v>
      </c>
      <c r="AL26" s="121">
        <f>$P26*(1-$R26)*(1/$Q26)*IF($O26 = "kW perparticipant",1,$S26/$T26)*(SUM('Avoided Costs'!N$4:N$5))</f>
        <v>90.632296570308853</v>
      </c>
      <c r="AM26" s="121">
        <f>$P26*(1-$R26)*(1/$Q26)*IF($O26 = "kW perparticipant",1,$S26/$T26)*(SUM('Avoided Costs'!O$4:O$5))</f>
        <v>95.065398032987005</v>
      </c>
      <c r="AN26" s="121">
        <f>$P26*(1-$R26)*(1/$Q26)*IF($O26 = "kW perparticipant",1,$S26/$T26)*(SUM('Avoided Costs'!P$4:P$5))</f>
        <v>99.005932666478699</v>
      </c>
      <c r="AO26" s="121">
        <f>$P26*(1-$R26)*(1/$Q26)*IF($O26 = "kW perparticipant",1,$S26/$T26)*(SUM('Avoided Costs'!Q$4:Q$5))</f>
        <v>102.94646729997038</v>
      </c>
    </row>
    <row r="27" spans="1:41" x14ac:dyDescent="0.25">
      <c r="A27" s="116" t="s">
        <v>166</v>
      </c>
      <c r="B27" s="117">
        <v>198.55458776117899</v>
      </c>
      <c r="C27" s="117">
        <v>334.99549773830398</v>
      </c>
      <c r="D27" s="117">
        <v>202.52567951640199</v>
      </c>
      <c r="E27" s="117">
        <v>339.61721274575302</v>
      </c>
      <c r="F27" s="117">
        <v>206.57619310672999</v>
      </c>
      <c r="G27" s="117">
        <v>336.209768440875</v>
      </c>
      <c r="H27">
        <f>INDEX($G$78:$G$89,MATCH(A27,$C$78:$C$89,0))</f>
        <v>16.84</v>
      </c>
      <c r="I27">
        <f>IF(NOT(ISNUMBER(SEARCH("Business",A27))),1,0)</f>
        <v>0</v>
      </c>
      <c r="J27">
        <f>IF(NOT(I27),1,0)</f>
        <v>1</v>
      </c>
      <c r="K27" s="124"/>
      <c r="L27" t="str">
        <f t="shared" si="2"/>
        <v>DLC-Thermostat-BYOT-Baseboard HeatingResidential</v>
      </c>
      <c r="M27" t="s">
        <v>85</v>
      </c>
      <c r="N27" t="s">
        <v>45</v>
      </c>
      <c r="O27" t="str" cm="1">
        <f t="array" ref="O27">INDEX('Unit Impact by End Use'!D:D,MATCH(1,($M27='Unit Impact by End Use'!$B:$B)*($N27='Unit Impact by End Use'!$C:$C),0))</f>
        <v>kW per participant</v>
      </c>
      <c r="P27" cm="1">
        <f t="array" ref="P27">INDEX('Unit Impact by End Use'!E:E,MATCH(1,($M27='Unit Impact by End Use'!$B:$B)*($N27='Unit Impact by End Use'!$C:$C),0))</f>
        <v>0.5</v>
      </c>
      <c r="Q27">
        <v>2.5</v>
      </c>
      <c r="R27" s="43" cm="1">
        <f t="array" ref="R27">INDEX('Opt Out Factor'!C:C,MATCH(1,($M27='Opt Out Factor'!A:A)*($N27='Opt Out Factor'!B:B),0))</f>
        <v>0.25</v>
      </c>
      <c r="S27" s="36">
        <f>SUMIFS('Winter Peak Load'!H:H,'Winter Peak Load'!B:B,N27)*1000</f>
        <v>1611800.1649159668</v>
      </c>
      <c r="T27" s="36">
        <f>SUMIFS('Customer Count'!G:G,'Customer Count'!B:B,N27)</f>
        <v>490837</v>
      </c>
      <c r="U27" s="22">
        <f t="shared" si="7"/>
        <v>6.3299999999999995E-2</v>
      </c>
      <c r="V27" s="119">
        <f t="shared" si="3"/>
        <v>587.69691413910971</v>
      </c>
      <c r="W27" t="str">
        <f t="shared" si="1"/>
        <v>Residential</v>
      </c>
      <c r="X27" s="123" t="str" cm="1">
        <f t="array" ref="X27">INDEX($B$27:$B$77,MATCH(1, (M27=$A$27:$A$77)*(W27=$C$27:$C$77),0))</f>
        <v>Smart thermostats for electric baseboards | Instant Savings</v>
      </c>
      <c r="Y27">
        <f t="shared" si="8"/>
        <v>300.07190634326201</v>
      </c>
      <c r="Z27">
        <f t="shared" si="4"/>
        <v>488.37721631918902</v>
      </c>
      <c r="AA27" s="43">
        <f t="shared" si="5"/>
        <v>0.66199319077210095</v>
      </c>
      <c r="AB27" s="43">
        <f t="shared" si="6"/>
        <v>0.5461490965207112</v>
      </c>
      <c r="AC27" s="43"/>
      <c r="AE27" s="121">
        <f>$P27*(1-$R27)*(1/$Q27)*IF($O27 = "kW perparticipant",1,$S27/$T27)*(SUM('Avoided Costs'!G$4:G$5))</f>
        <v>49.749249747832579</v>
      </c>
      <c r="AF27" s="121">
        <f>$P27*(1-$R27)*(1/$Q27)*IF($O27 = "kW perparticipant",1,$S27/$T27)*(SUM('Avoided Costs'!H$4:H$5))</f>
        <v>56.645185356443037</v>
      </c>
      <c r="AG27" s="121">
        <f>$P27*(1-$R27)*(1/$Q27)*IF($O27 = "kW perparticipant",1,$S27/$T27)*(SUM('Avoided Costs'!I$4:I$5))</f>
        <v>63.541120965053487</v>
      </c>
      <c r="AH27" s="121">
        <f>$P27*(1-$R27)*(1/$Q27)*IF($O27 = "kW perparticipant",1,$S27/$T27)*(SUM('Avoided Costs'!J$4:J$5))</f>
        <v>69.451922915291021</v>
      </c>
      <c r="AI27" s="121">
        <f>$P27*(1-$R27)*(1/$Q27)*IF($O27 = "kW perparticipant",1,$S27/$T27)*(SUM('Avoided Costs'!K$4:K$5))</f>
        <v>75.362724865528563</v>
      </c>
      <c r="AJ27" s="121">
        <f>$P27*(1-$R27)*(1/$Q27)*IF($O27 = "kW perparticipant",1,$S27/$T27)*(SUM('Avoided Costs'!L$4:L$5))</f>
        <v>80.780959986579632</v>
      </c>
      <c r="AK27" s="121">
        <f>$P27*(1-$R27)*(1/$Q27)*IF($O27 = "kW perparticipant",1,$S27/$T27)*(SUM('Avoided Costs'!M$4:M$5))</f>
        <v>86.1991951076307</v>
      </c>
      <c r="AL27" s="121">
        <f>$P27*(1-$R27)*(1/$Q27)*IF($O27 = "kW perparticipant",1,$S27/$T27)*(SUM('Avoided Costs'!N$4:N$5))</f>
        <v>90.632296570308853</v>
      </c>
      <c r="AM27" s="121">
        <f>$P27*(1-$R27)*(1/$Q27)*IF($O27 = "kW perparticipant",1,$S27/$T27)*(SUM('Avoided Costs'!O$4:O$5))</f>
        <v>95.065398032987005</v>
      </c>
      <c r="AN27" s="121">
        <f>$P27*(1-$R27)*(1/$Q27)*IF($O27 = "kW perparticipant",1,$S27/$T27)*(SUM('Avoided Costs'!P$4:P$5))</f>
        <v>99.005932666478699</v>
      </c>
      <c r="AO27" s="121">
        <f>$P27*(1-$R27)*(1/$Q27)*IF($O27 = "kW perparticipant",1,$S27/$T27)*(SUM('Avoided Costs'!Q$4:Q$5))</f>
        <v>102.94646729997038</v>
      </c>
    </row>
    <row r="28" spans="1:41" ht="27.6" x14ac:dyDescent="0.25">
      <c r="A28" s="116" t="s">
        <v>167</v>
      </c>
      <c r="B28" s="117">
        <v>572.55769080508696</v>
      </c>
      <c r="C28" s="117">
        <v>966.00260300127695</v>
      </c>
      <c r="D28" s="117">
        <v>584.00884462118802</v>
      </c>
      <c r="E28" s="117">
        <v>979.32991264474401</v>
      </c>
      <c r="F28" s="117">
        <v>595.68902151361203</v>
      </c>
      <c r="G28" s="117">
        <v>969.50410874494003</v>
      </c>
      <c r="H28">
        <f t="shared" ref="H28:H37" si="9">INDEX($G$78:$G$89,MATCH(A28,$C$78:$C$89,0))</f>
        <v>117.19</v>
      </c>
      <c r="I28">
        <f t="shared" ref="I28:I37" si="10">IF(NOT(ISNUMBER(SEARCH("Business",A28))),1,0)</f>
        <v>1</v>
      </c>
      <c r="J28">
        <f t="shared" ref="J28:J37" si="11">IF(NOT(I28),1,0)</f>
        <v>0</v>
      </c>
      <c r="K28" s="124"/>
      <c r="L28" t="str">
        <f t="shared" si="2"/>
        <v>DLC-Thermostat-DI-MSHPResidential</v>
      </c>
      <c r="M28" t="s">
        <v>86</v>
      </c>
      <c r="N28" t="s">
        <v>45</v>
      </c>
      <c r="O28" t="str" cm="1">
        <f t="array" ref="O28">INDEX('Unit Impact by End Use'!D:D,MATCH(1,($M28='Unit Impact by End Use'!$B:$B)*($N28='Unit Impact by End Use'!$C:$C),0))</f>
        <v>kW per participant</v>
      </c>
      <c r="P28" cm="1">
        <f t="array" ref="P28">INDEX('Unit Impact by End Use'!E:E,MATCH(1,($M28='Unit Impact by End Use'!$B:$B)*($N28='Unit Impact by End Use'!$C:$C),0))</f>
        <v>0.5</v>
      </c>
      <c r="Q28">
        <v>2.5</v>
      </c>
      <c r="R28" s="43" cm="1">
        <f t="array" ref="R28">INDEX('Opt Out Factor'!C:C,MATCH(1,($M28='Opt Out Factor'!A:A)*($N28='Opt Out Factor'!B:B),0))</f>
        <v>0.25</v>
      </c>
      <c r="S28" s="36">
        <f>SUMIFS('Winter Peak Load'!H:H,'Winter Peak Load'!B:B,N28)*1000</f>
        <v>1611800.1649159668</v>
      </c>
      <c r="T28" s="36">
        <f>SUMIFS('Customer Count'!G:G,'Customer Count'!B:B,N28)</f>
        <v>490837</v>
      </c>
      <c r="U28" s="22">
        <f t="shared" si="7"/>
        <v>6.3299999999999995E-2</v>
      </c>
      <c r="V28" s="119">
        <f t="shared" si="3"/>
        <v>587.69691413910971</v>
      </c>
      <c r="W28" t="str">
        <f t="shared" si="1"/>
        <v>Residential</v>
      </c>
      <c r="X28" s="123" t="str" cm="1">
        <f t="array" ref="X28">INDEX($B$27:$B$77,MATCH(1, (M28=$A$27:$A$77)*(W28=$C$27:$C$77),0))</f>
        <v>Smart thermostats for mini-split heat pumps | Efficient Products Installation</v>
      </c>
      <c r="Y28">
        <f t="shared" si="8"/>
        <v>148.97176301412901</v>
      </c>
      <c r="Z28">
        <f t="shared" si="4"/>
        <v>242.456602544379</v>
      </c>
      <c r="AA28" s="43">
        <f t="shared" si="5"/>
        <v>0.79777643921306496</v>
      </c>
      <c r="AB28" s="43">
        <f t="shared" si="6"/>
        <v>0.70793763120704811</v>
      </c>
      <c r="AC28" s="43"/>
      <c r="AE28" s="121">
        <f>$P28*(1-$R28)*(1/$Q28)*IF($O28 = "kW perparticipant",1,$S28/$T28)*(SUM('Avoided Costs'!G$4:G$5))</f>
        <v>49.749249747832579</v>
      </c>
      <c r="AF28" s="121">
        <f>$P28*(1-$R28)*(1/$Q28)*IF($O28 = "kW perparticipant",1,$S28/$T28)*(SUM('Avoided Costs'!H$4:H$5))</f>
        <v>56.645185356443037</v>
      </c>
      <c r="AG28" s="121">
        <f>$P28*(1-$R28)*(1/$Q28)*IF($O28 = "kW perparticipant",1,$S28/$T28)*(SUM('Avoided Costs'!I$4:I$5))</f>
        <v>63.541120965053487</v>
      </c>
      <c r="AH28" s="121">
        <f>$P28*(1-$R28)*(1/$Q28)*IF($O28 = "kW perparticipant",1,$S28/$T28)*(SUM('Avoided Costs'!J$4:J$5))</f>
        <v>69.451922915291021</v>
      </c>
      <c r="AI28" s="121">
        <f>$P28*(1-$R28)*(1/$Q28)*IF($O28 = "kW perparticipant",1,$S28/$T28)*(SUM('Avoided Costs'!K$4:K$5))</f>
        <v>75.362724865528563</v>
      </c>
      <c r="AJ28" s="121">
        <f>$P28*(1-$R28)*(1/$Q28)*IF($O28 = "kW perparticipant",1,$S28/$T28)*(SUM('Avoided Costs'!L$4:L$5))</f>
        <v>80.780959986579632</v>
      </c>
      <c r="AK28" s="121">
        <f>$P28*(1-$R28)*(1/$Q28)*IF($O28 = "kW perparticipant",1,$S28/$T28)*(SUM('Avoided Costs'!M$4:M$5))</f>
        <v>86.1991951076307</v>
      </c>
      <c r="AL28" s="121">
        <f>$P28*(1-$R28)*(1/$Q28)*IF($O28 = "kW perparticipant",1,$S28/$T28)*(SUM('Avoided Costs'!N$4:N$5))</f>
        <v>90.632296570308853</v>
      </c>
      <c r="AM28" s="121">
        <f>$P28*(1-$R28)*(1/$Q28)*IF($O28 = "kW perparticipant",1,$S28/$T28)*(SUM('Avoided Costs'!O$4:O$5))</f>
        <v>95.065398032987005</v>
      </c>
      <c r="AN28" s="121">
        <f>$P28*(1-$R28)*(1/$Q28)*IF($O28 = "kW perparticipant",1,$S28/$T28)*(SUM('Avoided Costs'!P$4:P$5))</f>
        <v>99.005932666478699</v>
      </c>
      <c r="AO28" s="121">
        <f>$P28*(1-$R28)*(1/$Q28)*IF($O28 = "kW perparticipant",1,$S28/$T28)*(SUM('Avoided Costs'!Q$4:Q$5))</f>
        <v>102.94646729997038</v>
      </c>
    </row>
    <row r="29" spans="1:41" ht="27.6" x14ac:dyDescent="0.25">
      <c r="A29" s="116" t="s">
        <v>163</v>
      </c>
      <c r="B29" s="117">
        <v>198.55458776117899</v>
      </c>
      <c r="C29" s="117">
        <v>334.99549773830398</v>
      </c>
      <c r="D29" s="117">
        <v>202.52567951640199</v>
      </c>
      <c r="E29" s="117">
        <v>339.61721274575302</v>
      </c>
      <c r="F29" s="117">
        <v>206.57619310672999</v>
      </c>
      <c r="G29" s="117">
        <v>336.209768440875</v>
      </c>
      <c r="H29">
        <f t="shared" si="9"/>
        <v>840</v>
      </c>
      <c r="I29">
        <f t="shared" si="10"/>
        <v>0</v>
      </c>
      <c r="J29">
        <f t="shared" si="11"/>
        <v>1</v>
      </c>
      <c r="K29" s="124"/>
      <c r="L29" t="str">
        <f t="shared" si="2"/>
        <v>DLC-Thermostat-BYOT-MSHPResidential</v>
      </c>
      <c r="M29" t="s">
        <v>87</v>
      </c>
      <c r="N29" t="s">
        <v>45</v>
      </c>
      <c r="O29" t="str" cm="1">
        <f t="array" ref="O29">INDEX('Unit Impact by End Use'!D:D,MATCH(1,($M29='Unit Impact by End Use'!$B:$B)*($N29='Unit Impact by End Use'!$C:$C),0))</f>
        <v>kW per participant</v>
      </c>
      <c r="P29" cm="1">
        <f t="array" ref="P29">INDEX('Unit Impact by End Use'!E:E,MATCH(1,($M29='Unit Impact by End Use'!$B:$B)*($N29='Unit Impact by End Use'!$C:$C),0))</f>
        <v>0.5</v>
      </c>
      <c r="Q29">
        <v>2.5</v>
      </c>
      <c r="R29" s="43" cm="1">
        <f t="array" ref="R29">INDEX('Opt Out Factor'!C:C,MATCH(1,($M29='Opt Out Factor'!A:A)*($N29='Opt Out Factor'!B:B),0))</f>
        <v>0.25</v>
      </c>
      <c r="S29" s="36">
        <f>SUMIFS('Winter Peak Load'!H:H,'Winter Peak Load'!B:B,N29)*1000</f>
        <v>1611800.1649159668</v>
      </c>
      <c r="T29" s="36">
        <f>SUMIFS('Customer Count'!G:G,'Customer Count'!B:B,N29)</f>
        <v>490837</v>
      </c>
      <c r="U29" s="22">
        <f t="shared" si="7"/>
        <v>6.3299999999999995E-2</v>
      </c>
      <c r="V29" s="119">
        <f t="shared" si="3"/>
        <v>587.69691413910971</v>
      </c>
      <c r="W29" t="str">
        <f t="shared" si="1"/>
        <v>Residential</v>
      </c>
      <c r="X29" s="123" t="str" cm="1">
        <f t="array" ref="X29">INDEX($B$27:$B$77,MATCH(1, (M29=$A$27:$A$77)*(W29=$C$27:$C$77),0))</f>
        <v>Smart thermostats for mini-split heat pumps | Instant Savings</v>
      </c>
      <c r="Y29">
        <f t="shared" si="8"/>
        <v>148.97176301412901</v>
      </c>
      <c r="Z29">
        <f t="shared" si="4"/>
        <v>242.456602544379</v>
      </c>
      <c r="AA29" s="43">
        <f t="shared" si="5"/>
        <v>0.79777643921306496</v>
      </c>
      <c r="AB29" s="43">
        <f t="shared" si="6"/>
        <v>0.70793763120704811</v>
      </c>
      <c r="AC29" s="43"/>
      <c r="AE29" s="121">
        <f>$P29*(1-$R29)*(1/$Q29)*IF($O29 = "kW perparticipant",1,$S29/$T29)*(SUM('Avoided Costs'!G$4:G$5))</f>
        <v>49.749249747832579</v>
      </c>
      <c r="AF29" s="121">
        <f>$P29*(1-$R29)*(1/$Q29)*IF($O29 = "kW perparticipant",1,$S29/$T29)*(SUM('Avoided Costs'!H$4:H$5))</f>
        <v>56.645185356443037</v>
      </c>
      <c r="AG29" s="121">
        <f>$P29*(1-$R29)*(1/$Q29)*IF($O29 = "kW perparticipant",1,$S29/$T29)*(SUM('Avoided Costs'!I$4:I$5))</f>
        <v>63.541120965053487</v>
      </c>
      <c r="AH29" s="121">
        <f>$P29*(1-$R29)*(1/$Q29)*IF($O29 = "kW perparticipant",1,$S29/$T29)*(SUM('Avoided Costs'!J$4:J$5))</f>
        <v>69.451922915291021</v>
      </c>
      <c r="AI29" s="121">
        <f>$P29*(1-$R29)*(1/$Q29)*IF($O29 = "kW perparticipant",1,$S29/$T29)*(SUM('Avoided Costs'!K$4:K$5))</f>
        <v>75.362724865528563</v>
      </c>
      <c r="AJ29" s="121">
        <f>$P29*(1-$R29)*(1/$Q29)*IF($O29 = "kW perparticipant",1,$S29/$T29)*(SUM('Avoided Costs'!L$4:L$5))</f>
        <v>80.780959986579632</v>
      </c>
      <c r="AK29" s="121">
        <f>$P29*(1-$R29)*(1/$Q29)*IF($O29 = "kW perparticipant",1,$S29/$T29)*(SUM('Avoided Costs'!M$4:M$5))</f>
        <v>86.1991951076307</v>
      </c>
      <c r="AL29" s="121">
        <f>$P29*(1-$R29)*(1/$Q29)*IF($O29 = "kW perparticipant",1,$S29/$T29)*(SUM('Avoided Costs'!N$4:N$5))</f>
        <v>90.632296570308853</v>
      </c>
      <c r="AM29" s="121">
        <f>$P29*(1-$R29)*(1/$Q29)*IF($O29 = "kW perparticipant",1,$S29/$T29)*(SUM('Avoided Costs'!O$4:O$5))</f>
        <v>95.065398032987005</v>
      </c>
      <c r="AN29" s="121">
        <f>$P29*(1-$R29)*(1/$Q29)*IF($O29 = "kW perparticipant",1,$S29/$T29)*(SUM('Avoided Costs'!P$4:P$5))</f>
        <v>99.005932666478699</v>
      </c>
      <c r="AO29" s="121">
        <f>$P29*(1-$R29)*(1/$Q29)*IF($O29 = "kW perparticipant",1,$S29/$T29)*(SUM('Avoided Costs'!Q$4:Q$5))</f>
        <v>102.94646729997038</v>
      </c>
    </row>
    <row r="30" spans="1:41" x14ac:dyDescent="0.25">
      <c r="A30" s="116" t="s">
        <v>164</v>
      </c>
      <c r="B30" s="117">
        <v>97.278422191718406</v>
      </c>
      <c r="C30" s="117">
        <v>164.12531097245801</v>
      </c>
      <c r="D30" s="117">
        <v>99.223990635552695</v>
      </c>
      <c r="E30" s="117">
        <v>166.38964114389199</v>
      </c>
      <c r="F30" s="117">
        <v>101.20847044826399</v>
      </c>
      <c r="G30" s="117">
        <v>164.72022212203899</v>
      </c>
      <c r="H30">
        <f t="shared" si="9"/>
        <v>110</v>
      </c>
      <c r="I30">
        <f t="shared" si="10"/>
        <v>0</v>
      </c>
      <c r="J30">
        <f t="shared" si="11"/>
        <v>1</v>
      </c>
      <c r="K30" s="124"/>
      <c r="L30" t="str">
        <f t="shared" si="2"/>
        <v>DLC-Thermostat-HVACSmall Commercial</v>
      </c>
      <c r="M30" t="s">
        <v>88</v>
      </c>
      <c r="N30" t="s">
        <v>40</v>
      </c>
      <c r="O30" t="str" cm="1">
        <f t="array" ref="O30">INDEX('Unit Impact by End Use'!D:D,MATCH(1,($M30='Unit Impact by End Use'!$B:$B)*($N30='Unit Impact by End Use'!$C:$C),0))</f>
        <v>% of enduse load</v>
      </c>
      <c r="P30" cm="1">
        <f t="array" ref="P30">INDEX('Unit Impact by End Use'!E:E,MATCH(1,($M30='Unit Impact by End Use'!$B:$B)*($N30='Unit Impact by End Use'!$C:$C),0))</f>
        <v>0</v>
      </c>
      <c r="Q30">
        <v>5</v>
      </c>
      <c r="R30" s="43" cm="1">
        <f t="array" ref="R30">INDEX('Opt Out Factor'!C:C,MATCH(1,($M30='Opt Out Factor'!A:A)*($N30='Opt Out Factor'!B:B),0))</f>
        <v>0.25</v>
      </c>
      <c r="S30" s="36">
        <f>SUMIFS('Winter Peak Load'!H:H,'Winter Peak Load'!B:B,N30)*1000</f>
        <v>427685.23227704066</v>
      </c>
      <c r="T30" s="36">
        <f>SUMIFS('Customer Count'!G:G,'Customer Count'!B:B,N30)</f>
        <v>37289.565769825247</v>
      </c>
      <c r="U30" s="22">
        <f t="shared" si="7"/>
        <v>6.3299999999999995E-2</v>
      </c>
      <c r="V30" s="119">
        <f t="shared" si="3"/>
        <v>0</v>
      </c>
      <c r="W30" t="str">
        <f>SUBSTITUTE(SUBSTITUTE(N30," Commercial", ""), " Industrial","")</f>
        <v>Small</v>
      </c>
      <c r="X30" s="123" t="e" cm="1">
        <f t="array" ref="X30">INDEX($B$27:$B$77,MATCH(1, (M30=$A$27:$A$77)*(W30=$C$27:$C$77),0))</f>
        <v>#N/A</v>
      </c>
      <c r="Y30" t="e">
        <f t="shared" si="8"/>
        <v>#N/A</v>
      </c>
      <c r="Z30" t="e">
        <f t="shared" si="4"/>
        <v>#N/A</v>
      </c>
      <c r="AA30" s="43">
        <f t="shared" si="5"/>
        <v>0</v>
      </c>
      <c r="AB30" s="43">
        <f t="shared" si="6"/>
        <v>0</v>
      </c>
      <c r="AC30" s="43"/>
      <c r="AE30" s="121">
        <f>$P30*(1-$R30)*(1/$Q30)*IF($O30 = "kW perparticipant",1,$S30/$T30)*(SUM('Avoided Costs'!G$4:G$5))</f>
        <v>0</v>
      </c>
      <c r="AF30" s="121">
        <f>$P30*(1-$R30)*(1/$Q30)*IF($O30 = "kW perparticipant",1,$S30/$T30)*(SUM('Avoided Costs'!H$4:H$5))</f>
        <v>0</v>
      </c>
      <c r="AG30" s="121">
        <f>$P30*(1-$R30)*(1/$Q30)*IF($O30 = "kW perparticipant",1,$S30/$T30)*(SUM('Avoided Costs'!I$4:I$5))</f>
        <v>0</v>
      </c>
      <c r="AH30" s="121">
        <f>$P30*(1-$R30)*(1/$Q30)*IF($O30 = "kW perparticipant",1,$S30/$T30)*(SUM('Avoided Costs'!J$4:J$5))</f>
        <v>0</v>
      </c>
      <c r="AI30" s="121">
        <f>$P30*(1-$R30)*(1/$Q30)*IF($O30 = "kW perparticipant",1,$S30/$T30)*(SUM('Avoided Costs'!K$4:K$5))</f>
        <v>0</v>
      </c>
      <c r="AJ30" s="121">
        <f>$P30*(1-$R30)*(1/$Q30)*IF($O30 = "kW perparticipant",1,$S30/$T30)*(SUM('Avoided Costs'!L$4:L$5))</f>
        <v>0</v>
      </c>
      <c r="AK30" s="121">
        <f>$P30*(1-$R30)*(1/$Q30)*IF($O30 = "kW perparticipant",1,$S30/$T30)*(SUM('Avoided Costs'!M$4:M$5))</f>
        <v>0</v>
      </c>
      <c r="AL30" s="121">
        <f>$P30*(1-$R30)*(1/$Q30)*IF($O30 = "kW perparticipant",1,$S30/$T30)*(SUM('Avoided Costs'!N$4:N$5))</f>
        <v>0</v>
      </c>
      <c r="AM30" s="121">
        <f>$P30*(1-$R30)*(1/$Q30)*IF($O30 = "kW perparticipant",1,$S30/$T30)*(SUM('Avoided Costs'!O$4:O$5))</f>
        <v>0</v>
      </c>
      <c r="AN30" s="121">
        <f>$P30*(1-$R30)*(1/$Q30)*IF($O30 = "kW perparticipant",1,$S30/$T30)*(SUM('Avoided Costs'!P$4:P$5))</f>
        <v>0</v>
      </c>
      <c r="AO30" s="121">
        <f>$P30*(1-$R30)*(1/$Q30)*IF($O30 = "kW perparticipant",1,$S30/$T30)*(SUM('Avoided Costs'!Q$4:Q$5))</f>
        <v>0</v>
      </c>
    </row>
    <row r="31" spans="1:41" x14ac:dyDescent="0.25">
      <c r="A31" s="116" t="s">
        <v>155</v>
      </c>
      <c r="B31" s="117">
        <v>288.41974850371201</v>
      </c>
      <c r="C31" s="117">
        <v>486.61337064531199</v>
      </c>
      <c r="D31" s="117">
        <v>294.18814347378702</v>
      </c>
      <c r="E31" s="117">
        <v>493.326858835812</v>
      </c>
      <c r="F31" s="117">
        <v>300.07190634326201</v>
      </c>
      <c r="G31" s="117">
        <v>488.37721631918902</v>
      </c>
      <c r="H31">
        <f t="shared" si="9"/>
        <v>765.64</v>
      </c>
      <c r="I31">
        <f t="shared" si="10"/>
        <v>1</v>
      </c>
      <c r="J31">
        <f t="shared" si="11"/>
        <v>0</v>
      </c>
      <c r="K31" s="124"/>
      <c r="L31" t="str">
        <f t="shared" si="2"/>
        <v>DLC-Thermostat-HVACSmall Industrial</v>
      </c>
      <c r="M31" t="s">
        <v>88</v>
      </c>
      <c r="N31" t="s">
        <v>42</v>
      </c>
      <c r="O31" t="str" cm="1">
        <f t="array" ref="O31">INDEX('Unit Impact by End Use'!D:D,MATCH(1,($M31='Unit Impact by End Use'!$B:$B)*($N31='Unit Impact by End Use'!$C:$C),0))</f>
        <v>% of enduse load</v>
      </c>
      <c r="P31" cm="1">
        <f t="array" ref="P31">INDEX('Unit Impact by End Use'!E:E,MATCH(1,($M31='Unit Impact by End Use'!$B:$B)*($N31='Unit Impact by End Use'!$C:$C),0))</f>
        <v>0</v>
      </c>
      <c r="Q31">
        <v>5</v>
      </c>
      <c r="R31" s="43" cm="1">
        <f t="array" ref="R31">INDEX('Opt Out Factor'!C:C,MATCH(1,($M31='Opt Out Factor'!A:A)*($N31='Opt Out Factor'!B:B),0))</f>
        <v>0.25</v>
      </c>
      <c r="S31" s="36">
        <f>SUMIFS('Winter Peak Load'!H:H,'Winter Peak Load'!B:B,N31)*1000</f>
        <v>29828.400006769331</v>
      </c>
      <c r="T31" s="36">
        <f>SUMIFS('Customer Count'!G:G,'Customer Count'!B:B,N31)</f>
        <v>2136</v>
      </c>
      <c r="U31" s="22">
        <f t="shared" si="7"/>
        <v>6.3299999999999995E-2</v>
      </c>
      <c r="V31" s="119">
        <f t="shared" si="3"/>
        <v>0</v>
      </c>
      <c r="W31" t="str">
        <f t="shared" ref="W31:W49" si="12">SUBSTITUTE(SUBSTITUTE(N31," Commercial", ""), " Industrial","")</f>
        <v>Small</v>
      </c>
      <c r="X31" s="123" t="e" cm="1">
        <f t="array" ref="X31">INDEX($B$27:$B$77,MATCH(1, (M31=$A$27:$A$77)*(W31=$C$27:$C$77),0))</f>
        <v>#N/A</v>
      </c>
      <c r="Y31" t="e">
        <f t="shared" si="8"/>
        <v>#N/A</v>
      </c>
      <c r="Z31" t="e">
        <f t="shared" si="4"/>
        <v>#N/A</v>
      </c>
      <c r="AA31" s="43">
        <f t="shared" si="5"/>
        <v>0</v>
      </c>
      <c r="AB31" s="43">
        <f t="shared" si="6"/>
        <v>0</v>
      </c>
      <c r="AC31" s="43"/>
      <c r="AE31" s="121">
        <f>$P31*(1-$R31)*(1/$Q31)*IF($O31 = "kW perparticipant",1,$S31/$T31)*(SUM('Avoided Costs'!G$4:G$5))</f>
        <v>0</v>
      </c>
      <c r="AF31" s="121">
        <f>$P31*(1-$R31)*(1/$Q31)*IF($O31 = "kW perparticipant",1,$S31/$T31)*(SUM('Avoided Costs'!H$4:H$5))</f>
        <v>0</v>
      </c>
      <c r="AG31" s="121">
        <f>$P31*(1-$R31)*(1/$Q31)*IF($O31 = "kW perparticipant",1,$S31/$T31)*(SUM('Avoided Costs'!I$4:I$5))</f>
        <v>0</v>
      </c>
      <c r="AH31" s="121">
        <f>$P31*(1-$R31)*(1/$Q31)*IF($O31 = "kW perparticipant",1,$S31/$T31)*(SUM('Avoided Costs'!J$4:J$5))</f>
        <v>0</v>
      </c>
      <c r="AI31" s="121">
        <f>$P31*(1-$R31)*(1/$Q31)*IF($O31 = "kW perparticipant",1,$S31/$T31)*(SUM('Avoided Costs'!K$4:K$5))</f>
        <v>0</v>
      </c>
      <c r="AJ31" s="121">
        <f>$P31*(1-$R31)*(1/$Q31)*IF($O31 = "kW perparticipant",1,$S31/$T31)*(SUM('Avoided Costs'!L$4:L$5))</f>
        <v>0</v>
      </c>
      <c r="AK31" s="121">
        <f>$P31*(1-$R31)*(1/$Q31)*IF($O31 = "kW perparticipant",1,$S31/$T31)*(SUM('Avoided Costs'!M$4:M$5))</f>
        <v>0</v>
      </c>
      <c r="AL31" s="121">
        <f>$P31*(1-$R31)*(1/$Q31)*IF($O31 = "kW perparticipant",1,$S31/$T31)*(SUM('Avoided Costs'!N$4:N$5))</f>
        <v>0</v>
      </c>
      <c r="AM31" s="121">
        <f>$P31*(1-$R31)*(1/$Q31)*IF($O31 = "kW perparticipant",1,$S31/$T31)*(SUM('Avoided Costs'!O$4:O$5))</f>
        <v>0</v>
      </c>
      <c r="AN31" s="121">
        <f>$P31*(1-$R31)*(1/$Q31)*IF($O31 = "kW perparticipant",1,$S31/$T31)*(SUM('Avoided Costs'!P$4:P$5))</f>
        <v>0</v>
      </c>
      <c r="AO31" s="121">
        <f>$P31*(1-$R31)*(1/$Q31)*IF($O31 = "kW perparticipant",1,$S31/$T31)*(SUM('Avoided Costs'!Q$4:Q$5))</f>
        <v>0</v>
      </c>
    </row>
    <row r="32" spans="1:41" ht="27.6" x14ac:dyDescent="0.25">
      <c r="A32" s="116" t="s">
        <v>159</v>
      </c>
      <c r="B32" s="117">
        <v>288.41974850371201</v>
      </c>
      <c r="C32" s="117">
        <v>486.61337064531199</v>
      </c>
      <c r="D32" s="117">
        <v>294.18814347378702</v>
      </c>
      <c r="E32" s="117">
        <v>493.326858835812</v>
      </c>
      <c r="F32" s="117">
        <v>300.07190634326201</v>
      </c>
      <c r="G32" s="117">
        <v>488.37721631918902</v>
      </c>
      <c r="H32">
        <f t="shared" si="9"/>
        <v>200</v>
      </c>
      <c r="I32">
        <f t="shared" si="10"/>
        <v>1</v>
      </c>
      <c r="J32">
        <f t="shared" si="11"/>
        <v>0</v>
      </c>
      <c r="K32" s="124"/>
      <c r="L32" t="str">
        <f t="shared" si="2"/>
        <v>DLC-Thermostat-DI-Central Heat PumpSmall Commercial</v>
      </c>
      <c r="M32" t="s">
        <v>82</v>
      </c>
      <c r="N32" t="s">
        <v>40</v>
      </c>
      <c r="O32" t="str" cm="1">
        <f t="array" ref="O32">INDEX('Unit Impact by End Use'!D:D,MATCH(1,($M32='Unit Impact by End Use'!$B:$B)*($N32='Unit Impact by End Use'!$C:$C),0))</f>
        <v>kW per participant</v>
      </c>
      <c r="P32" cm="1">
        <f t="array" ref="P32">INDEX('Unit Impact by End Use'!E:E,MATCH(1,($M32='Unit Impact by End Use'!$B:$B)*($N32='Unit Impact by End Use'!$C:$C),0))</f>
        <v>2.42</v>
      </c>
      <c r="Q32">
        <v>5</v>
      </c>
      <c r="R32" s="43" cm="1">
        <f t="array" ref="R32">INDEX('Opt Out Factor'!C:C,MATCH(1,($M32='Opt Out Factor'!A:A)*($N32='Opt Out Factor'!B:B),0))</f>
        <v>0.25</v>
      </c>
      <c r="S32" s="36">
        <f>SUMIFS('Winter Peak Load'!H:H,'Winter Peak Load'!B:B,N32)*1000</f>
        <v>427685.23227704066</v>
      </c>
      <c r="T32" s="36">
        <f>SUMIFS('Customer Count'!G:G,'Customer Count'!B:B,N32)</f>
        <v>37289.565769825247</v>
      </c>
      <c r="U32" s="22">
        <f t="shared" si="7"/>
        <v>6.3299999999999995E-2</v>
      </c>
      <c r="V32" s="119">
        <f t="shared" si="3"/>
        <v>4967.4305274328262</v>
      </c>
      <c r="W32" t="str">
        <f t="shared" si="12"/>
        <v>Small</v>
      </c>
      <c r="X32" s="123" t="str" cm="1">
        <f t="array" ref="X32">INDEX($B$27:$B$77,MATCH(1, (M32=$A$27:$A$77)*(W32=$C$27:$C$77),0))</f>
        <v>Smart thermostats for central air source heat pump  | Business Energy Rebates</v>
      </c>
      <c r="Y32">
        <f t="shared" si="8"/>
        <v>206.57619310672999</v>
      </c>
      <c r="Z32">
        <f t="shared" si="4"/>
        <v>336.209768440875</v>
      </c>
      <c r="AA32" s="43">
        <f t="shared" si="5"/>
        <v>0.96007423177734341</v>
      </c>
      <c r="AB32" s="43">
        <f t="shared" si="6"/>
        <v>0.93660773550151</v>
      </c>
      <c r="AC32" s="43"/>
      <c r="AE32" s="121">
        <f>$P32*(1-$R32)*(1/$Q32)*IF($O32 = "kW perparticipant",1,$S32/$T32)*(SUM('Avoided Costs'!G$4:G$5))</f>
        <v>420.49896123117622</v>
      </c>
      <c r="AF32" s="121">
        <f>$P32*(1-$R32)*(1/$Q32)*IF($O32 = "kW perparticipant",1,$S32/$T32)*(SUM('Avoided Costs'!H$4:H$5))</f>
        <v>478.78594595628971</v>
      </c>
      <c r="AG32" s="121">
        <f>$P32*(1-$R32)*(1/$Q32)*IF($O32 = "kW perparticipant",1,$S32/$T32)*(SUM('Avoided Costs'!I$4:I$5))</f>
        <v>537.07293068140325</v>
      </c>
      <c r="AH32" s="121">
        <f>$P32*(1-$R32)*(1/$Q32)*IF($O32 = "kW perparticipant",1,$S32/$T32)*(SUM('Avoided Costs'!J$4:J$5))</f>
        <v>587.03320330292911</v>
      </c>
      <c r="AI32" s="121">
        <f>$P32*(1-$R32)*(1/$Q32)*IF($O32 = "kW perparticipant",1,$S32/$T32)*(SUM('Avoided Costs'!K$4:K$5))</f>
        <v>636.99347592445508</v>
      </c>
      <c r="AJ32" s="121">
        <f>$P32*(1-$R32)*(1/$Q32)*IF($O32 = "kW perparticipant",1,$S32/$T32)*(SUM('Avoided Costs'!L$4:L$5))</f>
        <v>682.79039249418713</v>
      </c>
      <c r="AK32" s="121">
        <f>$P32*(1-$R32)*(1/$Q32)*IF($O32 = "kW perparticipant",1,$S32/$T32)*(SUM('Avoided Costs'!M$4:M$5))</f>
        <v>728.58730906391918</v>
      </c>
      <c r="AL32" s="121">
        <f>$P32*(1-$R32)*(1/$Q32)*IF($O32 = "kW perparticipant",1,$S32/$T32)*(SUM('Avoided Costs'!N$4:N$5))</f>
        <v>766.0575135300636</v>
      </c>
      <c r="AM32" s="121">
        <f>$P32*(1-$R32)*(1/$Q32)*IF($O32 = "kW perparticipant",1,$S32/$T32)*(SUM('Avoided Costs'!O$4:O$5))</f>
        <v>803.52771799620803</v>
      </c>
      <c r="AN32" s="121">
        <f>$P32*(1-$R32)*(1/$Q32)*IF($O32 = "kW perparticipant",1,$S32/$T32)*(SUM('Avoided Costs'!P$4:P$5))</f>
        <v>836.83456641055852</v>
      </c>
      <c r="AO32" s="121">
        <f>$P32*(1-$R32)*(1/$Q32)*IF($O32 = "kW perparticipant",1,$S32/$T32)*(SUM('Avoided Costs'!Q$4:Q$5))</f>
        <v>870.14141482490913</v>
      </c>
    </row>
    <row r="33" spans="1:41" ht="27.6" x14ac:dyDescent="0.25">
      <c r="A33" s="116" t="s">
        <v>161</v>
      </c>
      <c r="B33" s="117">
        <v>97.278422191718406</v>
      </c>
      <c r="C33" s="117">
        <v>164.12531097245801</v>
      </c>
      <c r="D33" s="117">
        <v>99.223990635552695</v>
      </c>
      <c r="E33" s="117">
        <v>166.38964114389199</v>
      </c>
      <c r="F33" s="117">
        <v>101.20847044826399</v>
      </c>
      <c r="G33" s="117">
        <v>164.72022212204001</v>
      </c>
      <c r="H33">
        <f t="shared" si="9"/>
        <v>468</v>
      </c>
      <c r="I33">
        <f t="shared" si="10"/>
        <v>0</v>
      </c>
      <c r="J33">
        <f t="shared" si="11"/>
        <v>1</v>
      </c>
      <c r="K33" s="124"/>
      <c r="L33" t="str">
        <f t="shared" si="2"/>
        <v>DLC-Thermostat-BYOT-Central Heat PumpSmall Commercial</v>
      </c>
      <c r="M33" t="s">
        <v>83</v>
      </c>
      <c r="N33" t="s">
        <v>40</v>
      </c>
      <c r="O33" t="str" cm="1">
        <f t="array" ref="O33">INDEX('Unit Impact by End Use'!D:D,MATCH(1,($M33='Unit Impact by End Use'!$B:$B)*($N33='Unit Impact by End Use'!$C:$C),0))</f>
        <v>kW per participant</v>
      </c>
      <c r="P33" cm="1">
        <f t="array" ref="P33">INDEX('Unit Impact by End Use'!E:E,MATCH(1,($M33='Unit Impact by End Use'!$B:$B)*($N33='Unit Impact by End Use'!$C:$C),0))</f>
        <v>0</v>
      </c>
      <c r="Q33">
        <v>5</v>
      </c>
      <c r="R33" s="43" cm="1">
        <f t="array" ref="R33">INDEX('Opt Out Factor'!C:C,MATCH(1,($M33='Opt Out Factor'!A:A)*($N33='Opt Out Factor'!B:B),0))</f>
        <v>0.25</v>
      </c>
      <c r="S33" s="36">
        <f>SUMIFS('Winter Peak Load'!H:H,'Winter Peak Load'!B:B,N33)*1000</f>
        <v>427685.23227704066</v>
      </c>
      <c r="T33" s="36">
        <f>SUMIFS('Customer Count'!G:G,'Customer Count'!B:B,N33)</f>
        <v>37289.565769825247</v>
      </c>
      <c r="U33" s="22">
        <f t="shared" si="7"/>
        <v>6.3299999999999995E-2</v>
      </c>
      <c r="V33" s="119">
        <f t="shared" si="3"/>
        <v>0</v>
      </c>
      <c r="W33" t="str">
        <f t="shared" si="12"/>
        <v>Small</v>
      </c>
      <c r="X33" s="123" t="str" cm="1">
        <f t="array" ref="X33">INDEX($B$27:$B$77,MATCH(1, (M33=$A$27:$A$77)*(W33=$C$27:$C$77),0))</f>
        <v>Smart thermostats for central air source heat pump  | Business Energy Rebates</v>
      </c>
      <c r="Y33">
        <f t="shared" si="8"/>
        <v>206.57619310672999</v>
      </c>
      <c r="Z33">
        <f t="shared" si="4"/>
        <v>336.209768440875</v>
      </c>
      <c r="AA33" s="43">
        <f t="shared" si="5"/>
        <v>0</v>
      </c>
      <c r="AB33" s="43">
        <f t="shared" si="6"/>
        <v>0</v>
      </c>
      <c r="AC33" s="43"/>
      <c r="AE33" s="121">
        <f>$P33*(1-$R33)*(1/$Q33)*IF($O33 = "kW perparticipant",1,$S33/$T33)*(SUM('Avoided Costs'!G$4:G$5))</f>
        <v>0</v>
      </c>
      <c r="AF33" s="121">
        <f>$P33*(1-$R33)*(1/$Q33)*IF($O33 = "kW perparticipant",1,$S33/$T33)*(SUM('Avoided Costs'!H$4:H$5))</f>
        <v>0</v>
      </c>
      <c r="AG33" s="121">
        <f>$P33*(1-$R33)*(1/$Q33)*IF($O33 = "kW perparticipant",1,$S33/$T33)*(SUM('Avoided Costs'!I$4:I$5))</f>
        <v>0</v>
      </c>
      <c r="AH33" s="121">
        <f>$P33*(1-$R33)*(1/$Q33)*IF($O33 = "kW perparticipant",1,$S33/$T33)*(SUM('Avoided Costs'!J$4:J$5))</f>
        <v>0</v>
      </c>
      <c r="AI33" s="121">
        <f>$P33*(1-$R33)*(1/$Q33)*IF($O33 = "kW perparticipant",1,$S33/$T33)*(SUM('Avoided Costs'!K$4:K$5))</f>
        <v>0</v>
      </c>
      <c r="AJ33" s="121">
        <f>$P33*(1-$R33)*(1/$Q33)*IF($O33 = "kW perparticipant",1,$S33/$T33)*(SUM('Avoided Costs'!L$4:L$5))</f>
        <v>0</v>
      </c>
      <c r="AK33" s="121">
        <f>$P33*(1-$R33)*(1/$Q33)*IF($O33 = "kW perparticipant",1,$S33/$T33)*(SUM('Avoided Costs'!M$4:M$5))</f>
        <v>0</v>
      </c>
      <c r="AL33" s="121">
        <f>$P33*(1-$R33)*(1/$Q33)*IF($O33 = "kW perparticipant",1,$S33/$T33)*(SUM('Avoided Costs'!N$4:N$5))</f>
        <v>0</v>
      </c>
      <c r="AM33" s="121">
        <f>$P33*(1-$R33)*(1/$Q33)*IF($O33 = "kW perparticipant",1,$S33/$T33)*(SUM('Avoided Costs'!O$4:O$5))</f>
        <v>0</v>
      </c>
      <c r="AN33" s="121">
        <f>$P33*(1-$R33)*(1/$Q33)*IF($O33 = "kW perparticipant",1,$S33/$T33)*(SUM('Avoided Costs'!P$4:P$5))</f>
        <v>0</v>
      </c>
      <c r="AO33" s="121">
        <f>$P33*(1-$R33)*(1/$Q33)*IF($O33 = "kW perparticipant",1,$S33/$T33)*(SUM('Avoided Costs'!Q$4:Q$5))</f>
        <v>0</v>
      </c>
    </row>
    <row r="34" spans="1:41" ht="27.6" x14ac:dyDescent="0.25">
      <c r="A34" s="116" t="s">
        <v>165</v>
      </c>
      <c r="B34" s="117">
        <v>49.305501658816198</v>
      </c>
      <c r="C34" s="117">
        <v>83.186801451793599</v>
      </c>
      <c r="D34" s="117">
        <v>50.2916116919925</v>
      </c>
      <c r="E34" s="117">
        <v>84.334475648274307</v>
      </c>
      <c r="F34" s="117">
        <v>51.297443925832297</v>
      </c>
      <c r="G34" s="117">
        <v>83.488331760485806</v>
      </c>
      <c r="H34">
        <f t="shared" si="9"/>
        <v>11.79</v>
      </c>
      <c r="I34">
        <f t="shared" si="10"/>
        <v>0</v>
      </c>
      <c r="J34">
        <f t="shared" si="11"/>
        <v>1</v>
      </c>
      <c r="K34" s="124"/>
      <c r="L34" t="str">
        <f t="shared" si="2"/>
        <v>DLC-Thermostat-DI-Baseboard HeatingSmall Commercial</v>
      </c>
      <c r="M34" t="s">
        <v>84</v>
      </c>
      <c r="N34" t="s">
        <v>40</v>
      </c>
      <c r="O34" t="str" cm="1">
        <f t="array" ref="O34">INDEX('Unit Impact by End Use'!D:D,MATCH(1,($M34='Unit Impact by End Use'!$B:$B)*($N34='Unit Impact by End Use'!$C:$C),0))</f>
        <v>kW per participant</v>
      </c>
      <c r="P34" cm="1">
        <f t="array" ref="P34">INDEX('Unit Impact by End Use'!E:E,MATCH(1,($M34='Unit Impact by End Use'!$B:$B)*($N34='Unit Impact by End Use'!$C:$C),0))</f>
        <v>1</v>
      </c>
      <c r="Q34">
        <v>5</v>
      </c>
      <c r="R34" s="43" cm="1">
        <f t="array" ref="R34">INDEX('Opt Out Factor'!C:C,MATCH(1,($M34='Opt Out Factor'!A:A)*($N34='Opt Out Factor'!B:B),0))</f>
        <v>0.25</v>
      </c>
      <c r="S34" s="36">
        <f>SUMIFS('Winter Peak Load'!H:H,'Winter Peak Load'!B:B,N34)*1000</f>
        <v>427685.23227704066</v>
      </c>
      <c r="T34" s="36">
        <f>SUMIFS('Customer Count'!G:G,'Customer Count'!B:B,N34)</f>
        <v>37289.565769825247</v>
      </c>
      <c r="U34" s="22">
        <f t="shared" si="7"/>
        <v>6.3299999999999995E-2</v>
      </c>
      <c r="V34" s="119">
        <f t="shared" si="3"/>
        <v>2052.6572427408378</v>
      </c>
      <c r="W34" t="str">
        <f t="shared" si="12"/>
        <v>Small</v>
      </c>
      <c r="X34" s="123" t="str" cm="1">
        <f t="array" ref="X34">INDEX($B$27:$B$77,MATCH(1, (M34=$A$27:$A$77)*(W34=$C$27:$C$77),0))</f>
        <v>Smart thermostats for electric baseboards | Small Business Energy Solutions</v>
      </c>
      <c r="Y34">
        <f t="shared" si="8"/>
        <v>101.20847044826399</v>
      </c>
      <c r="Z34">
        <f t="shared" si="4"/>
        <v>164.72022212204001</v>
      </c>
      <c r="AA34" s="43">
        <f t="shared" si="5"/>
        <v>0.95301077972107617</v>
      </c>
      <c r="AB34" s="43">
        <f t="shared" si="6"/>
        <v>0.92571394598698775</v>
      </c>
      <c r="AC34" s="43"/>
      <c r="AE34" s="121">
        <f>$P34*(1-$R34)*(1/$Q34)*IF($O34 = "kW perparticipant",1,$S34/$T34)*(SUM('Avoided Costs'!G$4:G$5))</f>
        <v>173.75990133519682</v>
      </c>
      <c r="AF34" s="121">
        <f>$P34*(1-$R34)*(1/$Q34)*IF($O34 = "kW perparticipant",1,$S34/$T34)*(SUM('Avoided Costs'!H$4:H$5))</f>
        <v>197.84543221334289</v>
      </c>
      <c r="AG34" s="121">
        <f>$P34*(1-$R34)*(1/$Q34)*IF($O34 = "kW perparticipant",1,$S34/$T34)*(SUM('Avoided Costs'!I$4:I$5))</f>
        <v>221.93096309148899</v>
      </c>
      <c r="AH34" s="121">
        <f>$P34*(1-$R34)*(1/$Q34)*IF($O34 = "kW perparticipant",1,$S34/$T34)*(SUM('Avoided Costs'!J$4:J$5))</f>
        <v>242.57570384418565</v>
      </c>
      <c r="AI34" s="121">
        <f>$P34*(1-$R34)*(1/$Q34)*IF($O34 = "kW perparticipant",1,$S34/$T34)*(SUM('Avoided Costs'!K$4:K$5))</f>
        <v>263.22044459688232</v>
      </c>
      <c r="AJ34" s="121">
        <f>$P34*(1-$R34)*(1/$Q34)*IF($O34 = "kW perparticipant",1,$S34/$T34)*(SUM('Avoided Costs'!L$4:L$5))</f>
        <v>282.14479028685423</v>
      </c>
      <c r="AK34" s="121">
        <f>$P34*(1-$R34)*(1/$Q34)*IF($O34 = "kW perparticipant",1,$S34/$T34)*(SUM('Avoided Costs'!M$4:M$5))</f>
        <v>301.06913597682615</v>
      </c>
      <c r="AL34" s="121">
        <f>$P34*(1-$R34)*(1/$Q34)*IF($O34 = "kW perparticipant",1,$S34/$T34)*(SUM('Avoided Costs'!N$4:N$5))</f>
        <v>316.55269154134862</v>
      </c>
      <c r="AM34" s="121">
        <f>$P34*(1-$R34)*(1/$Q34)*IF($O34 = "kW perparticipant",1,$S34/$T34)*(SUM('Avoided Costs'!O$4:O$5))</f>
        <v>332.03624710587115</v>
      </c>
      <c r="AN34" s="121">
        <f>$P34*(1-$R34)*(1/$Q34)*IF($O34 = "kW perparticipant",1,$S34/$T34)*(SUM('Avoided Costs'!P$4:P$5))</f>
        <v>345.79940760766891</v>
      </c>
      <c r="AO34" s="121">
        <f>$P34*(1-$R34)*(1/$Q34)*IF($O34 = "kW perparticipant",1,$S34/$T34)*(SUM('Avoided Costs'!Q$4:Q$5))</f>
        <v>359.56256810946667</v>
      </c>
    </row>
    <row r="35" spans="1:41" ht="27.6" x14ac:dyDescent="0.25">
      <c r="A35" s="116" t="s">
        <v>156</v>
      </c>
      <c r="B35" s="117">
        <v>143.18700789516501</v>
      </c>
      <c r="C35" s="117">
        <v>241.58093509878401</v>
      </c>
      <c r="D35" s="117">
        <v>146.05074805306799</v>
      </c>
      <c r="E35" s="117">
        <v>244.913870140591</v>
      </c>
      <c r="F35" s="117">
        <v>148.97176301412901</v>
      </c>
      <c r="G35" s="117">
        <v>242.456602544379</v>
      </c>
      <c r="H35">
        <f t="shared" si="9"/>
        <v>82.03</v>
      </c>
      <c r="I35">
        <f t="shared" si="10"/>
        <v>1</v>
      </c>
      <c r="J35">
        <f t="shared" si="11"/>
        <v>0</v>
      </c>
      <c r="K35" s="124"/>
      <c r="L35" t="str">
        <f t="shared" si="2"/>
        <v>DLC-Thermostat-BYOT-Baseboard HeatingSmall Commercial</v>
      </c>
      <c r="M35" t="s">
        <v>85</v>
      </c>
      <c r="N35" t="s">
        <v>40</v>
      </c>
      <c r="O35" t="str" cm="1">
        <f t="array" ref="O35">INDEX('Unit Impact by End Use'!D:D,MATCH(1,($M35='Unit Impact by End Use'!$B:$B)*($N35='Unit Impact by End Use'!$C:$C),0))</f>
        <v>kW per participant</v>
      </c>
      <c r="P35" cm="1">
        <f t="array" ref="P35">INDEX('Unit Impact by End Use'!E:E,MATCH(1,($M35='Unit Impact by End Use'!$B:$B)*($N35='Unit Impact by End Use'!$C:$C),0))</f>
        <v>1</v>
      </c>
      <c r="Q35">
        <v>5</v>
      </c>
      <c r="R35" s="43" cm="1">
        <f t="array" ref="R35">INDEX('Opt Out Factor'!C:C,MATCH(1,($M35='Opt Out Factor'!A:A)*($N35='Opt Out Factor'!B:B),0))</f>
        <v>0.25</v>
      </c>
      <c r="S35" s="36">
        <f>SUMIFS('Winter Peak Load'!H:H,'Winter Peak Load'!B:B,N35)*1000</f>
        <v>427685.23227704066</v>
      </c>
      <c r="T35" s="36">
        <f>SUMIFS('Customer Count'!G:G,'Customer Count'!B:B,N35)</f>
        <v>37289.565769825247</v>
      </c>
      <c r="U35" s="22">
        <f t="shared" si="7"/>
        <v>6.3299999999999995E-2</v>
      </c>
      <c r="V35" s="119">
        <f t="shared" si="3"/>
        <v>2052.6572427408378</v>
      </c>
      <c r="W35" t="str">
        <f t="shared" si="12"/>
        <v>Small</v>
      </c>
      <c r="X35" s="123" t="str" cm="1">
        <f t="array" ref="X35">INDEX($B$27:$B$77,MATCH(1, (M35=$A$27:$A$77)*(W35=$C$27:$C$77),0))</f>
        <v>Smart thermostats for electric baseboards | Small Business Energy Solutions</v>
      </c>
      <c r="Y35">
        <f t="shared" si="8"/>
        <v>101.20847044826399</v>
      </c>
      <c r="Z35">
        <f t="shared" si="4"/>
        <v>164.72022212204001</v>
      </c>
      <c r="AA35" s="43">
        <f t="shared" si="5"/>
        <v>0.95301077972107617</v>
      </c>
      <c r="AB35" s="43">
        <f t="shared" si="6"/>
        <v>0.92571394598698775</v>
      </c>
      <c r="AC35" s="43"/>
      <c r="AE35" s="121">
        <f>$P35*(1-$R35)*(1/$Q35)*IF($O35 = "kW perparticipant",1,$S35/$T35)*(SUM('Avoided Costs'!G$4:G$5))</f>
        <v>173.75990133519682</v>
      </c>
      <c r="AF35" s="121">
        <f>$P35*(1-$R35)*(1/$Q35)*IF($O35 = "kW perparticipant",1,$S35/$T35)*(SUM('Avoided Costs'!H$4:H$5))</f>
        <v>197.84543221334289</v>
      </c>
      <c r="AG35" s="121">
        <f>$P35*(1-$R35)*(1/$Q35)*IF($O35 = "kW perparticipant",1,$S35/$T35)*(SUM('Avoided Costs'!I$4:I$5))</f>
        <v>221.93096309148899</v>
      </c>
      <c r="AH35" s="121">
        <f>$P35*(1-$R35)*(1/$Q35)*IF($O35 = "kW perparticipant",1,$S35/$T35)*(SUM('Avoided Costs'!J$4:J$5))</f>
        <v>242.57570384418565</v>
      </c>
      <c r="AI35" s="121">
        <f>$P35*(1-$R35)*(1/$Q35)*IF($O35 = "kW perparticipant",1,$S35/$T35)*(SUM('Avoided Costs'!K$4:K$5))</f>
        <v>263.22044459688232</v>
      </c>
      <c r="AJ35" s="121">
        <f>$P35*(1-$R35)*(1/$Q35)*IF($O35 = "kW perparticipant",1,$S35/$T35)*(SUM('Avoided Costs'!L$4:L$5))</f>
        <v>282.14479028685423</v>
      </c>
      <c r="AK35" s="121">
        <f>$P35*(1-$R35)*(1/$Q35)*IF($O35 = "kW perparticipant",1,$S35/$T35)*(SUM('Avoided Costs'!M$4:M$5))</f>
        <v>301.06913597682615</v>
      </c>
      <c r="AL35" s="121">
        <f>$P35*(1-$R35)*(1/$Q35)*IF($O35 = "kW perparticipant",1,$S35/$T35)*(SUM('Avoided Costs'!N$4:N$5))</f>
        <v>316.55269154134862</v>
      </c>
      <c r="AM35" s="121">
        <f>$P35*(1-$R35)*(1/$Q35)*IF($O35 = "kW perparticipant",1,$S35/$T35)*(SUM('Avoided Costs'!O$4:O$5))</f>
        <v>332.03624710587115</v>
      </c>
      <c r="AN35" s="121">
        <f>$P35*(1-$R35)*(1/$Q35)*IF($O35 = "kW perparticipant",1,$S35/$T35)*(SUM('Avoided Costs'!P$4:P$5))</f>
        <v>345.79940760766891</v>
      </c>
      <c r="AO35" s="121">
        <f>$P35*(1-$R35)*(1/$Q35)*IF($O35 = "kW perparticipant",1,$S35/$T35)*(SUM('Avoided Costs'!Q$4:Q$5))</f>
        <v>359.56256810946667</v>
      </c>
    </row>
    <row r="36" spans="1:41" ht="27.6" x14ac:dyDescent="0.25">
      <c r="A36" s="116" t="s">
        <v>160</v>
      </c>
      <c r="B36" s="117">
        <v>143.18700789516501</v>
      </c>
      <c r="C36" s="117">
        <v>241.58093509878401</v>
      </c>
      <c r="D36" s="117">
        <v>146.05074805306799</v>
      </c>
      <c r="E36" s="117">
        <v>244.913870140591</v>
      </c>
      <c r="F36" s="117">
        <v>148.97176301412901</v>
      </c>
      <c r="G36" s="117">
        <v>242.456602544379</v>
      </c>
      <c r="H36">
        <f t="shared" si="9"/>
        <v>7840</v>
      </c>
      <c r="I36">
        <f t="shared" si="10"/>
        <v>1</v>
      </c>
      <c r="J36">
        <f t="shared" si="11"/>
        <v>0</v>
      </c>
      <c r="K36" s="124"/>
      <c r="L36" t="str">
        <f t="shared" si="2"/>
        <v>DLC-Thermostat-DI-MSHPSmall Commercial</v>
      </c>
      <c r="M36" t="s">
        <v>86</v>
      </c>
      <c r="N36" t="s">
        <v>40</v>
      </c>
      <c r="O36" t="str" cm="1">
        <f t="array" ref="O36">INDEX('Unit Impact by End Use'!D:D,MATCH(1,($M36='Unit Impact by End Use'!$B:$B)*($N36='Unit Impact by End Use'!$C:$C),0))</f>
        <v>kW per participant</v>
      </c>
      <c r="P36" cm="1">
        <f t="array" ref="P36">INDEX('Unit Impact by End Use'!E:E,MATCH(1,($M36='Unit Impact by End Use'!$B:$B)*($N36='Unit Impact by End Use'!$C:$C),0))</f>
        <v>1</v>
      </c>
      <c r="Q36">
        <v>5</v>
      </c>
      <c r="R36" s="43" cm="1">
        <f t="array" ref="R36">INDEX('Opt Out Factor'!C:C,MATCH(1,($M36='Opt Out Factor'!A:A)*($N36='Opt Out Factor'!B:B),0))</f>
        <v>0.25</v>
      </c>
      <c r="S36" s="36">
        <f>SUMIFS('Winter Peak Load'!H:H,'Winter Peak Load'!B:B,N36)*1000</f>
        <v>427685.23227704066</v>
      </c>
      <c r="T36" s="36">
        <f>SUMIFS('Customer Count'!G:G,'Customer Count'!B:B,N36)</f>
        <v>37289.565769825247</v>
      </c>
      <c r="U36" s="22">
        <f t="shared" si="7"/>
        <v>6.3299999999999995E-2</v>
      </c>
      <c r="V36" s="119">
        <f t="shared" si="3"/>
        <v>2052.6572427408378</v>
      </c>
      <c r="W36" t="str">
        <f t="shared" si="12"/>
        <v>Small</v>
      </c>
      <c r="X36" s="123" t="str" cm="1">
        <f t="array" ref="X36">INDEX($B$27:$B$77,MATCH(1, (M36=$A$27:$A$77)*(W36=$C$27:$C$77),0))</f>
        <v>Smart thermostats for mini-split heat pumps | Business Energy Rebates</v>
      </c>
      <c r="Y36">
        <f t="shared" si="8"/>
        <v>51.297443925832297</v>
      </c>
      <c r="Z36">
        <f t="shared" si="4"/>
        <v>83.488331760485806</v>
      </c>
      <c r="AA36" s="43">
        <f t="shared" si="5"/>
        <v>0.97561856048948292</v>
      </c>
      <c r="AB36" s="43">
        <f t="shared" si="6"/>
        <v>0.96091636602061825</v>
      </c>
      <c r="AC36" s="43"/>
      <c r="AE36" s="121">
        <f>$P36*(1-$R36)*(1/$Q36)*IF($O36 = "kW perparticipant",1,$S36/$T36)*(SUM('Avoided Costs'!G$4:G$5))</f>
        <v>173.75990133519682</v>
      </c>
      <c r="AF36" s="121">
        <f>$P36*(1-$R36)*(1/$Q36)*IF($O36 = "kW perparticipant",1,$S36/$T36)*(SUM('Avoided Costs'!H$4:H$5))</f>
        <v>197.84543221334289</v>
      </c>
      <c r="AG36" s="121">
        <f>$P36*(1-$R36)*(1/$Q36)*IF($O36 = "kW perparticipant",1,$S36/$T36)*(SUM('Avoided Costs'!I$4:I$5))</f>
        <v>221.93096309148899</v>
      </c>
      <c r="AH36" s="121">
        <f>$P36*(1-$R36)*(1/$Q36)*IF($O36 = "kW perparticipant",1,$S36/$T36)*(SUM('Avoided Costs'!J$4:J$5))</f>
        <v>242.57570384418565</v>
      </c>
      <c r="AI36" s="121">
        <f>$P36*(1-$R36)*(1/$Q36)*IF($O36 = "kW perparticipant",1,$S36/$T36)*(SUM('Avoided Costs'!K$4:K$5))</f>
        <v>263.22044459688232</v>
      </c>
      <c r="AJ36" s="121">
        <f>$P36*(1-$R36)*(1/$Q36)*IF($O36 = "kW perparticipant",1,$S36/$T36)*(SUM('Avoided Costs'!L$4:L$5))</f>
        <v>282.14479028685423</v>
      </c>
      <c r="AK36" s="121">
        <f>$P36*(1-$R36)*(1/$Q36)*IF($O36 = "kW perparticipant",1,$S36/$T36)*(SUM('Avoided Costs'!M$4:M$5))</f>
        <v>301.06913597682615</v>
      </c>
      <c r="AL36" s="121">
        <f>$P36*(1-$R36)*(1/$Q36)*IF($O36 = "kW perparticipant",1,$S36/$T36)*(SUM('Avoided Costs'!N$4:N$5))</f>
        <v>316.55269154134862</v>
      </c>
      <c r="AM36" s="121">
        <f>$P36*(1-$R36)*(1/$Q36)*IF($O36 = "kW perparticipant",1,$S36/$T36)*(SUM('Avoided Costs'!O$4:O$5))</f>
        <v>332.03624710587115</v>
      </c>
      <c r="AN36" s="121">
        <f>$P36*(1-$R36)*(1/$Q36)*IF($O36 = "kW perparticipant",1,$S36/$T36)*(SUM('Avoided Costs'!P$4:P$5))</f>
        <v>345.79940760766891</v>
      </c>
      <c r="AO36" s="121">
        <f>$P36*(1-$R36)*(1/$Q36)*IF($O36 = "kW perparticipant",1,$S36/$T36)*(SUM('Avoided Costs'!Q$4:Q$5))</f>
        <v>359.56256810946667</v>
      </c>
    </row>
    <row r="37" spans="1:41" ht="27.6" x14ac:dyDescent="0.25">
      <c r="A37" s="116" t="s">
        <v>162</v>
      </c>
      <c r="B37" s="117">
        <v>49.305501658816198</v>
      </c>
      <c r="C37" s="117">
        <v>83.186801451793599</v>
      </c>
      <c r="D37" s="117">
        <v>50.2916116919925</v>
      </c>
      <c r="E37" s="117">
        <v>84.334475648274307</v>
      </c>
      <c r="F37" s="117">
        <v>51.297443925832297</v>
      </c>
      <c r="G37" s="117">
        <v>83.488331760485806</v>
      </c>
      <c r="H37">
        <f t="shared" si="9"/>
        <v>27</v>
      </c>
      <c r="I37">
        <f t="shared" si="10"/>
        <v>0</v>
      </c>
      <c r="J37">
        <f t="shared" si="11"/>
        <v>1</v>
      </c>
      <c r="K37" s="124"/>
      <c r="L37" t="str">
        <f t="shared" si="2"/>
        <v>DLC-Thermostat-BYOT-MSHPSmall Commercial</v>
      </c>
      <c r="M37" t="s">
        <v>87</v>
      </c>
      <c r="N37" t="s">
        <v>40</v>
      </c>
      <c r="O37" t="str" cm="1">
        <f t="array" ref="O37">INDEX('Unit Impact by End Use'!D:D,MATCH(1,($M37='Unit Impact by End Use'!$B:$B)*($N37='Unit Impact by End Use'!$C:$C),0))</f>
        <v>kW per participant</v>
      </c>
      <c r="P37" cm="1">
        <f t="array" ref="P37">INDEX('Unit Impact by End Use'!E:E,MATCH(1,($M37='Unit Impact by End Use'!$B:$B)*($N37='Unit Impact by End Use'!$C:$C),0))</f>
        <v>1</v>
      </c>
      <c r="Q37">
        <v>5</v>
      </c>
      <c r="R37" s="43" cm="1">
        <f t="array" ref="R37">INDEX('Opt Out Factor'!C:C,MATCH(1,($M37='Opt Out Factor'!A:A)*($N37='Opt Out Factor'!B:B),0))</f>
        <v>0.25</v>
      </c>
      <c r="S37" s="36">
        <f>SUMIFS('Winter Peak Load'!H:H,'Winter Peak Load'!B:B,N37)*1000</f>
        <v>427685.23227704066</v>
      </c>
      <c r="T37" s="36">
        <f>SUMIFS('Customer Count'!G:G,'Customer Count'!B:B,N37)</f>
        <v>37289.565769825247</v>
      </c>
      <c r="U37" s="22">
        <f t="shared" si="7"/>
        <v>6.3299999999999995E-2</v>
      </c>
      <c r="V37" s="119">
        <f t="shared" si="3"/>
        <v>2052.6572427408378</v>
      </c>
      <c r="W37" t="str">
        <f t="shared" si="12"/>
        <v>Small</v>
      </c>
      <c r="X37" s="123" t="str" cm="1">
        <f t="array" ref="X37">INDEX($B$27:$B$77,MATCH(1, (M37=$A$27:$A$77)*(W37=$C$27:$C$77),0))</f>
        <v>Smart thermostats for mini-split heat pumps | Business Energy Rebates</v>
      </c>
      <c r="Y37">
        <f t="shared" si="8"/>
        <v>51.297443925832297</v>
      </c>
      <c r="Z37">
        <f t="shared" si="4"/>
        <v>83.488331760485806</v>
      </c>
      <c r="AA37" s="43">
        <f t="shared" si="5"/>
        <v>0.97561856048948292</v>
      </c>
      <c r="AB37" s="43">
        <f t="shared" si="6"/>
        <v>0.96091636602061825</v>
      </c>
      <c r="AC37" s="43"/>
      <c r="AE37" s="121">
        <f>$P37*(1-$R37)*(1/$Q37)*IF($O37 = "kW perparticipant",1,$S37/$T37)*(SUM('Avoided Costs'!G$4:G$5))</f>
        <v>173.75990133519682</v>
      </c>
      <c r="AF37" s="121">
        <f>$P37*(1-$R37)*(1/$Q37)*IF($O37 = "kW perparticipant",1,$S37/$T37)*(SUM('Avoided Costs'!H$4:H$5))</f>
        <v>197.84543221334289</v>
      </c>
      <c r="AG37" s="121">
        <f>$P37*(1-$R37)*(1/$Q37)*IF($O37 = "kW perparticipant",1,$S37/$T37)*(SUM('Avoided Costs'!I$4:I$5))</f>
        <v>221.93096309148899</v>
      </c>
      <c r="AH37" s="121">
        <f>$P37*(1-$R37)*(1/$Q37)*IF($O37 = "kW perparticipant",1,$S37/$T37)*(SUM('Avoided Costs'!J$4:J$5))</f>
        <v>242.57570384418565</v>
      </c>
      <c r="AI37" s="121">
        <f>$P37*(1-$R37)*(1/$Q37)*IF($O37 = "kW perparticipant",1,$S37/$T37)*(SUM('Avoided Costs'!K$4:K$5))</f>
        <v>263.22044459688232</v>
      </c>
      <c r="AJ37" s="121">
        <f>$P37*(1-$R37)*(1/$Q37)*IF($O37 = "kW perparticipant",1,$S37/$T37)*(SUM('Avoided Costs'!L$4:L$5))</f>
        <v>282.14479028685423</v>
      </c>
      <c r="AK37" s="121">
        <f>$P37*(1-$R37)*(1/$Q37)*IF($O37 = "kW perparticipant",1,$S37/$T37)*(SUM('Avoided Costs'!M$4:M$5))</f>
        <v>301.06913597682615</v>
      </c>
      <c r="AL37" s="121">
        <f>$P37*(1-$R37)*(1/$Q37)*IF($O37 = "kW perparticipant",1,$S37/$T37)*(SUM('Avoided Costs'!N$4:N$5))</f>
        <v>316.55269154134862</v>
      </c>
      <c r="AM37" s="121">
        <f>$P37*(1-$R37)*(1/$Q37)*IF($O37 = "kW perparticipant",1,$S37/$T37)*(SUM('Avoided Costs'!O$4:O$5))</f>
        <v>332.03624710587115</v>
      </c>
      <c r="AN37" s="121">
        <f>$P37*(1-$R37)*(1/$Q37)*IF($O37 = "kW perparticipant",1,$S37/$T37)*(SUM('Avoided Costs'!P$4:P$5))</f>
        <v>345.79940760766891</v>
      </c>
      <c r="AO37" s="121">
        <f>$P37*(1-$R37)*(1/$Q37)*IF($O37 = "kW perparticipant",1,$S37/$T37)*(SUM('Avoided Costs'!Q$4:Q$5))</f>
        <v>359.56256810946667</v>
      </c>
    </row>
    <row r="38" spans="1:41" ht="27.6" x14ac:dyDescent="0.25">
      <c r="A38" s="116" t="s">
        <v>194</v>
      </c>
      <c r="F38" s="124">
        <f>SUMPRODUCT($F$27:$F$37,$H$27:$H$37,$I$27:$I$37)/SUMPRODUCT($H$27:$H$37,$I$27:$I$37)</f>
        <v>170.98866698908233</v>
      </c>
      <c r="G38" s="124">
        <f>SUMPRODUCT($G$27:$G$37,$H$27:$H$37,$I$27:$I$37)/SUMPRODUCT($H$27:$H$37,$I$27:$I$37)</f>
        <v>278.28986133320535</v>
      </c>
      <c r="K38" s="124"/>
      <c r="L38" t="str">
        <f t="shared" si="2"/>
        <v>DLC-Thermostat-DI-Central Heat PumpSmall Industrial</v>
      </c>
      <c r="M38" t="s">
        <v>82</v>
      </c>
      <c r="N38" t="s">
        <v>42</v>
      </c>
      <c r="O38" t="str" cm="1">
        <f t="array" ref="O38">INDEX('Unit Impact by End Use'!D:D,MATCH(1,($M38='Unit Impact by End Use'!$B:$B)*($N38='Unit Impact by End Use'!$C:$C),0))</f>
        <v>kW per participant</v>
      </c>
      <c r="P38" cm="1">
        <f t="array" ref="P38">INDEX('Unit Impact by End Use'!E:E,MATCH(1,($M38='Unit Impact by End Use'!$B:$B)*($N38='Unit Impact by End Use'!$C:$C),0))</f>
        <v>2.42</v>
      </c>
      <c r="Q38">
        <v>5</v>
      </c>
      <c r="R38" s="43" cm="1">
        <f t="array" ref="R38">INDEX('Opt Out Factor'!C:C,MATCH(1,($M38='Opt Out Factor'!A:A)*($N38='Opt Out Factor'!B:B),0))</f>
        <v>0.05</v>
      </c>
      <c r="S38" s="36">
        <f>SUMIFS('Winter Peak Load'!H:H,'Winter Peak Load'!B:B,N38)*1000</f>
        <v>29828.400006769331</v>
      </c>
      <c r="T38" s="36">
        <f>SUMIFS('Customer Count'!G:G,'Customer Count'!B:B,N38)</f>
        <v>2136</v>
      </c>
      <c r="U38" s="22">
        <f t="shared" si="7"/>
        <v>6.3299999999999995E-2</v>
      </c>
      <c r="V38" s="119">
        <f t="shared" si="3"/>
        <v>7661.0081699124221</v>
      </c>
      <c r="W38" t="str">
        <f t="shared" si="12"/>
        <v>Small</v>
      </c>
      <c r="X38" s="123" t="str" cm="1">
        <f t="array" ref="X38">INDEX($B$27:$B$77,MATCH(1, (M38=$A$27:$A$77)*(W38=$C$27:$C$77),0))</f>
        <v>Smart thermostats for central air source heat pump  | Business Energy Rebates</v>
      </c>
      <c r="Y38">
        <f t="shared" si="8"/>
        <v>206.57619310672999</v>
      </c>
      <c r="Z38">
        <f t="shared" si="4"/>
        <v>336.209768440875</v>
      </c>
      <c r="AA38" s="43">
        <f t="shared" si="5"/>
        <v>0.9737433774364439</v>
      </c>
      <c r="AB38" s="43">
        <f t="shared" si="6"/>
        <v>0.95795915891844463</v>
      </c>
      <c r="AC38" s="43"/>
      <c r="AE38" s="121">
        <f>$P38*(1-$R38)*(1/$Q38)*IF($O38 = "kW perparticipant",1,$S38/$T38)*(SUM('Avoided Costs'!G$4:G$5))</f>
        <v>648.51354430447861</v>
      </c>
      <c r="AF38" s="121">
        <f>$P38*(1-$R38)*(1/$Q38)*IF($O38 = "kW perparticipant",1,$S38/$T38)*(SUM('Avoided Costs'!H$4:H$5))</f>
        <v>738.40651084173305</v>
      </c>
      <c r="AG38" s="121">
        <f>$P38*(1-$R38)*(1/$Q38)*IF($O38 = "kW perparticipant",1,$S38/$T38)*(SUM('Avoided Costs'!I$4:I$5))</f>
        <v>828.2994773789876</v>
      </c>
      <c r="AH38" s="121">
        <f>$P38*(1-$R38)*(1/$Q38)*IF($O38 = "kW perparticipant",1,$S38/$T38)*(SUM('Avoided Costs'!J$4:J$5))</f>
        <v>905.35059155377712</v>
      </c>
      <c r="AI38" s="121">
        <f>$P38*(1-$R38)*(1/$Q38)*IF($O38 = "kW perparticipant",1,$S38/$T38)*(SUM('Avoided Costs'!K$4:K$5))</f>
        <v>982.40170572856664</v>
      </c>
      <c r="AJ38" s="121">
        <f>$P38*(1-$R38)*(1/$Q38)*IF($O38 = "kW perparticipant",1,$S38/$T38)*(SUM('Avoided Costs'!L$4:L$5))</f>
        <v>1053.0318937221236</v>
      </c>
      <c r="AK38" s="121">
        <f>$P38*(1-$R38)*(1/$Q38)*IF($O38 = "kW perparticipant",1,$S38/$T38)*(SUM('Avoided Costs'!M$4:M$5))</f>
        <v>1123.6620817156809</v>
      </c>
      <c r="AL38" s="121">
        <f>$P38*(1-$R38)*(1/$Q38)*IF($O38 = "kW perparticipant",1,$S38/$T38)*(SUM('Avoided Costs'!N$4:N$5))</f>
        <v>1181.4504173467728</v>
      </c>
      <c r="AM38" s="121">
        <f>$P38*(1-$R38)*(1/$Q38)*IF($O38 = "kW perparticipant",1,$S38/$T38)*(SUM('Avoided Costs'!O$4:O$5))</f>
        <v>1239.238752977865</v>
      </c>
      <c r="AN38" s="121">
        <f>$P38*(1-$R38)*(1/$Q38)*IF($O38 = "kW perparticipant",1,$S38/$T38)*(SUM('Avoided Costs'!P$4:P$5))</f>
        <v>1290.6061624277247</v>
      </c>
      <c r="AO38" s="121">
        <f>$P38*(1-$R38)*(1/$Q38)*IF($O38 = "kW perparticipant",1,$S38/$T38)*(SUM('Avoided Costs'!Q$4:Q$5))</f>
        <v>1341.9735718775844</v>
      </c>
    </row>
    <row r="39" spans="1:41" ht="27.6" x14ac:dyDescent="0.25">
      <c r="A39" s="116" t="s">
        <v>195</v>
      </c>
      <c r="F39" s="124">
        <f>SUMPRODUCT($F$27:$F$37,$H$27:$H$37,$J$27:$J$37)/SUMPRODUCT($H$27:$H$37,$J$27:$J$37)</f>
        <v>161.16058241929801</v>
      </c>
      <c r="G39" s="124">
        <f>SUMPRODUCT($G$27:$G$37,$H$27:$H$37,$J$27:$J$37)/SUMPRODUCT($H$27:$H$37,$J$27:$J$37)</f>
        <v>262.29431998969051</v>
      </c>
      <c r="L39" t="str">
        <f t="shared" si="2"/>
        <v>DLC-Thermostat-BYOT-Central Heat PumpSmall Industrial</v>
      </c>
      <c r="M39" t="s">
        <v>83</v>
      </c>
      <c r="N39" t="s">
        <v>42</v>
      </c>
      <c r="O39" t="str" cm="1">
        <f t="array" ref="O39">INDEX('Unit Impact by End Use'!D:D,MATCH(1,($M39='Unit Impact by End Use'!$B:$B)*($N39='Unit Impact by End Use'!$C:$C),0))</f>
        <v>kW per participant</v>
      </c>
      <c r="P39" cm="1">
        <f t="array" ref="P39">INDEX('Unit Impact by End Use'!E:E,MATCH(1,($M39='Unit Impact by End Use'!$B:$B)*($N39='Unit Impact by End Use'!$C:$C),0))</f>
        <v>0</v>
      </c>
      <c r="Q39">
        <v>5</v>
      </c>
      <c r="R39" s="43" cm="1">
        <f t="array" ref="R39">INDEX('Opt Out Factor'!C:C,MATCH(1,($M39='Opt Out Factor'!A:A)*($N39='Opt Out Factor'!B:B),0))</f>
        <v>0.05</v>
      </c>
      <c r="S39" s="36">
        <f>SUMIFS('Winter Peak Load'!H:H,'Winter Peak Load'!B:B,N39)*1000</f>
        <v>29828.400006769331</v>
      </c>
      <c r="T39" s="36">
        <f>SUMIFS('Customer Count'!G:G,'Customer Count'!B:B,N39)</f>
        <v>2136</v>
      </c>
      <c r="U39" s="22">
        <f t="shared" si="7"/>
        <v>6.3299999999999995E-2</v>
      </c>
      <c r="V39" s="119">
        <f t="shared" si="3"/>
        <v>0</v>
      </c>
      <c r="W39" t="str">
        <f t="shared" si="12"/>
        <v>Small</v>
      </c>
      <c r="X39" s="123" t="str" cm="1">
        <f t="array" ref="X39">INDEX($B$27:$B$77,MATCH(1, (M39=$A$27:$A$77)*(W39=$C$27:$C$77),0))</f>
        <v>Smart thermostats for central air source heat pump  | Business Energy Rebates</v>
      </c>
      <c r="Y39">
        <f t="shared" si="8"/>
        <v>206.57619310672999</v>
      </c>
      <c r="Z39">
        <f t="shared" si="4"/>
        <v>336.209768440875</v>
      </c>
      <c r="AA39" s="43">
        <f t="shared" si="5"/>
        <v>0</v>
      </c>
      <c r="AB39" s="43">
        <f t="shared" si="6"/>
        <v>0</v>
      </c>
      <c r="AC39" s="43"/>
      <c r="AE39" s="121">
        <f>$P39*(1-$R39)*(1/$Q39)*IF($O39 = "kW perparticipant",1,$S39/$T39)*(SUM('Avoided Costs'!G$4:G$5))</f>
        <v>0</v>
      </c>
      <c r="AF39" s="121">
        <f>$P39*(1-$R39)*(1/$Q39)*IF($O39 = "kW perparticipant",1,$S39/$T39)*(SUM('Avoided Costs'!H$4:H$5))</f>
        <v>0</v>
      </c>
      <c r="AG39" s="121">
        <f>$P39*(1-$R39)*(1/$Q39)*IF($O39 = "kW perparticipant",1,$S39/$T39)*(SUM('Avoided Costs'!I$4:I$5))</f>
        <v>0</v>
      </c>
      <c r="AH39" s="121">
        <f>$P39*(1-$R39)*(1/$Q39)*IF($O39 = "kW perparticipant",1,$S39/$T39)*(SUM('Avoided Costs'!J$4:J$5))</f>
        <v>0</v>
      </c>
      <c r="AI39" s="121">
        <f>$P39*(1-$R39)*(1/$Q39)*IF($O39 = "kW perparticipant",1,$S39/$T39)*(SUM('Avoided Costs'!K$4:K$5))</f>
        <v>0</v>
      </c>
      <c r="AJ39" s="121">
        <f>$P39*(1-$R39)*(1/$Q39)*IF($O39 = "kW perparticipant",1,$S39/$T39)*(SUM('Avoided Costs'!L$4:L$5))</f>
        <v>0</v>
      </c>
      <c r="AK39" s="121">
        <f>$P39*(1-$R39)*(1/$Q39)*IF($O39 = "kW perparticipant",1,$S39/$T39)*(SUM('Avoided Costs'!M$4:M$5))</f>
        <v>0</v>
      </c>
      <c r="AL39" s="121">
        <f>$P39*(1-$R39)*(1/$Q39)*IF($O39 = "kW perparticipant",1,$S39/$T39)*(SUM('Avoided Costs'!N$4:N$5))</f>
        <v>0</v>
      </c>
      <c r="AM39" s="121">
        <f>$P39*(1-$R39)*(1/$Q39)*IF($O39 = "kW perparticipant",1,$S39/$T39)*(SUM('Avoided Costs'!O$4:O$5))</f>
        <v>0</v>
      </c>
      <c r="AN39" s="121">
        <f>$P39*(1-$R39)*(1/$Q39)*IF($O39 = "kW perparticipant",1,$S39/$T39)*(SUM('Avoided Costs'!P$4:P$5))</f>
        <v>0</v>
      </c>
      <c r="AO39" s="121">
        <f>$P39*(1-$R39)*(1/$Q39)*IF($O39 = "kW perparticipant",1,$S39/$T39)*(SUM('Avoided Costs'!Q$4:Q$5))</f>
        <v>0</v>
      </c>
    </row>
    <row r="40" spans="1:41" ht="27.6" x14ac:dyDescent="0.25">
      <c r="L40" t="str">
        <f t="shared" si="2"/>
        <v>DLC-Thermostat-DI-Baseboard HeatingSmall Industrial</v>
      </c>
      <c r="M40" t="s">
        <v>84</v>
      </c>
      <c r="N40" t="s">
        <v>42</v>
      </c>
      <c r="O40" t="str" cm="1">
        <f t="array" ref="O40">INDEX('Unit Impact by End Use'!D:D,MATCH(1,($M40='Unit Impact by End Use'!$B:$B)*($N40='Unit Impact by End Use'!$C:$C),0))</f>
        <v>kW per participant</v>
      </c>
      <c r="P40" cm="1">
        <f t="array" ref="P40">INDEX('Unit Impact by End Use'!E:E,MATCH(1,($M40='Unit Impact by End Use'!$B:$B)*($N40='Unit Impact by End Use'!$C:$C),0))</f>
        <v>1</v>
      </c>
      <c r="Q40">
        <v>5</v>
      </c>
      <c r="R40" s="43" cm="1">
        <f t="array" ref="R40">INDEX('Opt Out Factor'!C:C,MATCH(1,($M40='Opt Out Factor'!A:A)*($N40='Opt Out Factor'!B:B),0))</f>
        <v>0.05</v>
      </c>
      <c r="S40" s="36">
        <f>SUMIFS('Winter Peak Load'!H:H,'Winter Peak Load'!B:B,N40)*1000</f>
        <v>29828.400006769331</v>
      </c>
      <c r="T40" s="36">
        <f>SUMIFS('Customer Count'!G:G,'Customer Count'!B:B,N40)</f>
        <v>2136</v>
      </c>
      <c r="U40" s="22">
        <f t="shared" si="7"/>
        <v>6.3299999999999995E-2</v>
      </c>
      <c r="V40" s="119">
        <f t="shared" si="3"/>
        <v>3165.7058553357115</v>
      </c>
      <c r="W40" t="str">
        <f t="shared" si="12"/>
        <v>Small</v>
      </c>
      <c r="X40" s="123" t="str" cm="1">
        <f t="array" ref="X40">INDEX($B$27:$B$77,MATCH(1, (M40=$A$27:$A$77)*(W40=$C$27:$C$77),0))</f>
        <v>Smart thermostats for electric baseboards | Small Business Energy Solutions</v>
      </c>
      <c r="Y40">
        <f t="shared" si="8"/>
        <v>101.20847044826399</v>
      </c>
      <c r="Z40">
        <f t="shared" si="4"/>
        <v>164.72022212204001</v>
      </c>
      <c r="AA40" s="43">
        <f t="shared" si="5"/>
        <v>0.96902016387467504</v>
      </c>
      <c r="AB40" s="43">
        <f t="shared" si="6"/>
        <v>0.95054079619512899</v>
      </c>
      <c r="AC40" s="43"/>
      <c r="AE40" s="121">
        <f>$P40*(1-$R40)*(1/$Q40)*IF($O40 = "kW perparticipant",1,$S40/$T40)*(SUM('Avoided Costs'!G$4:G$5))</f>
        <v>267.98080343160274</v>
      </c>
      <c r="AF40" s="121">
        <f>$P40*(1-$R40)*(1/$Q40)*IF($O40 = "kW perparticipant",1,$S40/$T40)*(SUM('Avoided Costs'!H$4:H$5))</f>
        <v>305.12665737261699</v>
      </c>
      <c r="AG40" s="121">
        <f>$P40*(1-$R40)*(1/$Q40)*IF($O40 = "kW perparticipant",1,$S40/$T40)*(SUM('Avoided Costs'!I$4:I$5))</f>
        <v>342.27251131363124</v>
      </c>
      <c r="AH40" s="121">
        <f>$P40*(1-$R40)*(1/$Q40)*IF($O40 = "kW perparticipant",1,$S40/$T40)*(SUM('Avoided Costs'!J$4:J$5))</f>
        <v>374.11181469164347</v>
      </c>
      <c r="AI40" s="121">
        <f>$P40*(1-$R40)*(1/$Q40)*IF($O40 = "kW perparticipant",1,$S40/$T40)*(SUM('Avoided Costs'!K$4:K$5))</f>
        <v>405.95111806965565</v>
      </c>
      <c r="AJ40" s="121">
        <f>$P40*(1-$R40)*(1/$Q40)*IF($O40 = "kW perparticipant",1,$S40/$T40)*(SUM('Avoided Costs'!L$4:L$5))</f>
        <v>435.13714616616687</v>
      </c>
      <c r="AK40" s="121">
        <f>$P40*(1-$R40)*(1/$Q40)*IF($O40 = "kW perparticipant",1,$S40/$T40)*(SUM('Avoided Costs'!M$4:M$5))</f>
        <v>464.32317426267804</v>
      </c>
      <c r="AL40" s="121">
        <f>$P40*(1-$R40)*(1/$Q40)*IF($O40 = "kW perparticipant",1,$S40/$T40)*(SUM('Avoided Costs'!N$4:N$5))</f>
        <v>488.20265179618718</v>
      </c>
      <c r="AM40" s="121">
        <f>$P40*(1-$R40)*(1/$Q40)*IF($O40 = "kW perparticipant",1,$S40/$T40)*(SUM('Avoided Costs'!O$4:O$5))</f>
        <v>512.08212932969639</v>
      </c>
      <c r="AN40" s="121">
        <f>$P40*(1-$R40)*(1/$Q40)*IF($O40 = "kW perparticipant",1,$S40/$T40)*(SUM('Avoided Costs'!P$4:P$5))</f>
        <v>533.30833158170446</v>
      </c>
      <c r="AO40" s="121">
        <f>$P40*(1-$R40)*(1/$Q40)*IF($O40 = "kW perparticipant",1,$S40/$T40)*(SUM('Avoided Costs'!Q$4:Q$5))</f>
        <v>554.53453383371266</v>
      </c>
    </row>
    <row r="41" spans="1:41" ht="27.6" x14ac:dyDescent="0.25">
      <c r="L41" t="str">
        <f t="shared" si="2"/>
        <v>DLC-Thermostat-BYOT-Baseboard HeatingSmall Industrial</v>
      </c>
      <c r="M41" t="s">
        <v>85</v>
      </c>
      <c r="N41" t="s">
        <v>42</v>
      </c>
      <c r="O41" t="str" cm="1">
        <f t="array" ref="O41">INDEX('Unit Impact by End Use'!D:D,MATCH(1,($M41='Unit Impact by End Use'!$B:$B)*($N41='Unit Impact by End Use'!$C:$C),0))</f>
        <v>kW per participant</v>
      </c>
      <c r="P41" cm="1">
        <f t="array" ref="P41">INDEX('Unit Impact by End Use'!E:E,MATCH(1,($M41='Unit Impact by End Use'!$B:$B)*($N41='Unit Impact by End Use'!$C:$C),0))</f>
        <v>1</v>
      </c>
      <c r="Q41">
        <v>5</v>
      </c>
      <c r="R41" s="43" cm="1">
        <f t="array" ref="R41">INDEX('Opt Out Factor'!C:C,MATCH(1,($M41='Opt Out Factor'!A:A)*($N41='Opt Out Factor'!B:B),0))</f>
        <v>0.05</v>
      </c>
      <c r="S41" s="36">
        <f>SUMIFS('Winter Peak Load'!H:H,'Winter Peak Load'!B:B,N41)*1000</f>
        <v>29828.400006769331</v>
      </c>
      <c r="T41" s="36">
        <f>SUMIFS('Customer Count'!G:G,'Customer Count'!B:B,N41)</f>
        <v>2136</v>
      </c>
      <c r="U41" s="22">
        <f t="shared" si="7"/>
        <v>6.3299999999999995E-2</v>
      </c>
      <c r="V41" s="119">
        <f t="shared" si="3"/>
        <v>3165.7058553357115</v>
      </c>
      <c r="W41" t="str">
        <f t="shared" si="12"/>
        <v>Small</v>
      </c>
      <c r="X41" s="123" t="str" cm="1">
        <f t="array" ref="X41">INDEX($B$27:$B$77,MATCH(1, (M41=$A$27:$A$77)*(W41=$C$27:$C$77),0))</f>
        <v>Smart thermostats for electric baseboards | Small Business Energy Solutions</v>
      </c>
      <c r="Y41">
        <f t="shared" si="8"/>
        <v>101.20847044826399</v>
      </c>
      <c r="Z41">
        <f t="shared" si="4"/>
        <v>164.72022212204001</v>
      </c>
      <c r="AA41" s="43">
        <f t="shared" si="5"/>
        <v>0.96902016387467504</v>
      </c>
      <c r="AB41" s="43">
        <f t="shared" si="6"/>
        <v>0.95054079619512899</v>
      </c>
      <c r="AC41" s="43"/>
      <c r="AE41" s="121">
        <f>$P41*(1-$R41)*(1/$Q41)*IF($O41 = "kW perparticipant",1,$S41/$T41)*(SUM('Avoided Costs'!G$4:G$5))</f>
        <v>267.98080343160274</v>
      </c>
      <c r="AF41" s="121">
        <f>$P41*(1-$R41)*(1/$Q41)*IF($O41 = "kW perparticipant",1,$S41/$T41)*(SUM('Avoided Costs'!H$4:H$5))</f>
        <v>305.12665737261699</v>
      </c>
      <c r="AG41" s="121">
        <f>$P41*(1-$R41)*(1/$Q41)*IF($O41 = "kW perparticipant",1,$S41/$T41)*(SUM('Avoided Costs'!I$4:I$5))</f>
        <v>342.27251131363124</v>
      </c>
      <c r="AH41" s="121">
        <f>$P41*(1-$R41)*(1/$Q41)*IF($O41 = "kW perparticipant",1,$S41/$T41)*(SUM('Avoided Costs'!J$4:J$5))</f>
        <v>374.11181469164347</v>
      </c>
      <c r="AI41" s="121">
        <f>$P41*(1-$R41)*(1/$Q41)*IF($O41 = "kW perparticipant",1,$S41/$T41)*(SUM('Avoided Costs'!K$4:K$5))</f>
        <v>405.95111806965565</v>
      </c>
      <c r="AJ41" s="121">
        <f>$P41*(1-$R41)*(1/$Q41)*IF($O41 = "kW perparticipant",1,$S41/$T41)*(SUM('Avoided Costs'!L$4:L$5))</f>
        <v>435.13714616616687</v>
      </c>
      <c r="AK41" s="121">
        <f>$P41*(1-$R41)*(1/$Q41)*IF($O41 = "kW perparticipant",1,$S41/$T41)*(SUM('Avoided Costs'!M$4:M$5))</f>
        <v>464.32317426267804</v>
      </c>
      <c r="AL41" s="121">
        <f>$P41*(1-$R41)*(1/$Q41)*IF($O41 = "kW perparticipant",1,$S41/$T41)*(SUM('Avoided Costs'!N$4:N$5))</f>
        <v>488.20265179618718</v>
      </c>
      <c r="AM41" s="121">
        <f>$P41*(1-$R41)*(1/$Q41)*IF($O41 = "kW perparticipant",1,$S41/$T41)*(SUM('Avoided Costs'!O$4:O$5))</f>
        <v>512.08212932969639</v>
      </c>
      <c r="AN41" s="121">
        <f>$P41*(1-$R41)*(1/$Q41)*IF($O41 = "kW perparticipant",1,$S41/$T41)*(SUM('Avoided Costs'!P$4:P$5))</f>
        <v>533.30833158170446</v>
      </c>
      <c r="AO41" s="121">
        <f>$P41*(1-$R41)*(1/$Q41)*IF($O41 = "kW perparticipant",1,$S41/$T41)*(SUM('Avoided Costs'!Q$4:Q$5))</f>
        <v>554.53453383371266</v>
      </c>
    </row>
    <row r="42" spans="1:41" ht="27.6" x14ac:dyDescent="0.25">
      <c r="L42" t="str">
        <f t="shared" si="2"/>
        <v>DLC-Thermostat-DI-MSHPSmall Industrial</v>
      </c>
      <c r="M42" t="s">
        <v>86</v>
      </c>
      <c r="N42" t="s">
        <v>42</v>
      </c>
      <c r="O42" t="str" cm="1">
        <f t="array" ref="O42">INDEX('Unit Impact by End Use'!D:D,MATCH(1,($M42='Unit Impact by End Use'!$B:$B)*($N42='Unit Impact by End Use'!$C:$C),0))</f>
        <v>kW per participant</v>
      </c>
      <c r="P42" cm="1">
        <f t="array" ref="P42">INDEX('Unit Impact by End Use'!E:E,MATCH(1,($M42='Unit Impact by End Use'!$B:$B)*($N42='Unit Impact by End Use'!$C:$C),0))</f>
        <v>1</v>
      </c>
      <c r="Q42">
        <v>5</v>
      </c>
      <c r="R42" s="43" cm="1">
        <f t="array" ref="R42">INDEX('Opt Out Factor'!C:C,MATCH(1,($M42='Opt Out Factor'!A:A)*($N42='Opt Out Factor'!B:B),0))</f>
        <v>0.25</v>
      </c>
      <c r="S42" s="36">
        <f>SUMIFS('Winter Peak Load'!H:H,'Winter Peak Load'!B:B,N42)*1000</f>
        <v>29828.400006769331</v>
      </c>
      <c r="T42" s="36">
        <f>SUMIFS('Customer Count'!G:G,'Customer Count'!B:B,N42)</f>
        <v>2136</v>
      </c>
      <c r="U42" s="22">
        <f t="shared" si="7"/>
        <v>6.3299999999999995E-2</v>
      </c>
      <c r="V42" s="119">
        <f t="shared" si="3"/>
        <v>2499.24146473872</v>
      </c>
      <c r="W42" t="str">
        <f t="shared" si="12"/>
        <v>Small</v>
      </c>
      <c r="X42" s="123" t="str" cm="1">
        <f t="array" ref="X42">INDEX($B$27:$B$77,MATCH(1, (M42=$A$27:$A$77)*(W42=$C$27:$C$77),0))</f>
        <v>Smart thermostats for mini-split heat pumps | Business Energy Rebates</v>
      </c>
      <c r="Y42">
        <f t="shared" si="8"/>
        <v>51.297443925832297</v>
      </c>
      <c r="Z42">
        <f t="shared" si="4"/>
        <v>83.488331760485806</v>
      </c>
      <c r="AA42" s="43">
        <f t="shared" si="5"/>
        <v>0.97988760581084744</v>
      </c>
      <c r="AB42" s="43">
        <f t="shared" si="6"/>
        <v>0.96767438395079064</v>
      </c>
      <c r="AC42" s="43"/>
      <c r="AE42" s="121">
        <f>$P42*(1-$R42)*(1/$Q42)*IF($O42 = "kW perparticipant",1,$S42/$T42)*(SUM('Avoided Costs'!G$4:G$5))</f>
        <v>211.56379218284431</v>
      </c>
      <c r="AF42" s="121">
        <f>$P42*(1-$R42)*(1/$Q42)*IF($O42 = "kW perparticipant",1,$S42/$T42)*(SUM('Avoided Costs'!H$4:H$5))</f>
        <v>240.88946634680292</v>
      </c>
      <c r="AG42" s="121">
        <f>$P42*(1-$R42)*(1/$Q42)*IF($O42 = "kW perparticipant",1,$S42/$T42)*(SUM('Avoided Costs'!I$4:I$5))</f>
        <v>270.21514051076156</v>
      </c>
      <c r="AH42" s="121">
        <f>$P42*(1-$R42)*(1/$Q42)*IF($O42 = "kW perparticipant",1,$S42/$T42)*(SUM('Avoided Costs'!J$4:J$5))</f>
        <v>295.3514326512975</v>
      </c>
      <c r="AI42" s="121">
        <f>$P42*(1-$R42)*(1/$Q42)*IF($O42 = "kW perparticipant",1,$S42/$T42)*(SUM('Avoided Costs'!K$4:K$5))</f>
        <v>320.48772479183344</v>
      </c>
      <c r="AJ42" s="121">
        <f>$P42*(1-$R42)*(1/$Q42)*IF($O42 = "kW perparticipant",1,$S42/$T42)*(SUM('Avoided Costs'!L$4:L$5))</f>
        <v>343.5293259206581</v>
      </c>
      <c r="AK42" s="121">
        <f>$P42*(1-$R42)*(1/$Q42)*IF($O42 = "kW perparticipant",1,$S42/$T42)*(SUM('Avoided Costs'!M$4:M$5))</f>
        <v>366.57092704948269</v>
      </c>
      <c r="AL42" s="121">
        <f>$P42*(1-$R42)*(1/$Q42)*IF($O42 = "kW perparticipant",1,$S42/$T42)*(SUM('Avoided Costs'!N$4:N$5))</f>
        <v>385.42314615488465</v>
      </c>
      <c r="AM42" s="121">
        <f>$P42*(1-$R42)*(1/$Q42)*IF($O42 = "kW perparticipant",1,$S42/$T42)*(SUM('Avoided Costs'!O$4:O$5))</f>
        <v>404.27536526028666</v>
      </c>
      <c r="AN42" s="121">
        <f>$P42*(1-$R42)*(1/$Q42)*IF($O42 = "kW perparticipant",1,$S42/$T42)*(SUM('Avoided Costs'!P$4:P$5))</f>
        <v>421.03289335397727</v>
      </c>
      <c r="AO42" s="121">
        <f>$P42*(1-$R42)*(1/$Q42)*IF($O42 = "kW perparticipant",1,$S42/$T42)*(SUM('Avoided Costs'!Q$4:Q$5))</f>
        <v>437.79042144766794</v>
      </c>
    </row>
    <row r="43" spans="1:41" ht="27.6" x14ac:dyDescent="0.25">
      <c r="L43" t="str">
        <f t="shared" si="2"/>
        <v>DLC-Thermostat-BYOT-MSHPSmall Industrial</v>
      </c>
      <c r="M43" t="s">
        <v>87</v>
      </c>
      <c r="N43" t="s">
        <v>42</v>
      </c>
      <c r="O43" t="str" cm="1">
        <f t="array" ref="O43">INDEX('Unit Impact by End Use'!D:D,MATCH(1,($M43='Unit Impact by End Use'!$B:$B)*($N43='Unit Impact by End Use'!$C:$C),0))</f>
        <v>kW per participant</v>
      </c>
      <c r="P43" cm="1">
        <f t="array" ref="P43">INDEX('Unit Impact by End Use'!E:E,MATCH(1,($M43='Unit Impact by End Use'!$B:$B)*($N43='Unit Impact by End Use'!$C:$C),0))</f>
        <v>1</v>
      </c>
      <c r="Q43">
        <v>5</v>
      </c>
      <c r="R43" s="43" cm="1">
        <f t="array" ref="R43">INDEX('Opt Out Factor'!C:C,MATCH(1,($M43='Opt Out Factor'!A:A)*($N43='Opt Out Factor'!B:B),0))</f>
        <v>0.25</v>
      </c>
      <c r="S43" s="36">
        <f>SUMIFS('Winter Peak Load'!H:H,'Winter Peak Load'!B:B,N43)*1000</f>
        <v>29828.400006769331</v>
      </c>
      <c r="T43" s="36">
        <f>SUMIFS('Customer Count'!G:G,'Customer Count'!B:B,N43)</f>
        <v>2136</v>
      </c>
      <c r="U43" s="22">
        <f t="shared" si="7"/>
        <v>6.3299999999999995E-2</v>
      </c>
      <c r="V43" s="119">
        <f t="shared" si="3"/>
        <v>2499.24146473872</v>
      </c>
      <c r="W43" t="str">
        <f t="shared" si="12"/>
        <v>Small</v>
      </c>
      <c r="X43" s="123" t="str" cm="1">
        <f t="array" ref="X43">INDEX($B$27:$B$77,MATCH(1, (M43=$A$27:$A$77)*(W43=$C$27:$C$77),0))</f>
        <v>Smart thermostats for mini-split heat pumps | Business Energy Rebates</v>
      </c>
      <c r="Y43">
        <f t="shared" si="8"/>
        <v>51.297443925832297</v>
      </c>
      <c r="Z43">
        <f t="shared" si="4"/>
        <v>83.488331760485806</v>
      </c>
      <c r="AA43" s="43">
        <f t="shared" si="5"/>
        <v>0.97988760581084744</v>
      </c>
      <c r="AB43" s="43">
        <f t="shared" si="6"/>
        <v>0.96767438395079064</v>
      </c>
      <c r="AC43" s="43"/>
      <c r="AE43" s="121">
        <f>$P43*(1-$R43)*(1/$Q43)*IF($O43 = "kW perparticipant",1,$S43/$T43)*(SUM('Avoided Costs'!G$4:G$5))</f>
        <v>211.56379218284431</v>
      </c>
      <c r="AF43" s="121">
        <f>$P43*(1-$R43)*(1/$Q43)*IF($O43 = "kW perparticipant",1,$S43/$T43)*(SUM('Avoided Costs'!H$4:H$5))</f>
        <v>240.88946634680292</v>
      </c>
      <c r="AG43" s="121">
        <f>$P43*(1-$R43)*(1/$Q43)*IF($O43 = "kW perparticipant",1,$S43/$T43)*(SUM('Avoided Costs'!I$4:I$5))</f>
        <v>270.21514051076156</v>
      </c>
      <c r="AH43" s="121">
        <f>$P43*(1-$R43)*(1/$Q43)*IF($O43 = "kW perparticipant",1,$S43/$T43)*(SUM('Avoided Costs'!J$4:J$5))</f>
        <v>295.3514326512975</v>
      </c>
      <c r="AI43" s="121">
        <f>$P43*(1-$R43)*(1/$Q43)*IF($O43 = "kW perparticipant",1,$S43/$T43)*(SUM('Avoided Costs'!K$4:K$5))</f>
        <v>320.48772479183344</v>
      </c>
      <c r="AJ43" s="121">
        <f>$P43*(1-$R43)*(1/$Q43)*IF($O43 = "kW perparticipant",1,$S43/$T43)*(SUM('Avoided Costs'!L$4:L$5))</f>
        <v>343.5293259206581</v>
      </c>
      <c r="AK43" s="121">
        <f>$P43*(1-$R43)*(1/$Q43)*IF($O43 = "kW perparticipant",1,$S43/$T43)*(SUM('Avoided Costs'!M$4:M$5))</f>
        <v>366.57092704948269</v>
      </c>
      <c r="AL43" s="121">
        <f>$P43*(1-$R43)*(1/$Q43)*IF($O43 = "kW perparticipant",1,$S43/$T43)*(SUM('Avoided Costs'!N$4:N$5))</f>
        <v>385.42314615488465</v>
      </c>
      <c r="AM43" s="121">
        <f>$P43*(1-$R43)*(1/$Q43)*IF($O43 = "kW perparticipant",1,$S43/$T43)*(SUM('Avoided Costs'!O$4:O$5))</f>
        <v>404.27536526028666</v>
      </c>
      <c r="AN43" s="121">
        <f>$P43*(1-$R43)*(1/$Q43)*IF($O43 = "kW perparticipant",1,$S43/$T43)*(SUM('Avoided Costs'!P$4:P$5))</f>
        <v>421.03289335397727</v>
      </c>
      <c r="AO43" s="121">
        <f>$P43*(1-$R43)*(1/$Q43)*IF($O43 = "kW perparticipant",1,$S43/$T43)*(SUM('Avoided Costs'!Q$4:Q$5))</f>
        <v>437.79042144766794</v>
      </c>
    </row>
    <row r="44" spans="1:41" x14ac:dyDescent="0.25">
      <c r="L44" t="str">
        <f t="shared" si="2"/>
        <v>Dynamic Pricing with enabling tech.Small Commercial</v>
      </c>
      <c r="M44" t="s">
        <v>101</v>
      </c>
      <c r="N44" t="s">
        <v>40</v>
      </c>
      <c r="O44" t="str" cm="1">
        <f t="array" ref="O44">INDEX('Unit Impact by End Use'!D:D,MATCH(1,($M44='Unit Impact by End Use'!$B:$B)*($N44='Unit Impact by End Use'!$C:$C),0))</f>
        <v>% of enduse load</v>
      </c>
      <c r="P44" cm="1">
        <f t="array" ref="P44">INDEX('Unit Impact by End Use'!E:E,MATCH(1,($M44='Unit Impact by End Use'!$B:$B)*($N44='Unit Impact by End Use'!$C:$C),0))</f>
        <v>0.14250000000000002</v>
      </c>
      <c r="Q44" s="54">
        <v>1</v>
      </c>
      <c r="R44" s="43" cm="1">
        <f t="array" ref="R44">INDEX('Opt Out Factor'!C:C,MATCH(1,($M44='Opt Out Factor'!A:A)*($N44='Opt Out Factor'!B:B),0))</f>
        <v>0</v>
      </c>
      <c r="S44" s="36">
        <f>SUMIFS('Winter Peak Load'!H:H,'Winter Peak Load'!B:B,N44)*1000</f>
        <v>427685.23227704066</v>
      </c>
      <c r="T44" s="36">
        <f>SUMIFS('Customer Count'!G:G,'Customer Count'!B:B,N44)</f>
        <v>37289.565769825247</v>
      </c>
      <c r="U44" s="22">
        <f t="shared" si="7"/>
        <v>6.3299999999999995E-2</v>
      </c>
      <c r="V44" s="119">
        <f t="shared" si="3"/>
        <v>1950.0243806037956</v>
      </c>
      <c r="W44" t="str">
        <f t="shared" si="12"/>
        <v>Small</v>
      </c>
      <c r="X44" s="123" t="str" cm="1">
        <f t="array" ref="X44">INDEX($B$27:$B$77,MATCH(1, (M44=$A$27:$A$77)*(W44=$C$27:$C$77),0))</f>
        <v>Smart Tstat Res | CPP</v>
      </c>
      <c r="Y44">
        <f t="shared" si="8"/>
        <v>170.98866698908233</v>
      </c>
      <c r="Z44">
        <f t="shared" si="4"/>
        <v>278.28986133320535</v>
      </c>
      <c r="AA44" s="43">
        <f t="shared" si="5"/>
        <v>0.91938349121277863</v>
      </c>
      <c r="AB44" s="43">
        <f t="shared" si="6"/>
        <v>0.87511193165857204</v>
      </c>
      <c r="AC44" s="43"/>
      <c r="AE44" s="121">
        <f>$P44*(1-$R44)*(1/$Q44)*IF($O44 = "kW perparticipant",1,$S44/$T44)*(SUM('Avoided Costs'!G$4:G$5))</f>
        <v>165.07190626843695</v>
      </c>
      <c r="AF44" s="121">
        <f>$P44*(1-$R44)*(1/$Q44)*IF($O44 = "kW perparticipant",1,$S44/$T44)*(SUM('Avoided Costs'!H$4:H$5))</f>
        <v>187.95316060267575</v>
      </c>
      <c r="AG44" s="121">
        <f>$P44*(1-$R44)*(1/$Q44)*IF($O44 = "kW perparticipant",1,$S44/$T44)*(SUM('Avoided Costs'!I$4:I$5))</f>
        <v>210.83441493691453</v>
      </c>
      <c r="AH44" s="121">
        <f>$P44*(1-$R44)*(1/$Q44)*IF($O44 = "kW perparticipant",1,$S44/$T44)*(SUM('Avoided Costs'!J$4:J$5))</f>
        <v>230.44691865197635</v>
      </c>
      <c r="AI44" s="121">
        <f>$P44*(1-$R44)*(1/$Q44)*IF($O44 = "kW perparticipant",1,$S44/$T44)*(SUM('Avoided Costs'!K$4:K$5))</f>
        <v>250.05942236703817</v>
      </c>
      <c r="AJ44" s="121">
        <f>$P44*(1-$R44)*(1/$Q44)*IF($O44 = "kW perparticipant",1,$S44/$T44)*(SUM('Avoided Costs'!L$4:L$5))</f>
        <v>268.03755077251151</v>
      </c>
      <c r="AK44" s="121">
        <f>$P44*(1-$R44)*(1/$Q44)*IF($O44 = "kW perparticipant",1,$S44/$T44)*(SUM('Avoided Costs'!M$4:M$5))</f>
        <v>286.01567917798485</v>
      </c>
      <c r="AL44" s="121">
        <f>$P44*(1-$R44)*(1/$Q44)*IF($O44 = "kW perparticipant",1,$S44/$T44)*(SUM('Avoided Costs'!N$4:N$5))</f>
        <v>300.72505696428118</v>
      </c>
      <c r="AM44" s="121">
        <f>$P44*(1-$R44)*(1/$Q44)*IF($O44 = "kW perparticipant",1,$S44/$T44)*(SUM('Avoided Costs'!O$4:O$5))</f>
        <v>315.43443475057757</v>
      </c>
      <c r="AN44" s="121">
        <f>$P44*(1-$R44)*(1/$Q44)*IF($O44 = "kW perparticipant",1,$S44/$T44)*(SUM('Avoided Costs'!P$4:P$5))</f>
        <v>328.50943722728545</v>
      </c>
      <c r="AO44" s="121">
        <f>$P44*(1-$R44)*(1/$Q44)*IF($O44 = "kW perparticipant",1,$S44/$T44)*(SUM('Avoided Costs'!Q$4:Q$5))</f>
        <v>341.58443970399333</v>
      </c>
    </row>
    <row r="45" spans="1:41" x14ac:dyDescent="0.25">
      <c r="L45" t="str">
        <f t="shared" si="2"/>
        <v>Dynamic Pricing with enabling tech.Large Commercial</v>
      </c>
      <c r="M45" t="s">
        <v>101</v>
      </c>
      <c r="N45" t="s">
        <v>41</v>
      </c>
      <c r="O45" t="str" cm="1">
        <f t="array" ref="O45">INDEX('Unit Impact by End Use'!D:D,MATCH(1,($M45='Unit Impact by End Use'!$B:$B)*($N45='Unit Impact by End Use'!$C:$C),0))</f>
        <v>% of enduse load</v>
      </c>
      <c r="P45" cm="1">
        <f t="array" ref="P45">INDEX('Unit Impact by End Use'!E:E,MATCH(1,($M45='Unit Impact by End Use'!$B:$B)*($N45='Unit Impact by End Use'!$C:$C),0))</f>
        <v>0.19</v>
      </c>
      <c r="Q45" s="54">
        <v>1</v>
      </c>
      <c r="R45" s="43" cm="1">
        <f t="array" ref="R45">INDEX('Opt Out Factor'!C:C,MATCH(1,($M45='Opt Out Factor'!A:A)*($N45='Opt Out Factor'!B:B),0))</f>
        <v>0</v>
      </c>
      <c r="S45" s="36">
        <f>SUMIFS('Winter Peak Load'!H:H,'Winter Peak Load'!B:B,N45)*1000</f>
        <v>966222.5373194603</v>
      </c>
      <c r="T45" s="36">
        <f>SUMIFS('Customer Count'!G:G,'Customer Count'!B:B,N45)</f>
        <v>1257.4342301747397</v>
      </c>
      <c r="U45" s="22">
        <f t="shared" si="7"/>
        <v>6.3299999999999995E-2</v>
      </c>
      <c r="V45" s="119">
        <f t="shared" si="3"/>
        <v>174194.21742911605</v>
      </c>
      <c r="W45" t="str">
        <f t="shared" si="12"/>
        <v>Large</v>
      </c>
      <c r="X45" s="123" t="e" cm="1">
        <f t="array" ref="X45">INDEX($B$27:$B$77,MATCH(1, (M45=$A$27:$A$77)*(W45=$C$27:$C$77),0))</f>
        <v>#N/A</v>
      </c>
      <c r="Y45" t="e">
        <f t="shared" si="8"/>
        <v>#N/A</v>
      </c>
      <c r="Z45" t="e">
        <f t="shared" si="4"/>
        <v>#N/A</v>
      </c>
      <c r="AA45" s="43">
        <f t="shared" si="5"/>
        <v>0</v>
      </c>
      <c r="AB45" s="43">
        <f t="shared" si="6"/>
        <v>0</v>
      </c>
      <c r="AC45" s="43"/>
      <c r="AE45" s="121">
        <f>$P45*(1-$R45)*(1/$Q45)*IF($O45 = "kW perparticipant",1,$S45/$T45)*(SUM('Avoided Costs'!G$4:G$5))</f>
        <v>14745.749754707866</v>
      </c>
      <c r="AF45" s="121">
        <f>$P45*(1-$R45)*(1/$Q45)*IF($O45 = "kW perparticipant",1,$S45/$T45)*(SUM('Avoided Costs'!H$4:H$5))</f>
        <v>16789.715067241628</v>
      </c>
      <c r="AG45" s="121">
        <f>$P45*(1-$R45)*(1/$Q45)*IF($O45 = "kW perparticipant",1,$S45/$T45)*(SUM('Avoided Costs'!I$4:I$5))</f>
        <v>18833.680379775393</v>
      </c>
      <c r="AH45" s="121">
        <f>$P45*(1-$R45)*(1/$Q45)*IF($O45 = "kW perparticipant",1,$S45/$T45)*(SUM('Avoided Costs'!J$4:J$5))</f>
        <v>20585.650647661478</v>
      </c>
      <c r="AI45" s="121">
        <f>$P45*(1-$R45)*(1/$Q45)*IF($O45 = "kW perparticipant",1,$S45/$T45)*(SUM('Avoided Costs'!K$4:K$5))</f>
        <v>22337.620915547559</v>
      </c>
      <c r="AJ45" s="121">
        <f>$P45*(1-$R45)*(1/$Q45)*IF($O45 = "kW perparticipant",1,$S45/$T45)*(SUM('Avoided Costs'!L$4:L$5))</f>
        <v>23943.5936611098</v>
      </c>
      <c r="AK45" s="121">
        <f>$P45*(1-$R45)*(1/$Q45)*IF($O45 = "kW perparticipant",1,$S45/$T45)*(SUM('Avoided Costs'!M$4:M$5))</f>
        <v>25549.566406672046</v>
      </c>
      <c r="AL45" s="121">
        <f>$P45*(1-$R45)*(1/$Q45)*IF($O45 = "kW perparticipant",1,$S45/$T45)*(SUM('Avoided Costs'!N$4:N$5))</f>
        <v>26863.544107586607</v>
      </c>
      <c r="AM45" s="121">
        <f>$P45*(1-$R45)*(1/$Q45)*IF($O45 = "kW perparticipant",1,$S45/$T45)*(SUM('Avoided Costs'!O$4:O$5))</f>
        <v>28177.521808501169</v>
      </c>
      <c r="AN45" s="121">
        <f>$P45*(1-$R45)*(1/$Q45)*IF($O45 = "kW perparticipant",1,$S45/$T45)*(SUM('Avoided Costs'!P$4:P$5))</f>
        <v>29345.501987091891</v>
      </c>
      <c r="AO45" s="121">
        <f>$P45*(1-$R45)*(1/$Q45)*IF($O45 = "kW perparticipant",1,$S45/$T45)*(SUM('Avoided Costs'!Q$4:Q$5))</f>
        <v>30513.482165682613</v>
      </c>
    </row>
    <row r="46" spans="1:41" ht="17.399999999999999" thickBot="1" x14ac:dyDescent="0.35">
      <c r="A46" s="122" t="s">
        <v>196</v>
      </c>
      <c r="L46" t="str">
        <f t="shared" si="2"/>
        <v>Dynamic Pricing with enabling tech.Small Industrial</v>
      </c>
      <c r="M46" t="s">
        <v>101</v>
      </c>
      <c r="N46" t="s">
        <v>42</v>
      </c>
      <c r="O46" t="str" cm="1">
        <f t="array" ref="O46">INDEX('Unit Impact by End Use'!D:D,MATCH(1,($M46='Unit Impact by End Use'!$B:$B)*($N46='Unit Impact by End Use'!$C:$C),0))</f>
        <v>% of enduse load</v>
      </c>
      <c r="P46" cm="1">
        <f t="array" ref="P46">INDEX('Unit Impact by End Use'!E:E,MATCH(1,($M46='Unit Impact by End Use'!$B:$B)*($N46='Unit Impact by End Use'!$C:$C),0))</f>
        <v>0.14250000000000002</v>
      </c>
      <c r="Q46" s="54">
        <v>1</v>
      </c>
      <c r="R46" s="43" cm="1">
        <f t="array" ref="R46">INDEX('Opt Out Factor'!C:C,MATCH(1,($M46='Opt Out Factor'!A:A)*($N46='Opt Out Factor'!B:B),0))</f>
        <v>0</v>
      </c>
      <c r="S46" s="36">
        <f>SUMIFS('Winter Peak Load'!H:H,'Winter Peak Load'!B:B,N46)*1000</f>
        <v>29828.400006769331</v>
      </c>
      <c r="T46" s="36">
        <f>SUMIFS('Customer Count'!G:G,'Customer Count'!B:B,N46)</f>
        <v>2136</v>
      </c>
      <c r="U46" s="22">
        <f t="shared" si="7"/>
        <v>6.3299999999999995E-2</v>
      </c>
      <c r="V46" s="119">
        <f t="shared" si="3"/>
        <v>2374.2793915017837</v>
      </c>
      <c r="W46" t="str">
        <f t="shared" si="12"/>
        <v>Small</v>
      </c>
      <c r="X46" s="123" t="str" cm="1">
        <f t="array" ref="X46">INDEX($B$27:$B$77,MATCH(1, (M46=$A$27:$A$77)*(W46=$C$27:$C$77),0))</f>
        <v>Smart Tstat Res | CPP</v>
      </c>
      <c r="Y46">
        <f t="shared" si="8"/>
        <v>170.98866698908233</v>
      </c>
      <c r="Z46">
        <f t="shared" si="4"/>
        <v>278.28986133320535</v>
      </c>
      <c r="AA46" s="43">
        <f t="shared" si="5"/>
        <v>0.93282095910539786</v>
      </c>
      <c r="AB46" s="43">
        <f t="shared" si="6"/>
        <v>0.89508667453798718</v>
      </c>
      <c r="AC46" s="43"/>
      <c r="AE46" s="121">
        <f>$P46*(1-$R46)*(1/$Q46)*IF($O46 = "kW perparticipant",1,$S46/$T46)*(SUM('Avoided Costs'!G$4:G$5))</f>
        <v>200.9856025737021</v>
      </c>
      <c r="AF46" s="121">
        <f>$P46*(1-$R46)*(1/$Q46)*IF($O46 = "kW perparticipant",1,$S46/$T46)*(SUM('Avoided Costs'!H$4:H$5))</f>
        <v>228.84499302946276</v>
      </c>
      <c r="AG46" s="121">
        <f>$P46*(1-$R46)*(1/$Q46)*IF($O46 = "kW perparticipant",1,$S46/$T46)*(SUM('Avoided Costs'!I$4:I$5))</f>
        <v>256.70438348522345</v>
      </c>
      <c r="AH46" s="121">
        <f>$P46*(1-$R46)*(1/$Q46)*IF($O46 = "kW perparticipant",1,$S46/$T46)*(SUM('Avoided Costs'!J$4:J$5))</f>
        <v>280.58386101873259</v>
      </c>
      <c r="AI46" s="121">
        <f>$P46*(1-$R46)*(1/$Q46)*IF($O46 = "kW perparticipant",1,$S46/$T46)*(SUM('Avoided Costs'!K$4:K$5))</f>
        <v>304.46333855224179</v>
      </c>
      <c r="AJ46" s="121">
        <f>$P46*(1-$R46)*(1/$Q46)*IF($O46 = "kW perparticipant",1,$S46/$T46)*(SUM('Avoided Costs'!L$4:L$5))</f>
        <v>326.35285962462518</v>
      </c>
      <c r="AK46" s="121">
        <f>$P46*(1-$R46)*(1/$Q46)*IF($O46 = "kW perparticipant",1,$S46/$T46)*(SUM('Avoided Costs'!M$4:M$5))</f>
        <v>348.24238069700857</v>
      </c>
      <c r="AL46" s="121">
        <f>$P46*(1-$R46)*(1/$Q46)*IF($O46 = "kW perparticipant",1,$S46/$T46)*(SUM('Avoided Costs'!N$4:N$5))</f>
        <v>366.15198884714044</v>
      </c>
      <c r="AM46" s="121">
        <f>$P46*(1-$R46)*(1/$Q46)*IF($O46 = "kW perparticipant",1,$S46/$T46)*(SUM('Avoided Costs'!O$4:O$5))</f>
        <v>384.06159699727232</v>
      </c>
      <c r="AN46" s="121">
        <f>$P46*(1-$R46)*(1/$Q46)*IF($O46 = "kW perparticipant",1,$S46/$T46)*(SUM('Avoided Costs'!P$4:P$5))</f>
        <v>399.98124868627838</v>
      </c>
      <c r="AO46" s="121">
        <f>$P46*(1-$R46)*(1/$Q46)*IF($O46 = "kW perparticipant",1,$S46/$T46)*(SUM('Avoided Costs'!Q$4:Q$5))</f>
        <v>415.90090037528449</v>
      </c>
    </row>
    <row r="47" spans="1:41" ht="14.4" thickTop="1" x14ac:dyDescent="0.25">
      <c r="A47" t="s">
        <v>197</v>
      </c>
      <c r="B47" t="s">
        <v>198</v>
      </c>
      <c r="C47" t="s">
        <v>182</v>
      </c>
      <c r="L47" t="str">
        <f t="shared" si="2"/>
        <v>Dynamic Pricing with enabling tech.Large Industrial</v>
      </c>
      <c r="M47" t="s">
        <v>101</v>
      </c>
      <c r="N47" t="s">
        <v>43</v>
      </c>
      <c r="O47" t="str" cm="1">
        <f t="array" ref="O47">INDEX('Unit Impact by End Use'!D:D,MATCH(1,($M47='Unit Impact by End Use'!$B:$B)*($N47='Unit Impact by End Use'!$C:$C),0))</f>
        <v>% of enduse load</v>
      </c>
      <c r="P47" cm="1">
        <f t="array" ref="P47">INDEX('Unit Impact by End Use'!E:E,MATCH(1,($M47='Unit Impact by End Use'!$B:$B)*($N47='Unit Impact by End Use'!$C:$C),0))</f>
        <v>0.19</v>
      </c>
      <c r="Q47" s="54">
        <v>1</v>
      </c>
      <c r="R47" s="43" cm="1">
        <f t="array" ref="R47">INDEX('Opt Out Factor'!C:C,MATCH(1,($M47='Opt Out Factor'!A:A)*($N47='Opt Out Factor'!B:B),0))</f>
        <v>0</v>
      </c>
      <c r="S47" s="36">
        <f>SUMIFS('Winter Peak Load'!H:H,'Winter Peak Load'!B:B,N47)*1000</f>
        <v>72684.918332825036</v>
      </c>
      <c r="T47" s="36">
        <f>SUMIFS('Customer Count'!G:G,'Customer Count'!B:B,N47)</f>
        <v>189</v>
      </c>
      <c r="U47" s="22">
        <f t="shared" si="7"/>
        <v>6.3299999999999995E-2</v>
      </c>
      <c r="V47" s="119">
        <f t="shared" si="3"/>
        <v>87181.503019560419</v>
      </c>
      <c r="W47" t="str">
        <f t="shared" si="12"/>
        <v>Large</v>
      </c>
      <c r="X47" s="123" t="e" cm="1">
        <f t="array" ref="X47">INDEX($B$27:$B$77,MATCH(1, (M47=$A$27:$A$77)*(W47=$C$27:$C$77),0))</f>
        <v>#N/A</v>
      </c>
      <c r="Y47" t="e">
        <f t="shared" si="8"/>
        <v>#N/A</v>
      </c>
      <c r="Z47" t="e">
        <f t="shared" si="4"/>
        <v>#N/A</v>
      </c>
      <c r="AA47" s="43">
        <f t="shared" si="5"/>
        <v>0</v>
      </c>
      <c r="AB47" s="43">
        <f t="shared" si="6"/>
        <v>0</v>
      </c>
      <c r="AC47" s="43"/>
      <c r="AE47" s="121">
        <f>$P47*(1-$R47)*(1/$Q47)*IF($O47 = "kW perparticipant",1,$S47/$T47)*(SUM('Avoided Costs'!G$4:G$5))</f>
        <v>7380.0189566503304</v>
      </c>
      <c r="AF47" s="121">
        <f>$P47*(1-$R47)*(1/$Q47)*IF($O47 = "kW perparticipant",1,$S47/$T47)*(SUM('Avoided Costs'!H$4:H$5))</f>
        <v>8402.9918813345357</v>
      </c>
      <c r="AG47" s="121">
        <f>$P47*(1-$R47)*(1/$Q47)*IF($O47 = "kW perparticipant",1,$S47/$T47)*(SUM('Avoided Costs'!I$4:I$5))</f>
        <v>9425.9648060187392</v>
      </c>
      <c r="AH47" s="121">
        <f>$P47*(1-$R47)*(1/$Q47)*IF($O47 = "kW perparticipant",1,$S47/$T47)*(SUM('Avoided Costs'!J$4:J$5))</f>
        <v>10302.798741462342</v>
      </c>
      <c r="AI47" s="121">
        <f>$P47*(1-$R47)*(1/$Q47)*IF($O47 = "kW perparticipant",1,$S47/$T47)*(SUM('Avoided Costs'!K$4:K$5))</f>
        <v>11179.632676905947</v>
      </c>
      <c r="AJ47" s="121">
        <f>$P47*(1-$R47)*(1/$Q47)*IF($O47 = "kW perparticipant",1,$S47/$T47)*(SUM('Avoided Costs'!L$4:L$5))</f>
        <v>11983.39711772925</v>
      </c>
      <c r="AK47" s="121">
        <f>$P47*(1-$R47)*(1/$Q47)*IF($O47 = "kW perparticipant",1,$S47/$T47)*(SUM('Avoided Costs'!M$4:M$5))</f>
        <v>12787.161558552552</v>
      </c>
      <c r="AL47" s="121">
        <f>$P47*(1-$R47)*(1/$Q47)*IF($O47 = "kW perparticipant",1,$S47/$T47)*(SUM('Avoided Costs'!N$4:N$5))</f>
        <v>13444.787010135256</v>
      </c>
      <c r="AM47" s="121">
        <f>$P47*(1-$R47)*(1/$Q47)*IF($O47 = "kW perparticipant",1,$S47/$T47)*(SUM('Avoided Costs'!O$4:O$5))</f>
        <v>14102.412461717959</v>
      </c>
      <c r="AN47" s="121">
        <f>$P47*(1-$R47)*(1/$Q47)*IF($O47 = "kW perparticipant",1,$S47/$T47)*(SUM('Avoided Costs'!P$4:P$5))</f>
        <v>14686.968418680361</v>
      </c>
      <c r="AO47" s="121">
        <f>$P47*(1-$R47)*(1/$Q47)*IF($O47 = "kW perparticipant",1,$S47/$T47)*(SUM('Avoided Costs'!Q$4:Q$5))</f>
        <v>15271.524375642764</v>
      </c>
    </row>
    <row r="48" spans="1:41" x14ac:dyDescent="0.25">
      <c r="A48" t="s">
        <v>90</v>
      </c>
      <c r="B48" t="s">
        <v>199</v>
      </c>
      <c r="C48" t="s">
        <v>200</v>
      </c>
      <c r="L48" t="str">
        <f t="shared" si="2"/>
        <v>Dynamic Pricing with enabling tech.Interruptible Rider</v>
      </c>
      <c r="M48" t="s">
        <v>101</v>
      </c>
      <c r="N48" t="s">
        <v>44</v>
      </c>
      <c r="O48" t="str" cm="1">
        <f t="array" ref="O48">INDEX('Unit Impact by End Use'!D:D,MATCH(1,($M48='Unit Impact by End Use'!$B:$B)*($N48='Unit Impact by End Use'!$C:$C),0))</f>
        <v>% of enduse load</v>
      </c>
      <c r="P48" cm="1">
        <f t="array" ref="P48">INDEX('Unit Impact by End Use'!E:E,MATCH(1,($M48='Unit Impact by End Use'!$B:$B)*($N48='Unit Impact by End Use'!$C:$C),0))</f>
        <v>9.5000000000000001E-2</v>
      </c>
      <c r="Q48" s="54">
        <v>1</v>
      </c>
      <c r="R48" s="43" cm="1">
        <f t="array" ref="R48">INDEX('Opt Out Factor'!C:C,MATCH(1,($M48='Opt Out Factor'!A:A)*($N48='Opt Out Factor'!B:B),0))</f>
        <v>0</v>
      </c>
      <c r="S48" s="36">
        <f>SUMIFS('Winter Peak Load'!H:H,'Winter Peak Load'!B:B,N48)*1000</f>
        <v>77686.266357262706</v>
      </c>
      <c r="T48" s="36">
        <f>SUMIFS('Customer Count'!G:G,'Customer Count'!B:B,N48)</f>
        <v>23</v>
      </c>
      <c r="U48" s="22">
        <f t="shared" si="7"/>
        <v>6.3299999999999995E-2</v>
      </c>
      <c r="V48" s="119">
        <f t="shared" si="3"/>
        <v>382849.66132396273</v>
      </c>
      <c r="W48" t="str">
        <f t="shared" si="12"/>
        <v>Interruptible Rider</v>
      </c>
      <c r="X48" s="123" t="e" cm="1">
        <f t="array" ref="X48">INDEX($B$27:$B$77,MATCH(1, (M48=$A$27:$A$77)*(W48=$C$27:$C$77),0))</f>
        <v>#N/A</v>
      </c>
      <c r="Y48" t="e">
        <f t="shared" si="8"/>
        <v>#N/A</v>
      </c>
      <c r="Z48" t="e">
        <f t="shared" si="4"/>
        <v>#N/A</v>
      </c>
      <c r="AA48" s="43">
        <f t="shared" si="5"/>
        <v>0</v>
      </c>
      <c r="AB48" s="43">
        <f t="shared" si="6"/>
        <v>0</v>
      </c>
      <c r="AC48" s="43"/>
      <c r="AE48" s="121">
        <f>$P48*(1-$R48)*(1/$Q48)*IF($O48 = "kW perparticipant",1,$S48/$T48)*(SUM('Avoided Costs'!G$4:G$5))</f>
        <v>32408.683725997205</v>
      </c>
      <c r="AF48" s="121">
        <f>$P48*(1-$R48)*(1/$Q48)*IF($O48 = "kW perparticipant",1,$S48/$T48)*(SUM('Avoided Costs'!H$4:H$5))</f>
        <v>36900.976519699791</v>
      </c>
      <c r="AG48" s="121">
        <f>$P48*(1-$R48)*(1/$Q48)*IF($O48 = "kW perparticipant",1,$S48/$T48)*(SUM('Avoided Costs'!I$4:I$5))</f>
        <v>41393.269313402372</v>
      </c>
      <c r="AH48" s="121">
        <f>$P48*(1-$R48)*(1/$Q48)*IF($O48 = "kW perparticipant",1,$S48/$T48)*(SUM('Avoided Costs'!J$4:J$5))</f>
        <v>45243.805993718866</v>
      </c>
      <c r="AI48" s="121">
        <f>$P48*(1-$R48)*(1/$Q48)*IF($O48 = "kW perparticipant",1,$S48/$T48)*(SUM('Avoided Costs'!K$4:K$5))</f>
        <v>49094.342674035368</v>
      </c>
      <c r="AJ48" s="121">
        <f>$P48*(1-$R48)*(1/$Q48)*IF($O48 = "kW perparticipant",1,$S48/$T48)*(SUM('Avoided Costs'!L$4:L$5))</f>
        <v>52624.001297658826</v>
      </c>
      <c r="AK48" s="121">
        <f>$P48*(1-$R48)*(1/$Q48)*IF($O48 = "kW perparticipant",1,$S48/$T48)*(SUM('Avoided Costs'!M$4:M$5))</f>
        <v>56153.659921282284</v>
      </c>
      <c r="AL48" s="121">
        <f>$P48*(1-$R48)*(1/$Q48)*IF($O48 = "kW perparticipant",1,$S48/$T48)*(SUM('Avoided Costs'!N$4:N$5))</f>
        <v>59041.562431519662</v>
      </c>
      <c r="AM48" s="121">
        <f>$P48*(1-$R48)*(1/$Q48)*IF($O48 = "kW perparticipant",1,$S48/$T48)*(SUM('Avoided Costs'!O$4:O$5))</f>
        <v>61929.464941757033</v>
      </c>
      <c r="AN48" s="121">
        <f>$P48*(1-$R48)*(1/$Q48)*IF($O48 = "kW perparticipant",1,$S48/$T48)*(SUM('Avoided Costs'!P$4:P$5))</f>
        <v>64496.489395301367</v>
      </c>
      <c r="AO48" s="121">
        <f>$P48*(1-$R48)*(1/$Q48)*IF($O48 = "kW perparticipant",1,$S48/$T48)*(SUM('Avoided Costs'!Q$4:Q$5))</f>
        <v>67063.513848845701</v>
      </c>
    </row>
    <row r="49" spans="1:41" x14ac:dyDescent="0.25">
      <c r="A49" t="s">
        <v>96</v>
      </c>
      <c r="B49" t="s">
        <v>199</v>
      </c>
      <c r="C49" t="s">
        <v>200</v>
      </c>
      <c r="L49" t="str">
        <f t="shared" si="2"/>
        <v>Dynamic Pricing with enabling tech.Residential</v>
      </c>
      <c r="M49" t="s">
        <v>101</v>
      </c>
      <c r="N49" t="s">
        <v>45</v>
      </c>
      <c r="O49" t="str" cm="1">
        <f t="array" ref="O49">INDEX('Unit Impact by End Use'!D:D,MATCH(1,($M49='Unit Impact by End Use'!$B:$B)*($N49='Unit Impact by End Use'!$C:$C),0))</f>
        <v>% of enduse load</v>
      </c>
      <c r="P49" cm="1">
        <f t="array" ref="P49">INDEX('Unit Impact by End Use'!E:E,MATCH(1,($M49='Unit Impact by End Use'!$B:$B)*($N49='Unit Impact by End Use'!$C:$C),0))</f>
        <v>0.19</v>
      </c>
      <c r="Q49" s="54">
        <v>1</v>
      </c>
      <c r="R49" s="43" cm="1">
        <f t="array" ref="R49">INDEX('Opt Out Factor'!C:C,MATCH(1,($M49='Opt Out Factor'!A:A)*($N49='Opt Out Factor'!B:B),0))</f>
        <v>0</v>
      </c>
      <c r="S49" s="36">
        <f>SUMIFS('Winter Peak Load'!H:H,'Winter Peak Load'!B:B,N49)*1000</f>
        <v>1611800.1649159668</v>
      </c>
      <c r="T49" s="36">
        <f>SUMIFS('Customer Count'!G:G,'Customer Count'!B:B,N49)</f>
        <v>490837</v>
      </c>
      <c r="U49" s="22">
        <f t="shared" si="7"/>
        <v>6.3299999999999995E-2</v>
      </c>
      <c r="V49" s="119">
        <f t="shared" si="3"/>
        <v>744.4160912428722</v>
      </c>
      <c r="W49" t="str">
        <f t="shared" si="12"/>
        <v>Residential</v>
      </c>
      <c r="X49" s="123" t="str" cm="1">
        <f t="array" ref="X49">INDEX($B$27:$B$77,MATCH(1, (M49=$A$27:$A$77)*(W49=$C$27:$C$77),0))</f>
        <v>Smart Tstat C&amp;I | CPP</v>
      </c>
      <c r="Y49">
        <f t="shared" si="8"/>
        <v>161.16058241929801</v>
      </c>
      <c r="Z49">
        <f t="shared" si="4"/>
        <v>262.29431998969051</v>
      </c>
      <c r="AA49" s="43">
        <f t="shared" si="5"/>
        <v>0.82203540892063687</v>
      </c>
      <c r="AB49" s="43">
        <f t="shared" si="6"/>
        <v>0.73945405047659007</v>
      </c>
      <c r="AC49" s="43"/>
      <c r="AE49" s="121">
        <f>$P49*(1-$R49)*(1/$Q49)*IF($O49 = "kW perparticipant",1,$S49/$T49)*(SUM('Avoided Costs'!G$4:G$5))</f>
        <v>63.015716347254596</v>
      </c>
      <c r="AF49" s="121">
        <f>$P49*(1-$R49)*(1/$Q49)*IF($O49 = "kW perparticipant",1,$S49/$T49)*(SUM('Avoided Costs'!H$4:H$5))</f>
        <v>71.750568118161169</v>
      </c>
      <c r="AG49" s="121">
        <f>$P49*(1-$R49)*(1/$Q49)*IF($O49 = "kW perparticipant",1,$S49/$T49)*(SUM('Avoided Costs'!I$4:I$5))</f>
        <v>80.485419889067757</v>
      </c>
      <c r="AH49" s="121">
        <f>$P49*(1-$R49)*(1/$Q49)*IF($O49 = "kW perparticipant",1,$S49/$T49)*(SUM('Avoided Costs'!J$4:J$5))</f>
        <v>87.972435692701964</v>
      </c>
      <c r="AI49" s="121">
        <f>$P49*(1-$R49)*(1/$Q49)*IF($O49 = "kW perparticipant",1,$S49/$T49)*(SUM('Avoided Costs'!K$4:K$5))</f>
        <v>95.459451496336172</v>
      </c>
      <c r="AJ49" s="121">
        <f>$P49*(1-$R49)*(1/$Q49)*IF($O49 = "kW perparticipant",1,$S49/$T49)*(SUM('Avoided Costs'!L$4:L$5))</f>
        <v>102.32254931633419</v>
      </c>
      <c r="AK49" s="121">
        <f>$P49*(1-$R49)*(1/$Q49)*IF($O49 = "kW perparticipant",1,$S49/$T49)*(SUM('Avoided Costs'!M$4:M$5))</f>
        <v>109.18564713633222</v>
      </c>
      <c r="AL49" s="121">
        <f>$P49*(1-$R49)*(1/$Q49)*IF($O49 = "kW perparticipant",1,$S49/$T49)*(SUM('Avoided Costs'!N$4:N$5))</f>
        <v>114.80090898905787</v>
      </c>
      <c r="AM49" s="121">
        <f>$P49*(1-$R49)*(1/$Q49)*IF($O49 = "kW perparticipant",1,$S49/$T49)*(SUM('Avoided Costs'!O$4:O$5))</f>
        <v>120.41617084178354</v>
      </c>
      <c r="AN49" s="121">
        <f>$P49*(1-$R49)*(1/$Q49)*IF($O49 = "kW perparticipant",1,$S49/$T49)*(SUM('Avoided Costs'!P$4:P$5))</f>
        <v>125.407514710873</v>
      </c>
      <c r="AO49" s="121">
        <f>$P49*(1-$R49)*(1/$Q49)*IF($O49 = "kW perparticipant",1,$S49/$T49)*(SUM('Avoided Costs'!Q$4:Q$5))</f>
        <v>130.39885857996248</v>
      </c>
    </row>
    <row r="50" spans="1:41" x14ac:dyDescent="0.25">
      <c r="A50" t="s">
        <v>84</v>
      </c>
      <c r="B50" t="s">
        <v>155</v>
      </c>
      <c r="C50" t="s">
        <v>45</v>
      </c>
    </row>
    <row r="51" spans="1:41" x14ac:dyDescent="0.25">
      <c r="A51" t="s">
        <v>201</v>
      </c>
      <c r="B51" t="s">
        <v>155</v>
      </c>
      <c r="C51" t="s">
        <v>45</v>
      </c>
    </row>
    <row r="52" spans="1:41" x14ac:dyDescent="0.25">
      <c r="A52" t="s">
        <v>86</v>
      </c>
      <c r="B52" t="s">
        <v>156</v>
      </c>
      <c r="C52" t="s">
        <v>45</v>
      </c>
    </row>
    <row r="53" spans="1:41" x14ac:dyDescent="0.25">
      <c r="A53" t="s">
        <v>202</v>
      </c>
      <c r="B53" t="s">
        <v>156</v>
      </c>
      <c r="C53" t="s">
        <v>45</v>
      </c>
    </row>
    <row r="54" spans="1:41" x14ac:dyDescent="0.25">
      <c r="B54" t="s">
        <v>166</v>
      </c>
      <c r="C54" t="s">
        <v>203</v>
      </c>
    </row>
    <row r="55" spans="1:41" x14ac:dyDescent="0.25">
      <c r="B55" t="s">
        <v>163</v>
      </c>
      <c r="C55" t="s">
        <v>203</v>
      </c>
    </row>
    <row r="56" spans="1:41" x14ac:dyDescent="0.25">
      <c r="A56" t="s">
        <v>82</v>
      </c>
      <c r="B56" t="s">
        <v>166</v>
      </c>
      <c r="C56" t="s">
        <v>203</v>
      </c>
    </row>
    <row r="57" spans="1:41" x14ac:dyDescent="0.25">
      <c r="A57" t="s">
        <v>204</v>
      </c>
      <c r="B57">
        <v>0</v>
      </c>
      <c r="C57" t="s">
        <v>203</v>
      </c>
    </row>
    <row r="58" spans="1:41" x14ac:dyDescent="0.25">
      <c r="A58" t="s">
        <v>82</v>
      </c>
      <c r="B58" t="s">
        <v>167</v>
      </c>
      <c r="C58" t="s">
        <v>45</v>
      </c>
    </row>
    <row r="59" spans="1:41" x14ac:dyDescent="0.25">
      <c r="A59" t="s">
        <v>204</v>
      </c>
      <c r="B59" t="s">
        <v>167</v>
      </c>
      <c r="C59" t="s">
        <v>45</v>
      </c>
    </row>
    <row r="60" spans="1:41" x14ac:dyDescent="0.25">
      <c r="A60" t="s">
        <v>85</v>
      </c>
      <c r="B60" t="s">
        <v>159</v>
      </c>
      <c r="C60" t="s">
        <v>45</v>
      </c>
    </row>
    <row r="61" spans="1:41" x14ac:dyDescent="0.25">
      <c r="B61" t="s">
        <v>161</v>
      </c>
      <c r="C61" t="s">
        <v>203</v>
      </c>
    </row>
    <row r="62" spans="1:41" x14ac:dyDescent="0.25">
      <c r="B62" t="s">
        <v>164</v>
      </c>
      <c r="C62" t="s">
        <v>203</v>
      </c>
    </row>
    <row r="63" spans="1:41" x14ac:dyDescent="0.25">
      <c r="A63" t="s">
        <v>84</v>
      </c>
      <c r="B63" t="s">
        <v>161</v>
      </c>
      <c r="C63" t="s">
        <v>203</v>
      </c>
    </row>
    <row r="64" spans="1:41" x14ac:dyDescent="0.25">
      <c r="A64" t="s">
        <v>201</v>
      </c>
      <c r="B64">
        <v>0</v>
      </c>
      <c r="C64" t="s">
        <v>203</v>
      </c>
    </row>
    <row r="65" spans="1:7" x14ac:dyDescent="0.25">
      <c r="B65" t="s">
        <v>162</v>
      </c>
      <c r="C65" t="s">
        <v>203</v>
      </c>
    </row>
    <row r="66" spans="1:7" x14ac:dyDescent="0.25">
      <c r="B66" t="s">
        <v>165</v>
      </c>
      <c r="C66" t="s">
        <v>203</v>
      </c>
    </row>
    <row r="67" spans="1:7" x14ac:dyDescent="0.25">
      <c r="A67" t="s">
        <v>86</v>
      </c>
      <c r="B67" t="s">
        <v>165</v>
      </c>
      <c r="C67" t="s">
        <v>203</v>
      </c>
    </row>
    <row r="68" spans="1:7" x14ac:dyDescent="0.25">
      <c r="A68" t="s">
        <v>202</v>
      </c>
      <c r="B68">
        <v>0</v>
      </c>
      <c r="C68" t="s">
        <v>203</v>
      </c>
    </row>
    <row r="69" spans="1:7" x14ac:dyDescent="0.25">
      <c r="A69" t="s">
        <v>87</v>
      </c>
      <c r="B69" t="s">
        <v>160</v>
      </c>
      <c r="C69" t="s">
        <v>45</v>
      </c>
    </row>
    <row r="70" spans="1:7" x14ac:dyDescent="0.25">
      <c r="A70" t="s">
        <v>101</v>
      </c>
      <c r="B70" t="s">
        <v>194</v>
      </c>
      <c r="C70" t="s">
        <v>203</v>
      </c>
    </row>
    <row r="71" spans="1:7" x14ac:dyDescent="0.25">
      <c r="A71" t="s">
        <v>101</v>
      </c>
      <c r="B71" t="s">
        <v>195</v>
      </c>
      <c r="C71" t="s">
        <v>45</v>
      </c>
    </row>
    <row r="72" spans="1:7" x14ac:dyDescent="0.25">
      <c r="A72" t="s">
        <v>83</v>
      </c>
      <c r="B72" t="s">
        <v>166</v>
      </c>
      <c r="C72" t="s">
        <v>203</v>
      </c>
    </row>
    <row r="73" spans="1:7" x14ac:dyDescent="0.25">
      <c r="A73" t="s">
        <v>85</v>
      </c>
      <c r="B73" t="s">
        <v>161</v>
      </c>
      <c r="C73" t="s">
        <v>203</v>
      </c>
    </row>
    <row r="74" spans="1:7" x14ac:dyDescent="0.25">
      <c r="A74" t="s">
        <v>87</v>
      </c>
      <c r="B74" t="s">
        <v>165</v>
      </c>
      <c r="C74" t="s">
        <v>203</v>
      </c>
    </row>
    <row r="77" spans="1:7" ht="17.399999999999999" thickBot="1" x14ac:dyDescent="0.35">
      <c r="A77" s="122" t="s">
        <v>205</v>
      </c>
    </row>
    <row r="78" spans="1:7" ht="14.4" thickTop="1" x14ac:dyDescent="0.25">
      <c r="A78" t="s">
        <v>206</v>
      </c>
      <c r="B78" t="s">
        <v>207</v>
      </c>
      <c r="C78" t="s">
        <v>208</v>
      </c>
      <c r="D78" t="s">
        <v>209</v>
      </c>
      <c r="E78">
        <v>2023</v>
      </c>
      <c r="F78">
        <v>2024</v>
      </c>
      <c r="G78">
        <v>2025</v>
      </c>
    </row>
    <row r="79" spans="1:7" x14ac:dyDescent="0.25">
      <c r="A79" t="s">
        <v>192</v>
      </c>
      <c r="B79" t="s">
        <v>210</v>
      </c>
      <c r="C79" t="s">
        <v>166</v>
      </c>
      <c r="D79" t="s">
        <v>211</v>
      </c>
      <c r="E79">
        <f>VLOOKUP($C79,$C$97:$G$107,3,FALSE)</f>
        <v>6.12</v>
      </c>
      <c r="F79">
        <f>VLOOKUP($C79,$C$97:$G$107,4,FALSE)</f>
        <v>12.63</v>
      </c>
      <c r="G79">
        <f>VLOOKUP($C79,$C$97:$G$107,5,FALSE)</f>
        <v>16.84</v>
      </c>
    </row>
    <row r="80" spans="1:7" x14ac:dyDescent="0.25">
      <c r="A80" t="s">
        <v>192</v>
      </c>
      <c r="B80" t="s">
        <v>210</v>
      </c>
      <c r="C80" t="s">
        <v>167</v>
      </c>
      <c r="D80" t="s">
        <v>211</v>
      </c>
      <c r="E80">
        <f t="shared" ref="E80:E89" si="13">VLOOKUP($C80,$C$97:$G$107,3,FALSE)</f>
        <v>108.35</v>
      </c>
      <c r="F80">
        <f t="shared" ref="F80:F89" si="14">VLOOKUP($C80,$C$97:$G$107,4,FALSE)</f>
        <v>107.8</v>
      </c>
      <c r="G80">
        <f t="shared" ref="G80:G89" si="15">VLOOKUP($C80,$C$97:$G$107,5,FALSE)</f>
        <v>117.19</v>
      </c>
    </row>
    <row r="81" spans="1:7" x14ac:dyDescent="0.25">
      <c r="A81" t="s">
        <v>192</v>
      </c>
      <c r="B81" t="s">
        <v>210</v>
      </c>
      <c r="C81" t="s">
        <v>163</v>
      </c>
      <c r="D81" t="s">
        <v>211</v>
      </c>
      <c r="E81">
        <f t="shared" si="13"/>
        <v>262.5</v>
      </c>
      <c r="F81">
        <f t="shared" si="14"/>
        <v>420</v>
      </c>
      <c r="G81">
        <f t="shared" si="15"/>
        <v>840</v>
      </c>
    </row>
    <row r="82" spans="1:7" x14ac:dyDescent="0.25">
      <c r="A82" t="s">
        <v>192</v>
      </c>
      <c r="B82" t="s">
        <v>210</v>
      </c>
      <c r="C82" t="s">
        <v>164</v>
      </c>
      <c r="D82" t="s">
        <v>211</v>
      </c>
      <c r="E82">
        <f t="shared" si="13"/>
        <v>40</v>
      </c>
      <c r="F82">
        <f t="shared" si="14"/>
        <v>82.5</v>
      </c>
      <c r="G82">
        <f t="shared" si="15"/>
        <v>110</v>
      </c>
    </row>
    <row r="83" spans="1:7" x14ac:dyDescent="0.25">
      <c r="A83" t="s">
        <v>192</v>
      </c>
      <c r="B83" t="s">
        <v>210</v>
      </c>
      <c r="C83" t="s">
        <v>155</v>
      </c>
      <c r="D83" t="s">
        <v>211</v>
      </c>
      <c r="E83">
        <f t="shared" si="13"/>
        <v>707.86</v>
      </c>
      <c r="F83">
        <f t="shared" si="14"/>
        <v>704.32</v>
      </c>
      <c r="G83">
        <f t="shared" si="15"/>
        <v>765.64</v>
      </c>
    </row>
    <row r="84" spans="1:7" x14ac:dyDescent="0.25">
      <c r="A84" t="s">
        <v>192</v>
      </c>
      <c r="B84" t="s">
        <v>210</v>
      </c>
      <c r="C84" t="s">
        <v>159</v>
      </c>
      <c r="D84" t="s">
        <v>211</v>
      </c>
      <c r="E84">
        <f t="shared" si="13"/>
        <v>50</v>
      </c>
      <c r="F84">
        <f t="shared" si="14"/>
        <v>160</v>
      </c>
      <c r="G84">
        <f t="shared" si="15"/>
        <v>200</v>
      </c>
    </row>
    <row r="85" spans="1:7" x14ac:dyDescent="0.25">
      <c r="A85" t="s">
        <v>192</v>
      </c>
      <c r="B85" t="s">
        <v>210</v>
      </c>
      <c r="C85" t="s">
        <v>161</v>
      </c>
      <c r="D85" t="s">
        <v>211</v>
      </c>
      <c r="E85">
        <f t="shared" si="13"/>
        <v>150</v>
      </c>
      <c r="F85">
        <f t="shared" si="14"/>
        <v>309</v>
      </c>
      <c r="G85">
        <f t="shared" si="15"/>
        <v>468</v>
      </c>
    </row>
    <row r="86" spans="1:7" x14ac:dyDescent="0.25">
      <c r="A86" t="s">
        <v>192</v>
      </c>
      <c r="B86" t="s">
        <v>210</v>
      </c>
      <c r="C86" t="s">
        <v>165</v>
      </c>
      <c r="D86" t="s">
        <v>211</v>
      </c>
      <c r="E86">
        <f t="shared" si="13"/>
        <v>4.29</v>
      </c>
      <c r="F86">
        <f t="shared" si="14"/>
        <v>8.84</v>
      </c>
      <c r="G86">
        <f t="shared" si="15"/>
        <v>11.79</v>
      </c>
    </row>
    <row r="87" spans="1:7" x14ac:dyDescent="0.25">
      <c r="A87" t="s">
        <v>192</v>
      </c>
      <c r="B87" t="s">
        <v>210</v>
      </c>
      <c r="C87" t="s">
        <v>156</v>
      </c>
      <c r="D87" t="s">
        <v>211</v>
      </c>
      <c r="E87">
        <f t="shared" si="13"/>
        <v>75.84</v>
      </c>
      <c r="F87">
        <f t="shared" si="14"/>
        <v>75.459999999999994</v>
      </c>
      <c r="G87">
        <f t="shared" si="15"/>
        <v>82.03</v>
      </c>
    </row>
    <row r="88" spans="1:7" x14ac:dyDescent="0.25">
      <c r="A88" t="s">
        <v>192</v>
      </c>
      <c r="B88" t="s">
        <v>210</v>
      </c>
      <c r="C88" t="s">
        <v>160</v>
      </c>
      <c r="D88" t="s">
        <v>211</v>
      </c>
      <c r="E88">
        <f t="shared" si="13"/>
        <v>2450</v>
      </c>
      <c r="F88">
        <f t="shared" si="14"/>
        <v>3920</v>
      </c>
      <c r="G88">
        <f t="shared" si="15"/>
        <v>7840</v>
      </c>
    </row>
    <row r="89" spans="1:7" x14ac:dyDescent="0.25">
      <c r="A89" t="s">
        <v>192</v>
      </c>
      <c r="B89" t="s">
        <v>210</v>
      </c>
      <c r="C89" t="s">
        <v>162</v>
      </c>
      <c r="D89" t="s">
        <v>211</v>
      </c>
      <c r="E89">
        <f t="shared" si="13"/>
        <v>9</v>
      </c>
      <c r="F89">
        <f t="shared" si="14"/>
        <v>18</v>
      </c>
      <c r="G89">
        <f t="shared" si="15"/>
        <v>27</v>
      </c>
    </row>
    <row r="96" spans="1:7" x14ac:dyDescent="0.25">
      <c r="C96" t="s">
        <v>519</v>
      </c>
    </row>
    <row r="97" spans="3:7" x14ac:dyDescent="0.25">
      <c r="C97" t="s">
        <v>167</v>
      </c>
      <c r="E97">
        <v>108.35</v>
      </c>
      <c r="F97">
        <v>107.8</v>
      </c>
      <c r="G97">
        <v>117.19</v>
      </c>
    </row>
    <row r="98" spans="3:7" x14ac:dyDescent="0.25">
      <c r="C98" t="s">
        <v>155</v>
      </c>
      <c r="E98">
        <v>707.86</v>
      </c>
      <c r="F98">
        <v>704.32</v>
      </c>
      <c r="G98">
        <v>765.64</v>
      </c>
    </row>
    <row r="99" spans="3:7" x14ac:dyDescent="0.25">
      <c r="C99" t="s">
        <v>156</v>
      </c>
      <c r="E99">
        <v>75.84</v>
      </c>
      <c r="F99">
        <v>75.459999999999994</v>
      </c>
      <c r="G99">
        <v>82.03</v>
      </c>
    </row>
    <row r="100" spans="3:7" x14ac:dyDescent="0.25">
      <c r="C100" t="s">
        <v>159</v>
      </c>
      <c r="E100">
        <v>50</v>
      </c>
      <c r="F100">
        <v>160</v>
      </c>
      <c r="G100">
        <v>200</v>
      </c>
    </row>
    <row r="101" spans="3:7" x14ac:dyDescent="0.25">
      <c r="C101" t="s">
        <v>160</v>
      </c>
      <c r="E101">
        <v>2450</v>
      </c>
      <c r="F101">
        <v>3920</v>
      </c>
      <c r="G101">
        <v>7840</v>
      </c>
    </row>
    <row r="102" spans="3:7" x14ac:dyDescent="0.25">
      <c r="C102" t="s">
        <v>163</v>
      </c>
      <c r="E102">
        <v>262.5</v>
      </c>
      <c r="F102">
        <v>420</v>
      </c>
      <c r="G102">
        <v>840</v>
      </c>
    </row>
    <row r="103" spans="3:7" x14ac:dyDescent="0.25">
      <c r="C103" t="s">
        <v>161</v>
      </c>
      <c r="E103">
        <v>150</v>
      </c>
      <c r="F103">
        <v>309</v>
      </c>
      <c r="G103">
        <v>468</v>
      </c>
    </row>
    <row r="104" spans="3:7" x14ac:dyDescent="0.25">
      <c r="C104" t="s">
        <v>162</v>
      </c>
      <c r="E104">
        <v>9</v>
      </c>
      <c r="F104">
        <v>18</v>
      </c>
      <c r="G104">
        <v>27</v>
      </c>
    </row>
    <row r="105" spans="3:7" x14ac:dyDescent="0.25">
      <c r="C105" t="s">
        <v>166</v>
      </c>
      <c r="E105">
        <v>6.12</v>
      </c>
      <c r="F105">
        <v>12.63</v>
      </c>
      <c r="G105">
        <v>16.84</v>
      </c>
    </row>
    <row r="106" spans="3:7" x14ac:dyDescent="0.25">
      <c r="C106" t="s">
        <v>164</v>
      </c>
      <c r="E106">
        <v>40</v>
      </c>
      <c r="F106">
        <v>82.5</v>
      </c>
      <c r="G106">
        <v>110</v>
      </c>
    </row>
    <row r="107" spans="3:7" x14ac:dyDescent="0.25">
      <c r="C107" t="s">
        <v>165</v>
      </c>
      <c r="E107">
        <v>4.29</v>
      </c>
      <c r="F107">
        <v>8.84</v>
      </c>
      <c r="G107">
        <v>11.79</v>
      </c>
    </row>
    <row r="109" spans="3:7" x14ac:dyDescent="0.25">
      <c r="C109" t="s">
        <v>520</v>
      </c>
    </row>
    <row r="110" spans="3:7" x14ac:dyDescent="0.25">
      <c r="C110" t="s">
        <v>167</v>
      </c>
      <c r="E110">
        <v>0</v>
      </c>
      <c r="F110">
        <v>0</v>
      </c>
      <c r="G110">
        <v>0</v>
      </c>
    </row>
    <row r="111" spans="3:7" x14ac:dyDescent="0.25">
      <c r="C111" t="s">
        <v>155</v>
      </c>
      <c r="E111">
        <v>0</v>
      </c>
      <c r="F111">
        <v>0</v>
      </c>
      <c r="G111">
        <v>0</v>
      </c>
    </row>
    <row r="112" spans="3:7" x14ac:dyDescent="0.25">
      <c r="C112" t="s">
        <v>156</v>
      </c>
      <c r="E112">
        <v>0</v>
      </c>
      <c r="F112">
        <v>0</v>
      </c>
      <c r="G112">
        <v>0</v>
      </c>
    </row>
    <row r="113" spans="3:7" x14ac:dyDescent="0.25">
      <c r="C113" t="s">
        <v>159</v>
      </c>
      <c r="E113">
        <v>150</v>
      </c>
      <c r="F113">
        <v>309</v>
      </c>
      <c r="G113">
        <v>411</v>
      </c>
    </row>
    <row r="114" spans="3:7" x14ac:dyDescent="0.25">
      <c r="C114" t="s">
        <v>160</v>
      </c>
      <c r="E114">
        <v>9</v>
      </c>
      <c r="F114">
        <v>18</v>
      </c>
      <c r="G114">
        <v>24</v>
      </c>
    </row>
    <row r="115" spans="3:7" x14ac:dyDescent="0.25">
      <c r="C115" t="s">
        <v>163</v>
      </c>
      <c r="E115">
        <v>6.12</v>
      </c>
      <c r="F115">
        <v>12.63</v>
      </c>
      <c r="G115">
        <v>16.84</v>
      </c>
    </row>
    <row r="116" spans="3:7" x14ac:dyDescent="0.25">
      <c r="C116" t="s">
        <v>161</v>
      </c>
      <c r="E116">
        <v>40</v>
      </c>
      <c r="F116">
        <v>82.5</v>
      </c>
      <c r="G116">
        <v>110</v>
      </c>
    </row>
    <row r="117" spans="3:7" x14ac:dyDescent="0.25">
      <c r="C117" t="s">
        <v>162</v>
      </c>
      <c r="E117">
        <v>4.29</v>
      </c>
      <c r="F117">
        <v>8.84</v>
      </c>
      <c r="G117">
        <v>11.79</v>
      </c>
    </row>
    <row r="118" spans="3:7" x14ac:dyDescent="0.25">
      <c r="C118" t="s">
        <v>166</v>
      </c>
      <c r="E118">
        <v>108.35</v>
      </c>
      <c r="F118">
        <v>107.8</v>
      </c>
      <c r="G118">
        <v>110.88</v>
      </c>
    </row>
    <row r="119" spans="3:7" x14ac:dyDescent="0.25">
      <c r="C119" t="s">
        <v>164</v>
      </c>
      <c r="E119">
        <v>707.86</v>
      </c>
      <c r="F119">
        <v>704.32</v>
      </c>
      <c r="G119">
        <v>724.44</v>
      </c>
    </row>
    <row r="120" spans="3:7" x14ac:dyDescent="0.25">
      <c r="C120" t="s">
        <v>165</v>
      </c>
      <c r="E120">
        <v>75.84</v>
      </c>
      <c r="F120">
        <v>75.459999999999994</v>
      </c>
      <c r="G120">
        <v>77.62</v>
      </c>
    </row>
    <row r="122" spans="3:7" x14ac:dyDescent="0.25">
      <c r="C122" t="s">
        <v>521</v>
      </c>
    </row>
    <row r="123" spans="3:7" x14ac:dyDescent="0.25">
      <c r="C123" t="s">
        <v>166</v>
      </c>
      <c r="E123">
        <v>106</v>
      </c>
      <c r="F123">
        <v>108.12</v>
      </c>
      <c r="G123">
        <v>110.28</v>
      </c>
    </row>
    <row r="124" spans="3:7" x14ac:dyDescent="0.25">
      <c r="C124" t="s">
        <v>164</v>
      </c>
      <c r="E124">
        <v>151</v>
      </c>
      <c r="F124">
        <v>154.02000000000001</v>
      </c>
      <c r="G124">
        <v>157.1</v>
      </c>
    </row>
    <row r="125" spans="3:7" x14ac:dyDescent="0.25">
      <c r="C125" t="s">
        <v>165</v>
      </c>
      <c r="E125">
        <v>166</v>
      </c>
      <c r="F125">
        <v>169.32</v>
      </c>
      <c r="G125">
        <v>172.71</v>
      </c>
    </row>
    <row r="126" spans="3:7" x14ac:dyDescent="0.25">
      <c r="C126" t="s">
        <v>167</v>
      </c>
      <c r="E126">
        <v>166</v>
      </c>
      <c r="F126">
        <v>169.32</v>
      </c>
      <c r="G126">
        <v>172.71</v>
      </c>
    </row>
    <row r="127" spans="3:7" x14ac:dyDescent="0.25">
      <c r="C127" t="s">
        <v>155</v>
      </c>
      <c r="E127">
        <v>166</v>
      </c>
      <c r="F127">
        <v>169.32</v>
      </c>
      <c r="G127">
        <v>172.71</v>
      </c>
    </row>
    <row r="128" spans="3:7" x14ac:dyDescent="0.25">
      <c r="C128" t="s">
        <v>156</v>
      </c>
      <c r="E128">
        <v>166</v>
      </c>
      <c r="F128">
        <v>169.32</v>
      </c>
      <c r="G128">
        <v>172.71</v>
      </c>
    </row>
    <row r="129" spans="3:7" x14ac:dyDescent="0.25">
      <c r="C129" t="s">
        <v>159</v>
      </c>
      <c r="E129">
        <v>151</v>
      </c>
      <c r="F129">
        <v>154.02000000000001</v>
      </c>
      <c r="G129">
        <v>157.1</v>
      </c>
    </row>
    <row r="130" spans="3:7" x14ac:dyDescent="0.25">
      <c r="C130" t="s">
        <v>160</v>
      </c>
      <c r="E130">
        <v>166</v>
      </c>
      <c r="F130">
        <v>169.32</v>
      </c>
      <c r="G130">
        <v>172.71</v>
      </c>
    </row>
    <row r="131" spans="3:7" x14ac:dyDescent="0.25">
      <c r="C131" t="s">
        <v>163</v>
      </c>
      <c r="E131">
        <v>106</v>
      </c>
      <c r="F131">
        <v>108.12</v>
      </c>
      <c r="G131">
        <v>110.28</v>
      </c>
    </row>
    <row r="132" spans="3:7" x14ac:dyDescent="0.25">
      <c r="C132" t="s">
        <v>161</v>
      </c>
      <c r="E132">
        <v>151</v>
      </c>
      <c r="F132">
        <v>154.02000000000001</v>
      </c>
      <c r="G132">
        <v>157.1</v>
      </c>
    </row>
    <row r="133" spans="3:7" x14ac:dyDescent="0.25">
      <c r="C133" t="s">
        <v>162</v>
      </c>
      <c r="E133">
        <v>166</v>
      </c>
      <c r="F133">
        <v>169.32</v>
      </c>
      <c r="G133">
        <v>172.71</v>
      </c>
    </row>
  </sheetData>
  <mergeCells count="5">
    <mergeCell ref="A24:A26"/>
    <mergeCell ref="B24:G24"/>
    <mergeCell ref="B25:C25"/>
    <mergeCell ref="D25:E25"/>
    <mergeCell ref="F25:G25"/>
  </mergeCells>
  <phoneticPr fontId="28" type="noConversion"/>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6DF11-0647-46E0-87FB-CD01C13462BA}">
  <sheetPr>
    <tabColor theme="4" tint="0.59999389629810485"/>
  </sheetPr>
  <dimension ref="A1:AO133"/>
  <sheetViews>
    <sheetView topLeftCell="A4" zoomScale="120" zoomScaleNormal="120" workbookViewId="0">
      <selection activeCell="D14" sqref="D14"/>
    </sheetView>
  </sheetViews>
  <sheetFormatPr defaultRowHeight="13.8" x14ac:dyDescent="0.25"/>
  <cols>
    <col min="1" max="1" width="89.796875" bestFit="1" customWidth="1"/>
    <col min="2" max="2" width="18.19921875" customWidth="1"/>
    <col min="3" max="3" width="23.59765625" customWidth="1"/>
    <col min="4" max="4" width="19.296875" customWidth="1"/>
    <col min="5" max="5" width="19.796875" customWidth="1"/>
    <col min="6" max="6" width="22.59765625" customWidth="1"/>
    <col min="7" max="7" width="12.69921875" bestFit="1" customWidth="1"/>
    <col min="8" max="11" width="9" bestFit="1" customWidth="1"/>
    <col min="12" max="12" width="48.5" customWidth="1"/>
    <col min="13" max="13" width="53.09765625" customWidth="1"/>
    <col min="14" max="14" width="25.69921875" customWidth="1"/>
    <col min="15" max="15" width="19.296875" customWidth="1"/>
    <col min="16" max="17" width="13.296875" customWidth="1"/>
    <col min="18" max="18" width="13.296875" style="43" customWidth="1"/>
    <col min="19" max="21" width="13.296875" customWidth="1"/>
    <col min="22" max="23" width="12.69921875" customWidth="1"/>
    <col min="24" max="24" width="49.69921875" style="163" customWidth="1"/>
    <col min="25" max="30" width="9" bestFit="1" customWidth="1"/>
    <col min="31" max="41" width="12.19921875" customWidth="1"/>
  </cols>
  <sheetData>
    <row r="1" spans="1:7" ht="19.8" thickBot="1" x14ac:dyDescent="0.4">
      <c r="A1" s="113" t="s">
        <v>148</v>
      </c>
    </row>
    <row r="2" spans="1:7" ht="14.4" thickTop="1" x14ac:dyDescent="0.25">
      <c r="A2" t="s">
        <v>149</v>
      </c>
      <c r="B2" t="s">
        <v>150</v>
      </c>
      <c r="C2" t="s">
        <v>151</v>
      </c>
      <c r="D2" t="s">
        <v>152</v>
      </c>
      <c r="E2" t="s">
        <v>152</v>
      </c>
      <c r="F2" t="s">
        <v>152</v>
      </c>
      <c r="G2" s="18" t="s">
        <v>522</v>
      </c>
    </row>
    <row r="3" spans="1:7" x14ac:dyDescent="0.25">
      <c r="A3" t="s">
        <v>153</v>
      </c>
      <c r="B3">
        <v>10</v>
      </c>
      <c r="C3">
        <v>1</v>
      </c>
      <c r="D3">
        <v>14.890447497697268</v>
      </c>
      <c r="E3">
        <v>15.188256447651215</v>
      </c>
      <c r="F3">
        <v>15.492021576604239</v>
      </c>
      <c r="G3" s="18"/>
    </row>
    <row r="4" spans="1:7" x14ac:dyDescent="0.25">
      <c r="A4" t="s">
        <v>154</v>
      </c>
      <c r="B4">
        <v>10</v>
      </c>
      <c r="C4">
        <v>1</v>
      </c>
      <c r="D4">
        <v>0</v>
      </c>
      <c r="E4">
        <v>0</v>
      </c>
      <c r="F4">
        <v>0</v>
      </c>
      <c r="G4" s="18"/>
    </row>
    <row r="5" spans="1:7" x14ac:dyDescent="0.25">
      <c r="A5" t="s">
        <v>155</v>
      </c>
      <c r="B5">
        <v>11</v>
      </c>
      <c r="C5">
        <v>1.02</v>
      </c>
      <c r="D5">
        <v>166</v>
      </c>
      <c r="E5">
        <v>169.32</v>
      </c>
      <c r="F5">
        <v>172.7064</v>
      </c>
      <c r="G5" s="18">
        <f>VLOOKUP($A5,$C$122:$G$133,3,FALSE)</f>
        <v>166</v>
      </c>
    </row>
    <row r="6" spans="1:7" x14ac:dyDescent="0.25">
      <c r="A6" t="s">
        <v>156</v>
      </c>
      <c r="B6">
        <v>11</v>
      </c>
      <c r="C6">
        <v>1.02</v>
      </c>
      <c r="D6">
        <v>166</v>
      </c>
      <c r="E6">
        <v>169.32</v>
      </c>
      <c r="F6">
        <v>172.7064</v>
      </c>
      <c r="G6" s="18">
        <f>VLOOKUP($A6,$C$122:$G$133,3,FALSE)</f>
        <v>166</v>
      </c>
    </row>
    <row r="7" spans="1:7" x14ac:dyDescent="0.25">
      <c r="A7" t="s">
        <v>157</v>
      </c>
      <c r="B7">
        <v>10</v>
      </c>
      <c r="C7">
        <v>1.02</v>
      </c>
      <c r="D7">
        <v>0</v>
      </c>
      <c r="E7">
        <v>0</v>
      </c>
      <c r="F7">
        <v>0</v>
      </c>
      <c r="G7" s="18"/>
    </row>
    <row r="8" spans="1:7" x14ac:dyDescent="0.25">
      <c r="A8" t="s">
        <v>158</v>
      </c>
      <c r="B8">
        <v>10</v>
      </c>
      <c r="C8">
        <v>1.02</v>
      </c>
      <c r="D8">
        <v>0</v>
      </c>
      <c r="E8">
        <v>0</v>
      </c>
      <c r="F8">
        <v>0</v>
      </c>
      <c r="G8" s="18"/>
    </row>
    <row r="9" spans="1:7" x14ac:dyDescent="0.25">
      <c r="A9" t="s">
        <v>159</v>
      </c>
      <c r="B9">
        <v>11</v>
      </c>
      <c r="C9">
        <v>1</v>
      </c>
      <c r="D9">
        <v>166</v>
      </c>
      <c r="E9">
        <v>169.32</v>
      </c>
      <c r="F9">
        <v>172.7064</v>
      </c>
      <c r="G9" s="18">
        <f t="shared" ref="G9:G17" si="0">VLOOKUP($A9,$C$122:$G$133,3,FALSE)</f>
        <v>151</v>
      </c>
    </row>
    <row r="10" spans="1:7" x14ac:dyDescent="0.25">
      <c r="A10" t="s">
        <v>160</v>
      </c>
      <c r="B10">
        <v>11</v>
      </c>
      <c r="C10">
        <v>1</v>
      </c>
      <c r="D10">
        <v>166</v>
      </c>
      <c r="E10">
        <v>169.32</v>
      </c>
      <c r="F10">
        <v>172.7064</v>
      </c>
      <c r="G10" s="18">
        <f t="shared" si="0"/>
        <v>166</v>
      </c>
    </row>
    <row r="11" spans="1:7" x14ac:dyDescent="0.25">
      <c r="A11" t="s">
        <v>161</v>
      </c>
      <c r="B11">
        <v>11</v>
      </c>
      <c r="C11">
        <v>1.02</v>
      </c>
      <c r="D11">
        <v>166</v>
      </c>
      <c r="E11">
        <v>169.32</v>
      </c>
      <c r="F11">
        <v>172.7064</v>
      </c>
      <c r="G11" s="18">
        <f t="shared" si="0"/>
        <v>151</v>
      </c>
    </row>
    <row r="12" spans="1:7" x14ac:dyDescent="0.25">
      <c r="A12" t="s">
        <v>162</v>
      </c>
      <c r="B12">
        <v>11</v>
      </c>
      <c r="C12">
        <v>1.02</v>
      </c>
      <c r="D12">
        <v>166</v>
      </c>
      <c r="E12">
        <v>169.32</v>
      </c>
      <c r="F12">
        <v>172.7064</v>
      </c>
      <c r="G12" s="18">
        <f t="shared" si="0"/>
        <v>166</v>
      </c>
    </row>
    <row r="13" spans="1:7" x14ac:dyDescent="0.25">
      <c r="A13" t="s">
        <v>163</v>
      </c>
      <c r="B13">
        <v>11</v>
      </c>
      <c r="C13">
        <v>1.02</v>
      </c>
      <c r="D13">
        <v>166</v>
      </c>
      <c r="E13">
        <v>169.32</v>
      </c>
      <c r="F13">
        <v>172.7064</v>
      </c>
      <c r="G13" s="18">
        <f t="shared" si="0"/>
        <v>106</v>
      </c>
    </row>
    <row r="14" spans="1:7" x14ac:dyDescent="0.25">
      <c r="A14" t="s">
        <v>164</v>
      </c>
      <c r="B14">
        <v>11</v>
      </c>
      <c r="C14">
        <v>0.85</v>
      </c>
      <c r="D14">
        <v>166</v>
      </c>
      <c r="E14">
        <v>169.32</v>
      </c>
      <c r="F14">
        <v>172.7064</v>
      </c>
      <c r="G14" s="18">
        <f t="shared" si="0"/>
        <v>151</v>
      </c>
    </row>
    <row r="15" spans="1:7" x14ac:dyDescent="0.25">
      <c r="A15" t="s">
        <v>165</v>
      </c>
      <c r="B15">
        <v>11</v>
      </c>
      <c r="C15">
        <v>0.85</v>
      </c>
      <c r="D15">
        <v>166</v>
      </c>
      <c r="E15">
        <v>169.32</v>
      </c>
      <c r="F15">
        <v>172.7064</v>
      </c>
      <c r="G15" s="18">
        <f t="shared" si="0"/>
        <v>166</v>
      </c>
    </row>
    <row r="16" spans="1:7" x14ac:dyDescent="0.25">
      <c r="A16" t="s">
        <v>166</v>
      </c>
      <c r="B16">
        <v>11</v>
      </c>
      <c r="C16">
        <v>0.85</v>
      </c>
      <c r="D16">
        <v>166</v>
      </c>
      <c r="E16">
        <v>169.32</v>
      </c>
      <c r="F16">
        <v>172.7064</v>
      </c>
      <c r="G16" s="18">
        <f t="shared" si="0"/>
        <v>106</v>
      </c>
    </row>
    <row r="17" spans="1:41" x14ac:dyDescent="0.25">
      <c r="A17" t="s">
        <v>167</v>
      </c>
      <c r="B17">
        <v>11</v>
      </c>
      <c r="C17">
        <v>1.02</v>
      </c>
      <c r="D17">
        <v>166</v>
      </c>
      <c r="E17">
        <v>169.32</v>
      </c>
      <c r="F17">
        <v>172.7064</v>
      </c>
      <c r="G17" s="18">
        <f t="shared" si="0"/>
        <v>166</v>
      </c>
    </row>
    <row r="18" spans="1:41" x14ac:dyDescent="0.25">
      <c r="A18" t="s">
        <v>168</v>
      </c>
      <c r="D18">
        <v>166</v>
      </c>
    </row>
    <row r="20" spans="1:41" ht="19.8" thickBot="1" x14ac:dyDescent="0.4">
      <c r="A20" s="113" t="s">
        <v>169</v>
      </c>
    </row>
    <row r="21" spans="1:41" ht="20.399999999999999" thickTop="1" thickBot="1" x14ac:dyDescent="0.4">
      <c r="M21" s="113" t="s">
        <v>170</v>
      </c>
    </row>
    <row r="22" spans="1:41" ht="14.4" thickTop="1" x14ac:dyDescent="0.25">
      <c r="AE22" t="s">
        <v>171</v>
      </c>
      <c r="AN22" t="s">
        <v>172</v>
      </c>
    </row>
    <row r="23" spans="1:41" x14ac:dyDescent="0.25">
      <c r="A23" s="114" t="s">
        <v>173</v>
      </c>
      <c r="L23" t="s">
        <v>134</v>
      </c>
      <c r="M23" s="18" t="s">
        <v>174</v>
      </c>
      <c r="N23" s="18" t="s">
        <v>175</v>
      </c>
      <c r="O23" s="18" t="s">
        <v>176</v>
      </c>
      <c r="P23" s="18" t="s">
        <v>3</v>
      </c>
      <c r="Q23" s="18" t="s">
        <v>177</v>
      </c>
      <c r="R23" s="118" t="s">
        <v>178</v>
      </c>
      <c r="S23" s="18" t="s">
        <v>179</v>
      </c>
      <c r="T23" s="18" t="s">
        <v>180</v>
      </c>
      <c r="U23" s="18" t="s">
        <v>15</v>
      </c>
      <c r="V23" s="18" t="s">
        <v>181</v>
      </c>
      <c r="W23" s="18" t="s">
        <v>182</v>
      </c>
      <c r="X23" s="84" t="s">
        <v>183</v>
      </c>
      <c r="Y23" s="18" t="s">
        <v>184</v>
      </c>
      <c r="Z23" s="18"/>
      <c r="AA23" s="18" t="s">
        <v>185</v>
      </c>
      <c r="AB23" s="18" t="s">
        <v>186</v>
      </c>
      <c r="AC23" s="18"/>
      <c r="AD23" s="18"/>
      <c r="AE23">
        <v>2025</v>
      </c>
      <c r="AF23">
        <v>2026</v>
      </c>
      <c r="AG23">
        <v>2027</v>
      </c>
      <c r="AH23">
        <v>2028</v>
      </c>
      <c r="AI23">
        <v>2029</v>
      </c>
      <c r="AJ23">
        <v>2030</v>
      </c>
      <c r="AK23">
        <v>2031</v>
      </c>
      <c r="AL23">
        <v>2032</v>
      </c>
      <c r="AM23">
        <v>2033</v>
      </c>
      <c r="AN23">
        <v>2034</v>
      </c>
      <c r="AO23">
        <v>2035</v>
      </c>
    </row>
    <row r="24" spans="1:41" ht="66.599999999999994" customHeight="1" thickBot="1" x14ac:dyDescent="0.3">
      <c r="A24" s="421" t="s">
        <v>187</v>
      </c>
      <c r="B24" s="423" t="s">
        <v>188</v>
      </c>
      <c r="C24" s="423"/>
      <c r="D24" s="423"/>
      <c r="E24" s="423"/>
      <c r="F24" s="423"/>
      <c r="G24" s="423"/>
      <c r="L24" t="str">
        <f t="shared" ref="L24:L49" si="1">_xlfn.CONCAT(M24:N24)</f>
        <v>DLC-Thermostat-DI-Central Heat PumpResidential</v>
      </c>
      <c r="M24" t="s">
        <v>82</v>
      </c>
      <c r="N24" t="s">
        <v>45</v>
      </c>
      <c r="O24" t="str" cm="1">
        <f t="array" ref="O24">INDEX('Unit Impact by End Use'!D:D,MATCH(1,($M24='Unit Impact by End Use'!$B:$B)*($N24='Unit Impact by End Use'!$C:$C),0))</f>
        <v>kW per participant</v>
      </c>
      <c r="P24" cm="1">
        <f t="array" ref="P24">INDEX('Unit Impact by End Use'!E:E,MATCH(1,($M24='Unit Impact by End Use'!$B:$B)*($N24='Unit Impact by End Use'!$C:$C),0))</f>
        <v>1.21</v>
      </c>
      <c r="Q24">
        <v>2.5</v>
      </c>
      <c r="R24" s="43" cm="1">
        <f t="array" ref="R24">INDEX('Opt Out Factor'!C:C,MATCH(1,($M24='Opt Out Factor'!A:A)*($N24='Opt Out Factor'!B:B),0))</f>
        <v>0.25</v>
      </c>
      <c r="S24" s="36">
        <f>SUMIFS('Winter Peak Load'!H:H,'Winter Peak Load'!B:B,N24)*1000</f>
        <v>1611800.1649159668</v>
      </c>
      <c r="T24" s="36">
        <f>SUMIFS('Customer Count'!G:G,'Customer Count'!B:B,N24)</f>
        <v>490837</v>
      </c>
      <c r="U24" s="22">
        <f>'Global Parameters'!C5</f>
        <v>6.3299999999999995E-2</v>
      </c>
      <c r="V24" s="119">
        <f t="shared" ref="V24:V49" si="2">NPV(U24,AE24:AO24)</f>
        <v>1422.2265322166454</v>
      </c>
      <c r="W24" t="str">
        <f t="shared" ref="W24:W49" si="3">SUBSTITUTE(SUBSTITUTE(N24," Commercial", ""), " Industrial","")</f>
        <v>Residential</v>
      </c>
      <c r="X24" s="123" t="str" cm="1">
        <f t="array" ref="X24">INDEX($B$27:$B$77,MATCH(1, (M24=$A$27:$A$77)*(W24=$C$27:$C$77),0))</f>
        <v>Smart thermostats for central air source heat pump  | Efficient Products Installation</v>
      </c>
      <c r="Y24">
        <f>INDEX($F$24:$F$39,MATCH(X24,$A$24:$A$39,0))</f>
        <v>595.68902151361203</v>
      </c>
      <c r="Z24">
        <f t="shared" ref="Z24:Z49" si="4">INDEX($G$24:$G$39,MATCH(X24,$A$24:$A$39,0))</f>
        <v>969.50410874494003</v>
      </c>
      <c r="AA24" s="43">
        <f t="shared" ref="AA24:AA49" si="5">IFERROR(V24/(SUM(V24,Y24)),0)</f>
        <v>0.70479982652770612</v>
      </c>
      <c r="AB24" s="43">
        <f t="shared" ref="AB24:AB49" si="6">IFERROR(V24/(SUM(V24,Z24)),0)</f>
        <v>0.59464327121922278</v>
      </c>
      <c r="AC24" s="43"/>
      <c r="AE24" s="121">
        <f>$P24*(1-$R24)*(1/$Q24)*IF($O24 = "kW perparticipant",1,$S24/$T24)*(SUM('Avoided Costs'!G$4:G$5))</f>
        <v>120.39318438975481</v>
      </c>
      <c r="AF24" s="121">
        <f>$P24*(1-$R24)*(1/$Q24)*IF($O24 = "kW perparticipant",1,$S24/$T24)*(SUM('Avoided Costs'!H$4:H$5))</f>
        <v>137.08134856259213</v>
      </c>
      <c r="AG24" s="121">
        <f>$P24*(1-$R24)*(1/$Q24)*IF($O24 = "kW perparticipant",1,$S24/$T24)*(SUM('Avoided Costs'!I$4:I$5))</f>
        <v>153.7695127354294</v>
      </c>
      <c r="AH24" s="121">
        <f>$P24*(1-$R24)*(1/$Q24)*IF($O24 = "kW perparticipant",1,$S24/$T24)*(SUM('Avoided Costs'!J$4:J$5))</f>
        <v>168.07365345500423</v>
      </c>
      <c r="AI24" s="121">
        <f>$P24*(1-$R24)*(1/$Q24)*IF($O24 = "kW perparticipant",1,$S24/$T24)*(SUM('Avoided Costs'!K$4:K$5))</f>
        <v>182.37779417457907</v>
      </c>
      <c r="AJ24" s="121">
        <f>$P24*(1-$R24)*(1/$Q24)*IF($O24 = "kW perparticipant",1,$S24/$T24)*(SUM('Avoided Costs'!L$4:L$5))</f>
        <v>195.48992316752268</v>
      </c>
      <c r="AK24" s="121">
        <f>$P24*(1-$R24)*(1/$Q24)*IF($O24 = "kW perparticipant",1,$S24/$T24)*(SUM('Avoided Costs'!M$4:M$5))</f>
        <v>208.60205216046626</v>
      </c>
      <c r="AL24" s="121">
        <f>$P24*(1-$R24)*(1/$Q24)*IF($O24 = "kW perparticipant",1,$S24/$T24)*(SUM('Avoided Costs'!N$4:N$5))</f>
        <v>219.3301577001474</v>
      </c>
      <c r="AM24" s="121">
        <f>$P24*(1-$R24)*(1/$Q24)*IF($O24 = "kW perparticipant",1,$S24/$T24)*(SUM('Avoided Costs'!O$4:O$5))</f>
        <v>230.05826323982851</v>
      </c>
      <c r="AN24" s="121">
        <f>$P24*(1-$R24)*(1/$Q24)*IF($O24 = "kW perparticipant",1,$S24/$T24)*(SUM('Avoided Costs'!P$4:P$5))</f>
        <v>239.59435705287839</v>
      </c>
      <c r="AO24" s="121">
        <f>$P24*(1-$R24)*(1/$Q24)*IF($O24 = "kW perparticipant",1,$S24/$T24)*(SUM('Avoided Costs'!Q$4:Q$5))</f>
        <v>249.13045086592828</v>
      </c>
    </row>
    <row r="25" spans="1:41" ht="14.4" thickBot="1" x14ac:dyDescent="0.3">
      <c r="A25" s="421"/>
      <c r="B25" s="424">
        <v>2023</v>
      </c>
      <c r="C25" s="424"/>
      <c r="D25" s="424">
        <v>2024</v>
      </c>
      <c r="E25" s="424"/>
      <c r="F25" s="426">
        <v>2025</v>
      </c>
      <c r="G25" s="426"/>
      <c r="H25" t="s">
        <v>189</v>
      </c>
      <c r="I25" t="s">
        <v>190</v>
      </c>
      <c r="J25" t="s">
        <v>191</v>
      </c>
      <c r="L25" t="str">
        <f t="shared" si="1"/>
        <v>DLC-Thermostat-BYOT-Central Heat PumpResidential</v>
      </c>
      <c r="M25" t="s">
        <v>83</v>
      </c>
      <c r="N25" t="s">
        <v>45</v>
      </c>
      <c r="O25" t="str" cm="1">
        <f t="array" ref="O25">INDEX('Unit Impact by End Use'!D:D,MATCH(1,($M25='Unit Impact by End Use'!$B:$B)*($N25='Unit Impact by End Use'!$C:$C),0))</f>
        <v>kW per participant</v>
      </c>
      <c r="P25" cm="1">
        <f t="array" ref="P25">INDEX('Unit Impact by End Use'!E:E,MATCH(1,($M25='Unit Impact by End Use'!$B:$B)*($N25='Unit Impact by End Use'!$C:$C),0))</f>
        <v>0</v>
      </c>
      <c r="Q25">
        <v>2.5</v>
      </c>
      <c r="R25" s="43" cm="1">
        <f t="array" ref="R25">INDEX('Opt Out Factor'!C:C,MATCH(1,($M25='Opt Out Factor'!A:A)*($N25='Opt Out Factor'!B:B),0))</f>
        <v>0.25</v>
      </c>
      <c r="S25" s="36">
        <f>SUMIFS('Winter Peak Load'!H:H,'Winter Peak Load'!B:B,N25)*1000</f>
        <v>1611800.1649159668</v>
      </c>
      <c r="T25" s="36">
        <f>SUMIFS('Customer Count'!G:G,'Customer Count'!B:B,N25)</f>
        <v>490837</v>
      </c>
      <c r="U25" s="22">
        <f t="shared" ref="U25:U49" si="7">U24</f>
        <v>6.3299999999999995E-2</v>
      </c>
      <c r="V25" s="119">
        <f t="shared" si="2"/>
        <v>0</v>
      </c>
      <c r="W25" t="str">
        <f t="shared" si="3"/>
        <v>Residential</v>
      </c>
      <c r="X25" s="123" t="e" cm="1">
        <f t="array" ref="X25">INDEX($B$27:$B$77,MATCH(1, (M25=$A$27:$A$77)*(W25=$C$27:$C$77),0))</f>
        <v>#N/A</v>
      </c>
      <c r="Y25">
        <v>0</v>
      </c>
      <c r="Z25" t="e">
        <f t="shared" si="4"/>
        <v>#N/A</v>
      </c>
      <c r="AA25" s="43">
        <f t="shared" si="5"/>
        <v>0</v>
      </c>
      <c r="AB25" s="43">
        <f t="shared" si="6"/>
        <v>0</v>
      </c>
      <c r="AC25" s="43"/>
      <c r="AE25" s="121">
        <f>$P25*(1-$R25)*(1/$Q25)*IF($O25 = "kW perparticipant",1,$S25/$T25)*(SUM('Avoided Costs'!G$4:G$5))</f>
        <v>0</v>
      </c>
      <c r="AF25" s="121">
        <f>$P25*(1-$R25)*(1/$Q25)*IF($O25 = "kW perparticipant",1,$S25/$T25)*(SUM('Avoided Costs'!H$4:H$5))</f>
        <v>0</v>
      </c>
      <c r="AG25" s="121">
        <f>$P25*(1-$R25)*(1/$Q25)*IF($O25 = "kW perparticipant",1,$S25/$T25)*(SUM('Avoided Costs'!I$4:I$5))</f>
        <v>0</v>
      </c>
      <c r="AH25" s="121">
        <f>$P25*(1-$R25)*(1/$Q25)*IF($O25 = "kW perparticipant",1,$S25/$T25)*(SUM('Avoided Costs'!J$4:J$5))</f>
        <v>0</v>
      </c>
      <c r="AI25" s="121">
        <f>$P25*(1-$R25)*(1/$Q25)*IF($O25 = "kW perparticipant",1,$S25/$T25)*(SUM('Avoided Costs'!K$4:K$5))</f>
        <v>0</v>
      </c>
      <c r="AJ25" s="121">
        <f>$P25*(1-$R25)*(1/$Q25)*IF($O25 = "kW perparticipant",1,$S25/$T25)*(SUM('Avoided Costs'!L$4:L$5))</f>
        <v>0</v>
      </c>
      <c r="AK25" s="121">
        <f>$P25*(1-$R25)*(1/$Q25)*IF($O25 = "kW perparticipant",1,$S25/$T25)*(SUM('Avoided Costs'!M$4:M$5))</f>
        <v>0</v>
      </c>
      <c r="AL25" s="121">
        <f>$P25*(1-$R25)*(1/$Q25)*IF($O25 = "kW perparticipant",1,$S25/$T25)*(SUM('Avoided Costs'!N$4:N$5))</f>
        <v>0</v>
      </c>
      <c r="AM25" s="121">
        <f>$P25*(1-$R25)*(1/$Q25)*IF($O25 = "kW perparticipant",1,$S25/$T25)*(SUM('Avoided Costs'!O$4:O$5))</f>
        <v>0</v>
      </c>
      <c r="AN25" s="121">
        <f>$P25*(1-$R25)*(1/$Q25)*IF($O25 = "kW perparticipant",1,$S25/$T25)*(SUM('Avoided Costs'!P$4:P$5))</f>
        <v>0</v>
      </c>
      <c r="AO25" s="121">
        <f>$P25*(1-$R25)*(1/$Q25)*IF($O25 = "kW perparticipant",1,$S25/$T25)*(SUM('Avoided Costs'!Q$4:Q$5))</f>
        <v>0</v>
      </c>
    </row>
    <row r="26" spans="1:41" ht="46.05" customHeight="1" thickBot="1" x14ac:dyDescent="0.3">
      <c r="A26" s="422"/>
      <c r="B26" s="115" t="s">
        <v>192</v>
      </c>
      <c r="C26" s="115" t="s">
        <v>193</v>
      </c>
      <c r="D26" s="115" t="s">
        <v>192</v>
      </c>
      <c r="E26" s="115" t="s">
        <v>193</v>
      </c>
      <c r="F26" s="115" t="s">
        <v>192</v>
      </c>
      <c r="G26" s="115" t="s">
        <v>193</v>
      </c>
      <c r="L26" t="str">
        <f t="shared" si="1"/>
        <v>DLC-Thermostat-DI-Baseboard HeatingResidential</v>
      </c>
      <c r="M26" t="s">
        <v>84</v>
      </c>
      <c r="N26" t="s">
        <v>45</v>
      </c>
      <c r="O26" t="str" cm="1">
        <f t="array" ref="O26">INDEX('Unit Impact by End Use'!D:D,MATCH(1,($M26='Unit Impact by End Use'!$B:$B)*($N26='Unit Impact by End Use'!$C:$C),0))</f>
        <v>kW per participant</v>
      </c>
      <c r="P26" cm="1">
        <f t="array" ref="P26">INDEX('Unit Impact by End Use'!E:E,MATCH(1,($M26='Unit Impact by End Use'!$B:$B)*($N26='Unit Impact by End Use'!$C:$C),0))</f>
        <v>0.5</v>
      </c>
      <c r="Q26">
        <v>2.5</v>
      </c>
      <c r="R26" s="43" cm="1">
        <f t="array" ref="R26">INDEX('Opt Out Factor'!C:C,MATCH(1,($M26='Opt Out Factor'!A:A)*($N26='Opt Out Factor'!B:B),0))</f>
        <v>0.25</v>
      </c>
      <c r="S26" s="36">
        <f>SUMIFS('Winter Peak Load'!H:H,'Winter Peak Load'!B:B,N26)*1000</f>
        <v>1611800.1649159668</v>
      </c>
      <c r="T26" s="36">
        <f>SUMIFS('Customer Count'!G:G,'Customer Count'!B:B,N26)</f>
        <v>490837</v>
      </c>
      <c r="U26" s="22">
        <f t="shared" si="7"/>
        <v>6.3299999999999995E-2</v>
      </c>
      <c r="V26" s="119">
        <f t="shared" si="2"/>
        <v>587.69691413910971</v>
      </c>
      <c r="W26" t="str">
        <f t="shared" si="3"/>
        <v>Residential</v>
      </c>
      <c r="X26" s="123" t="str" cm="1">
        <f t="array" ref="X26">INDEX($B$27:$B$77,MATCH(1, (M26=$A$27:$A$77)*(W26=$C$27:$C$77),0))</f>
        <v>Smart thermostats for electric baseboards | Efficient Products Installation</v>
      </c>
      <c r="Y26">
        <f t="shared" ref="Y26:Y49" si="8">INDEX($F$24:$F$39,MATCH(X26,$A$24:$A$39,0))</f>
        <v>300.07190634326201</v>
      </c>
      <c r="Z26">
        <f t="shared" si="4"/>
        <v>488.37721631918902</v>
      </c>
      <c r="AA26" s="43">
        <f t="shared" si="5"/>
        <v>0.66199319077210095</v>
      </c>
      <c r="AB26" s="43">
        <f t="shared" si="6"/>
        <v>0.5461490965207112</v>
      </c>
      <c r="AC26" s="43"/>
      <c r="AE26" s="121">
        <f>$P26*(1-$R26)*(1/$Q26)*IF($O26 = "kW perparticipant",1,$S26/$T26)*(SUM('Avoided Costs'!G$4:G$5))</f>
        <v>49.749249747832579</v>
      </c>
      <c r="AF26" s="121">
        <f>$P26*(1-$R26)*(1/$Q26)*IF($O26 = "kW perparticipant",1,$S26/$T26)*(SUM('Avoided Costs'!H$4:H$5))</f>
        <v>56.645185356443037</v>
      </c>
      <c r="AG26" s="121">
        <f>$P26*(1-$R26)*(1/$Q26)*IF($O26 = "kW perparticipant",1,$S26/$T26)*(SUM('Avoided Costs'!I$4:I$5))</f>
        <v>63.541120965053487</v>
      </c>
      <c r="AH26" s="121">
        <f>$P26*(1-$R26)*(1/$Q26)*IF($O26 = "kW perparticipant",1,$S26/$T26)*(SUM('Avoided Costs'!J$4:J$5))</f>
        <v>69.451922915291021</v>
      </c>
      <c r="AI26" s="121">
        <f>$P26*(1-$R26)*(1/$Q26)*IF($O26 = "kW perparticipant",1,$S26/$T26)*(SUM('Avoided Costs'!K$4:K$5))</f>
        <v>75.362724865528563</v>
      </c>
      <c r="AJ26" s="121">
        <f>$P26*(1-$R26)*(1/$Q26)*IF($O26 = "kW perparticipant",1,$S26/$T26)*(SUM('Avoided Costs'!L$4:L$5))</f>
        <v>80.780959986579632</v>
      </c>
      <c r="AK26" s="121">
        <f>$P26*(1-$R26)*(1/$Q26)*IF($O26 = "kW perparticipant",1,$S26/$T26)*(SUM('Avoided Costs'!M$4:M$5))</f>
        <v>86.1991951076307</v>
      </c>
      <c r="AL26" s="121">
        <f>$P26*(1-$R26)*(1/$Q26)*IF($O26 = "kW perparticipant",1,$S26/$T26)*(SUM('Avoided Costs'!N$4:N$5))</f>
        <v>90.632296570308853</v>
      </c>
      <c r="AM26" s="121">
        <f>$P26*(1-$R26)*(1/$Q26)*IF($O26 = "kW perparticipant",1,$S26/$T26)*(SUM('Avoided Costs'!O$4:O$5))</f>
        <v>95.065398032987005</v>
      </c>
      <c r="AN26" s="121">
        <f>$P26*(1-$R26)*(1/$Q26)*IF($O26 = "kW perparticipant",1,$S26/$T26)*(SUM('Avoided Costs'!P$4:P$5))</f>
        <v>99.005932666478699</v>
      </c>
      <c r="AO26" s="121">
        <f>$P26*(1-$R26)*(1/$Q26)*IF($O26 = "kW perparticipant",1,$S26/$T26)*(SUM('Avoided Costs'!Q$4:Q$5))</f>
        <v>102.94646729997038</v>
      </c>
    </row>
    <row r="27" spans="1:41" x14ac:dyDescent="0.25">
      <c r="A27" s="164" t="s">
        <v>166</v>
      </c>
      <c r="B27" s="165">
        <v>198.55458776117899</v>
      </c>
      <c r="C27" s="165">
        <v>334.99549773830398</v>
      </c>
      <c r="D27" s="165">
        <v>202.52567951640199</v>
      </c>
      <c r="E27" s="165">
        <v>339.61721274575302</v>
      </c>
      <c r="F27" s="165">
        <v>206.57619310672999</v>
      </c>
      <c r="G27" s="165">
        <v>336.209768440875</v>
      </c>
      <c r="H27">
        <f t="shared" ref="H27:H37" si="9">INDEX($G$78:$G$89,MATCH(A27,$C$78:$C$89,0))</f>
        <v>110.88</v>
      </c>
      <c r="I27">
        <f t="shared" ref="I27:I37" si="10">IF(NOT(ISNUMBER(SEARCH("Business",A27))),1,0)</f>
        <v>0</v>
      </c>
      <c r="J27">
        <f t="shared" ref="J27:J37" si="11">IF(NOT(I27),1,0)</f>
        <v>1</v>
      </c>
      <c r="K27" s="124"/>
      <c r="L27" t="str">
        <f t="shared" si="1"/>
        <v>DLC-Thermostat-BYOT-Baseboard HeatingResidential</v>
      </c>
      <c r="M27" t="s">
        <v>85</v>
      </c>
      <c r="N27" t="s">
        <v>45</v>
      </c>
      <c r="O27" t="str" cm="1">
        <f t="array" ref="O27">INDEX('Unit Impact by End Use'!D:D,MATCH(1,($M27='Unit Impact by End Use'!$B:$B)*($N27='Unit Impact by End Use'!$C:$C),0))</f>
        <v>kW per participant</v>
      </c>
      <c r="P27" cm="1">
        <f t="array" ref="P27">INDEX('Unit Impact by End Use'!E:E,MATCH(1,($M27='Unit Impact by End Use'!$B:$B)*($N27='Unit Impact by End Use'!$C:$C),0))</f>
        <v>0.5</v>
      </c>
      <c r="Q27">
        <v>2.5</v>
      </c>
      <c r="R27" s="43" cm="1">
        <f t="array" ref="R27">INDEX('Opt Out Factor'!C:C,MATCH(1,($M27='Opt Out Factor'!A:A)*($N27='Opt Out Factor'!B:B),0))</f>
        <v>0.25</v>
      </c>
      <c r="S27" s="36">
        <f>SUMIFS('Winter Peak Load'!H:H,'Winter Peak Load'!B:B,N27)*1000</f>
        <v>1611800.1649159668</v>
      </c>
      <c r="T27" s="36">
        <f>SUMIFS('Customer Count'!G:G,'Customer Count'!B:B,N27)</f>
        <v>490837</v>
      </c>
      <c r="U27" s="22">
        <f t="shared" si="7"/>
        <v>6.3299999999999995E-2</v>
      </c>
      <c r="V27" s="119">
        <f t="shared" si="2"/>
        <v>587.69691413910971</v>
      </c>
      <c r="W27" t="str">
        <f t="shared" si="3"/>
        <v>Residential</v>
      </c>
      <c r="X27" s="123" t="str" cm="1">
        <f t="array" ref="X27">INDEX($B$27:$B$77,MATCH(1, (M27=$A$27:$A$77)*(W27=$C$27:$C$77),0))</f>
        <v>Smart thermostats for electric baseboards | Instant Savings</v>
      </c>
      <c r="Y27">
        <f t="shared" si="8"/>
        <v>300.07190634326201</v>
      </c>
      <c r="Z27">
        <f t="shared" si="4"/>
        <v>488.37721631918902</v>
      </c>
      <c r="AA27" s="43">
        <f t="shared" si="5"/>
        <v>0.66199319077210095</v>
      </c>
      <c r="AB27" s="43">
        <f t="shared" si="6"/>
        <v>0.5461490965207112</v>
      </c>
      <c r="AC27" s="43"/>
      <c r="AE27" s="121">
        <f>$P27*(1-$R27)*(1/$Q27)*IF($O27 = "kW perparticipant",1,$S27/$T27)*(SUM('Avoided Costs'!G$4:G$5))</f>
        <v>49.749249747832579</v>
      </c>
      <c r="AF27" s="121">
        <f>$P27*(1-$R27)*(1/$Q27)*IF($O27 = "kW perparticipant",1,$S27/$T27)*(SUM('Avoided Costs'!H$4:H$5))</f>
        <v>56.645185356443037</v>
      </c>
      <c r="AG27" s="121">
        <f>$P27*(1-$R27)*(1/$Q27)*IF($O27 = "kW perparticipant",1,$S27/$T27)*(SUM('Avoided Costs'!I$4:I$5))</f>
        <v>63.541120965053487</v>
      </c>
      <c r="AH27" s="121">
        <f>$P27*(1-$R27)*(1/$Q27)*IF($O27 = "kW perparticipant",1,$S27/$T27)*(SUM('Avoided Costs'!J$4:J$5))</f>
        <v>69.451922915291021</v>
      </c>
      <c r="AI27" s="121">
        <f>$P27*(1-$R27)*(1/$Q27)*IF($O27 = "kW perparticipant",1,$S27/$T27)*(SUM('Avoided Costs'!K$4:K$5))</f>
        <v>75.362724865528563</v>
      </c>
      <c r="AJ27" s="121">
        <f>$P27*(1-$R27)*(1/$Q27)*IF($O27 = "kW perparticipant",1,$S27/$T27)*(SUM('Avoided Costs'!L$4:L$5))</f>
        <v>80.780959986579632</v>
      </c>
      <c r="AK27" s="121">
        <f>$P27*(1-$R27)*(1/$Q27)*IF($O27 = "kW perparticipant",1,$S27/$T27)*(SUM('Avoided Costs'!M$4:M$5))</f>
        <v>86.1991951076307</v>
      </c>
      <c r="AL27" s="121">
        <f>$P27*(1-$R27)*(1/$Q27)*IF($O27 = "kW perparticipant",1,$S27/$T27)*(SUM('Avoided Costs'!N$4:N$5))</f>
        <v>90.632296570308853</v>
      </c>
      <c r="AM27" s="121">
        <f>$P27*(1-$R27)*(1/$Q27)*IF($O27 = "kW perparticipant",1,$S27/$T27)*(SUM('Avoided Costs'!O$4:O$5))</f>
        <v>95.065398032987005</v>
      </c>
      <c r="AN27" s="121">
        <f>$P27*(1-$R27)*(1/$Q27)*IF($O27 = "kW perparticipant",1,$S27/$T27)*(SUM('Avoided Costs'!P$4:P$5))</f>
        <v>99.005932666478699</v>
      </c>
      <c r="AO27" s="121">
        <f>$P27*(1-$R27)*(1/$Q27)*IF($O27 = "kW perparticipant",1,$S27/$T27)*(SUM('Avoided Costs'!Q$4:Q$5))</f>
        <v>102.94646729997038</v>
      </c>
    </row>
    <row r="28" spans="1:41" ht="27.6" x14ac:dyDescent="0.25">
      <c r="A28" s="164" t="s">
        <v>167</v>
      </c>
      <c r="B28" s="165">
        <v>572.55769080508696</v>
      </c>
      <c r="C28" s="165">
        <v>966.00260300127695</v>
      </c>
      <c r="D28" s="165">
        <v>584.00884462118802</v>
      </c>
      <c r="E28" s="165">
        <v>979.32991264474401</v>
      </c>
      <c r="F28" s="165">
        <v>595.68902151361203</v>
      </c>
      <c r="G28" s="165">
        <v>969.50410874494003</v>
      </c>
      <c r="H28">
        <f t="shared" si="9"/>
        <v>0</v>
      </c>
      <c r="I28">
        <f t="shared" si="10"/>
        <v>1</v>
      </c>
      <c r="J28">
        <f t="shared" si="11"/>
        <v>0</v>
      </c>
      <c r="K28" s="124"/>
      <c r="L28" t="str">
        <f t="shared" si="1"/>
        <v>DLC-Thermostat-DI-MSHPResidential</v>
      </c>
      <c r="M28" t="s">
        <v>86</v>
      </c>
      <c r="N28" t="s">
        <v>45</v>
      </c>
      <c r="O28" t="str" cm="1">
        <f t="array" ref="O28">INDEX('Unit Impact by End Use'!D:D,MATCH(1,($M28='Unit Impact by End Use'!$B:$B)*($N28='Unit Impact by End Use'!$C:$C),0))</f>
        <v>kW per participant</v>
      </c>
      <c r="P28" cm="1">
        <f t="array" ref="P28">INDEX('Unit Impact by End Use'!E:E,MATCH(1,($M28='Unit Impact by End Use'!$B:$B)*($N28='Unit Impact by End Use'!$C:$C),0))</f>
        <v>0.5</v>
      </c>
      <c r="Q28">
        <v>2.5</v>
      </c>
      <c r="R28" s="43" cm="1">
        <f t="array" ref="R28">INDEX('Opt Out Factor'!C:C,MATCH(1,($M28='Opt Out Factor'!A:A)*($N28='Opt Out Factor'!B:B),0))</f>
        <v>0.25</v>
      </c>
      <c r="S28" s="36">
        <f>SUMIFS('Winter Peak Load'!H:H,'Winter Peak Load'!B:B,N28)*1000</f>
        <v>1611800.1649159668</v>
      </c>
      <c r="T28" s="36">
        <f>SUMIFS('Customer Count'!G:G,'Customer Count'!B:B,N28)</f>
        <v>490837</v>
      </c>
      <c r="U28" s="22">
        <f t="shared" si="7"/>
        <v>6.3299999999999995E-2</v>
      </c>
      <c r="V28" s="119">
        <f t="shared" si="2"/>
        <v>587.69691413910971</v>
      </c>
      <c r="W28" t="str">
        <f t="shared" si="3"/>
        <v>Residential</v>
      </c>
      <c r="X28" s="123" t="str" cm="1">
        <f t="array" ref="X28">INDEX($B$27:$B$77,MATCH(1, (M28=$A$27:$A$77)*(W28=$C$27:$C$77),0))</f>
        <v>Smart thermostats for mini-split heat pumps | Efficient Products Installation</v>
      </c>
      <c r="Y28">
        <f t="shared" si="8"/>
        <v>148.97176301412901</v>
      </c>
      <c r="Z28">
        <f t="shared" si="4"/>
        <v>242.456602544379</v>
      </c>
      <c r="AA28" s="43">
        <f t="shared" si="5"/>
        <v>0.79777643921306496</v>
      </c>
      <c r="AB28" s="43">
        <f t="shared" si="6"/>
        <v>0.70793763120704811</v>
      </c>
      <c r="AC28" s="43"/>
      <c r="AE28" s="121">
        <f>$P28*(1-$R28)*(1/$Q28)*IF($O28 = "kW perparticipant",1,$S28/$T28)*(SUM('Avoided Costs'!G$4:G$5))</f>
        <v>49.749249747832579</v>
      </c>
      <c r="AF28" s="121">
        <f>$P28*(1-$R28)*(1/$Q28)*IF($O28 = "kW perparticipant",1,$S28/$T28)*(SUM('Avoided Costs'!H$4:H$5))</f>
        <v>56.645185356443037</v>
      </c>
      <c r="AG28" s="121">
        <f>$P28*(1-$R28)*(1/$Q28)*IF($O28 = "kW perparticipant",1,$S28/$T28)*(SUM('Avoided Costs'!I$4:I$5))</f>
        <v>63.541120965053487</v>
      </c>
      <c r="AH28" s="121">
        <f>$P28*(1-$R28)*(1/$Q28)*IF($O28 = "kW perparticipant",1,$S28/$T28)*(SUM('Avoided Costs'!J$4:J$5))</f>
        <v>69.451922915291021</v>
      </c>
      <c r="AI28" s="121">
        <f>$P28*(1-$R28)*(1/$Q28)*IF($O28 = "kW perparticipant",1,$S28/$T28)*(SUM('Avoided Costs'!K$4:K$5))</f>
        <v>75.362724865528563</v>
      </c>
      <c r="AJ28" s="121">
        <f>$P28*(1-$R28)*(1/$Q28)*IF($O28 = "kW perparticipant",1,$S28/$T28)*(SUM('Avoided Costs'!L$4:L$5))</f>
        <v>80.780959986579632</v>
      </c>
      <c r="AK28" s="121">
        <f>$P28*(1-$R28)*(1/$Q28)*IF($O28 = "kW perparticipant",1,$S28/$T28)*(SUM('Avoided Costs'!M$4:M$5))</f>
        <v>86.1991951076307</v>
      </c>
      <c r="AL28" s="121">
        <f>$P28*(1-$R28)*(1/$Q28)*IF($O28 = "kW perparticipant",1,$S28/$T28)*(SUM('Avoided Costs'!N$4:N$5))</f>
        <v>90.632296570308853</v>
      </c>
      <c r="AM28" s="121">
        <f>$P28*(1-$R28)*(1/$Q28)*IF($O28 = "kW perparticipant",1,$S28/$T28)*(SUM('Avoided Costs'!O$4:O$5))</f>
        <v>95.065398032987005</v>
      </c>
      <c r="AN28" s="121">
        <f>$P28*(1-$R28)*(1/$Q28)*IF($O28 = "kW perparticipant",1,$S28/$T28)*(SUM('Avoided Costs'!P$4:P$5))</f>
        <v>99.005932666478699</v>
      </c>
      <c r="AO28" s="121">
        <f>$P28*(1-$R28)*(1/$Q28)*IF($O28 = "kW perparticipant",1,$S28/$T28)*(SUM('Avoided Costs'!Q$4:Q$5))</f>
        <v>102.94646729997038</v>
      </c>
    </row>
    <row r="29" spans="1:41" ht="27.6" x14ac:dyDescent="0.25">
      <c r="A29" s="164" t="s">
        <v>163</v>
      </c>
      <c r="B29" s="165">
        <v>198.55458776117899</v>
      </c>
      <c r="C29" s="165">
        <v>334.99549773830398</v>
      </c>
      <c r="D29" s="165">
        <v>202.52567951640199</v>
      </c>
      <c r="E29" s="165">
        <v>339.61721274575302</v>
      </c>
      <c r="F29" s="165">
        <v>206.57619310672999</v>
      </c>
      <c r="G29" s="165">
        <v>336.209768440875</v>
      </c>
      <c r="H29">
        <f t="shared" si="9"/>
        <v>16.84</v>
      </c>
      <c r="I29">
        <f t="shared" si="10"/>
        <v>0</v>
      </c>
      <c r="J29">
        <f t="shared" si="11"/>
        <v>1</v>
      </c>
      <c r="K29" s="124"/>
      <c r="L29" t="str">
        <f t="shared" si="1"/>
        <v>DLC-Thermostat-BYOT-MSHPResidential</v>
      </c>
      <c r="M29" t="s">
        <v>87</v>
      </c>
      <c r="N29" t="s">
        <v>45</v>
      </c>
      <c r="O29" t="str" cm="1">
        <f t="array" ref="O29">INDEX('Unit Impact by End Use'!D:D,MATCH(1,($M29='Unit Impact by End Use'!$B:$B)*($N29='Unit Impact by End Use'!$C:$C),0))</f>
        <v>kW per participant</v>
      </c>
      <c r="P29" cm="1">
        <f t="array" ref="P29">INDEX('Unit Impact by End Use'!E:E,MATCH(1,($M29='Unit Impact by End Use'!$B:$B)*($N29='Unit Impact by End Use'!$C:$C),0))</f>
        <v>0.5</v>
      </c>
      <c r="Q29">
        <v>2.5</v>
      </c>
      <c r="R29" s="43" cm="1">
        <f t="array" ref="R29">INDEX('Opt Out Factor'!C:C,MATCH(1,($M29='Opt Out Factor'!A:A)*($N29='Opt Out Factor'!B:B),0))</f>
        <v>0.25</v>
      </c>
      <c r="S29" s="36">
        <f>SUMIFS('Winter Peak Load'!H:H,'Winter Peak Load'!B:B,N29)*1000</f>
        <v>1611800.1649159668</v>
      </c>
      <c r="T29" s="36">
        <f>SUMIFS('Customer Count'!G:G,'Customer Count'!B:B,N29)</f>
        <v>490837</v>
      </c>
      <c r="U29" s="22">
        <f t="shared" si="7"/>
        <v>6.3299999999999995E-2</v>
      </c>
      <c r="V29" s="119">
        <f t="shared" si="2"/>
        <v>587.69691413910971</v>
      </c>
      <c r="W29" t="str">
        <f t="shared" si="3"/>
        <v>Residential</v>
      </c>
      <c r="X29" s="123" t="str" cm="1">
        <f t="array" ref="X29">INDEX($B$27:$B$77,MATCH(1, (M29=$A$27:$A$77)*(W29=$C$27:$C$77),0))</f>
        <v>Smart thermostats for mini-split heat pumps | Instant Savings</v>
      </c>
      <c r="Y29">
        <f t="shared" si="8"/>
        <v>148.97176301412901</v>
      </c>
      <c r="Z29">
        <f t="shared" si="4"/>
        <v>242.456602544379</v>
      </c>
      <c r="AA29" s="43">
        <f t="shared" si="5"/>
        <v>0.79777643921306496</v>
      </c>
      <c r="AB29" s="43">
        <f t="shared" si="6"/>
        <v>0.70793763120704811</v>
      </c>
      <c r="AC29" s="43"/>
      <c r="AE29" s="121">
        <f>$P29*(1-$R29)*(1/$Q29)*IF($O29 = "kW perparticipant",1,$S29/$T29)*(SUM('Avoided Costs'!G$4:G$5))</f>
        <v>49.749249747832579</v>
      </c>
      <c r="AF29" s="121">
        <f>$P29*(1-$R29)*(1/$Q29)*IF($O29 = "kW perparticipant",1,$S29/$T29)*(SUM('Avoided Costs'!H$4:H$5))</f>
        <v>56.645185356443037</v>
      </c>
      <c r="AG29" s="121">
        <f>$P29*(1-$R29)*(1/$Q29)*IF($O29 = "kW perparticipant",1,$S29/$T29)*(SUM('Avoided Costs'!I$4:I$5))</f>
        <v>63.541120965053487</v>
      </c>
      <c r="AH29" s="121">
        <f>$P29*(1-$R29)*(1/$Q29)*IF($O29 = "kW perparticipant",1,$S29/$T29)*(SUM('Avoided Costs'!J$4:J$5))</f>
        <v>69.451922915291021</v>
      </c>
      <c r="AI29" s="121">
        <f>$P29*(1-$R29)*(1/$Q29)*IF($O29 = "kW perparticipant",1,$S29/$T29)*(SUM('Avoided Costs'!K$4:K$5))</f>
        <v>75.362724865528563</v>
      </c>
      <c r="AJ29" s="121">
        <f>$P29*(1-$R29)*(1/$Q29)*IF($O29 = "kW perparticipant",1,$S29/$T29)*(SUM('Avoided Costs'!L$4:L$5))</f>
        <v>80.780959986579632</v>
      </c>
      <c r="AK29" s="121">
        <f>$P29*(1-$R29)*(1/$Q29)*IF($O29 = "kW perparticipant",1,$S29/$T29)*(SUM('Avoided Costs'!M$4:M$5))</f>
        <v>86.1991951076307</v>
      </c>
      <c r="AL29" s="121">
        <f>$P29*(1-$R29)*(1/$Q29)*IF($O29 = "kW perparticipant",1,$S29/$T29)*(SUM('Avoided Costs'!N$4:N$5))</f>
        <v>90.632296570308853</v>
      </c>
      <c r="AM29" s="121">
        <f>$P29*(1-$R29)*(1/$Q29)*IF($O29 = "kW perparticipant",1,$S29/$T29)*(SUM('Avoided Costs'!O$4:O$5))</f>
        <v>95.065398032987005</v>
      </c>
      <c r="AN29" s="121">
        <f>$P29*(1-$R29)*(1/$Q29)*IF($O29 = "kW perparticipant",1,$S29/$T29)*(SUM('Avoided Costs'!P$4:P$5))</f>
        <v>99.005932666478699</v>
      </c>
      <c r="AO29" s="121">
        <f>$P29*(1-$R29)*(1/$Q29)*IF($O29 = "kW perparticipant",1,$S29/$T29)*(SUM('Avoided Costs'!Q$4:Q$5))</f>
        <v>102.94646729997038</v>
      </c>
    </row>
    <row r="30" spans="1:41" x14ac:dyDescent="0.25">
      <c r="A30" s="164" t="s">
        <v>164</v>
      </c>
      <c r="B30" s="165">
        <v>97.278422191718406</v>
      </c>
      <c r="C30" s="165">
        <v>164.12531097245801</v>
      </c>
      <c r="D30" s="165">
        <v>99.223990635552695</v>
      </c>
      <c r="E30" s="165">
        <v>166.38964114389199</v>
      </c>
      <c r="F30" s="165">
        <v>101.20847044826399</v>
      </c>
      <c r="G30" s="165">
        <v>164.72022212203899</v>
      </c>
      <c r="H30">
        <f t="shared" si="9"/>
        <v>724.44</v>
      </c>
      <c r="I30">
        <f t="shared" si="10"/>
        <v>0</v>
      </c>
      <c r="J30">
        <f t="shared" si="11"/>
        <v>1</v>
      </c>
      <c r="K30" s="124"/>
      <c r="L30" t="str">
        <f t="shared" si="1"/>
        <v>DLC-Thermostat-HVACSmall Commercial</v>
      </c>
      <c r="M30" t="s">
        <v>88</v>
      </c>
      <c r="N30" t="s">
        <v>40</v>
      </c>
      <c r="O30" t="str" cm="1">
        <f t="array" ref="O30">INDEX('Unit Impact by End Use'!D:D,MATCH(1,($M30='Unit Impact by End Use'!$B:$B)*($N30='Unit Impact by End Use'!$C:$C),0))</f>
        <v>% of enduse load</v>
      </c>
      <c r="P30" cm="1">
        <f t="array" ref="P30">INDEX('Unit Impact by End Use'!E:E,MATCH(1,($M30='Unit Impact by End Use'!$B:$B)*($N30='Unit Impact by End Use'!$C:$C),0))</f>
        <v>0</v>
      </c>
      <c r="Q30">
        <v>5</v>
      </c>
      <c r="R30" s="43" cm="1">
        <f t="array" ref="R30">INDEX('Opt Out Factor'!C:C,MATCH(1,($M30='Opt Out Factor'!A:A)*($N30='Opt Out Factor'!B:B),0))</f>
        <v>0.25</v>
      </c>
      <c r="S30" s="36">
        <f>SUMIFS('Winter Peak Load'!H:H,'Winter Peak Load'!B:B,N30)*1000</f>
        <v>427685.23227704066</v>
      </c>
      <c r="T30" s="36">
        <f>SUMIFS('Customer Count'!G:G,'Customer Count'!B:B,N30)</f>
        <v>37289.565769825247</v>
      </c>
      <c r="U30" s="22">
        <f t="shared" si="7"/>
        <v>6.3299999999999995E-2</v>
      </c>
      <c r="V30" s="119">
        <f t="shared" si="2"/>
        <v>0</v>
      </c>
      <c r="W30" t="str">
        <f t="shared" si="3"/>
        <v>Small</v>
      </c>
      <c r="X30" s="123" t="e" cm="1">
        <f t="array" ref="X30">INDEX($B$27:$B$77,MATCH(1, (M30=$A$27:$A$77)*(W30=$C$27:$C$77),0))</f>
        <v>#N/A</v>
      </c>
      <c r="Y30" t="e">
        <f t="shared" si="8"/>
        <v>#N/A</v>
      </c>
      <c r="Z30" t="e">
        <f t="shared" si="4"/>
        <v>#N/A</v>
      </c>
      <c r="AA30" s="43">
        <f t="shared" si="5"/>
        <v>0</v>
      </c>
      <c r="AB30" s="43">
        <f t="shared" si="6"/>
        <v>0</v>
      </c>
      <c r="AC30" s="43"/>
      <c r="AE30" s="121">
        <f>$P30*(1-$R30)*(1/$Q30)*IF($O30 = "kW perparticipant",1,$S30/$T30)*(SUM('Avoided Costs'!G$4:G$5))</f>
        <v>0</v>
      </c>
      <c r="AF30" s="121">
        <f>$P30*(1-$R30)*(1/$Q30)*IF($O30 = "kW perparticipant",1,$S30/$T30)*(SUM('Avoided Costs'!H$4:H$5))</f>
        <v>0</v>
      </c>
      <c r="AG30" s="121">
        <f>$P30*(1-$R30)*(1/$Q30)*IF($O30 = "kW perparticipant",1,$S30/$T30)*(SUM('Avoided Costs'!I$4:I$5))</f>
        <v>0</v>
      </c>
      <c r="AH30" s="121">
        <f>$P30*(1-$R30)*(1/$Q30)*IF($O30 = "kW perparticipant",1,$S30/$T30)*(SUM('Avoided Costs'!J$4:J$5))</f>
        <v>0</v>
      </c>
      <c r="AI30" s="121">
        <f>$P30*(1-$R30)*(1/$Q30)*IF($O30 = "kW perparticipant",1,$S30/$T30)*(SUM('Avoided Costs'!K$4:K$5))</f>
        <v>0</v>
      </c>
      <c r="AJ30" s="121">
        <f>$P30*(1-$R30)*(1/$Q30)*IF($O30 = "kW perparticipant",1,$S30/$T30)*(SUM('Avoided Costs'!L$4:L$5))</f>
        <v>0</v>
      </c>
      <c r="AK30" s="121">
        <f>$P30*(1-$R30)*(1/$Q30)*IF($O30 = "kW perparticipant",1,$S30/$T30)*(SUM('Avoided Costs'!M$4:M$5))</f>
        <v>0</v>
      </c>
      <c r="AL30" s="121">
        <f>$P30*(1-$R30)*(1/$Q30)*IF($O30 = "kW perparticipant",1,$S30/$T30)*(SUM('Avoided Costs'!N$4:N$5))</f>
        <v>0</v>
      </c>
      <c r="AM30" s="121">
        <f>$P30*(1-$R30)*(1/$Q30)*IF($O30 = "kW perparticipant",1,$S30/$T30)*(SUM('Avoided Costs'!O$4:O$5))</f>
        <v>0</v>
      </c>
      <c r="AN30" s="121">
        <f>$P30*(1-$R30)*(1/$Q30)*IF($O30 = "kW perparticipant",1,$S30/$T30)*(SUM('Avoided Costs'!P$4:P$5))</f>
        <v>0</v>
      </c>
      <c r="AO30" s="121">
        <f>$P30*(1-$R30)*(1/$Q30)*IF($O30 = "kW perparticipant",1,$S30/$T30)*(SUM('Avoided Costs'!Q$4:Q$5))</f>
        <v>0</v>
      </c>
    </row>
    <row r="31" spans="1:41" x14ac:dyDescent="0.25">
      <c r="A31" s="164" t="s">
        <v>155</v>
      </c>
      <c r="B31" s="165">
        <v>288.41974850371201</v>
      </c>
      <c r="C31" s="165">
        <v>486.61337064531199</v>
      </c>
      <c r="D31" s="165">
        <v>294.18814347378702</v>
      </c>
      <c r="E31" s="165">
        <v>493.326858835812</v>
      </c>
      <c r="F31" s="165">
        <v>300.07190634326201</v>
      </c>
      <c r="G31" s="165">
        <v>488.37721631918902</v>
      </c>
      <c r="H31">
        <f t="shared" si="9"/>
        <v>0</v>
      </c>
      <c r="I31">
        <f t="shared" si="10"/>
        <v>1</v>
      </c>
      <c r="J31">
        <f t="shared" si="11"/>
        <v>0</v>
      </c>
      <c r="K31" s="124"/>
      <c r="L31" t="str">
        <f t="shared" si="1"/>
        <v>DLC-Thermostat-HVACSmall Industrial</v>
      </c>
      <c r="M31" t="s">
        <v>88</v>
      </c>
      <c r="N31" t="s">
        <v>42</v>
      </c>
      <c r="O31" t="str" cm="1">
        <f t="array" ref="O31">INDEX('Unit Impact by End Use'!D:D,MATCH(1,($M31='Unit Impact by End Use'!$B:$B)*($N31='Unit Impact by End Use'!$C:$C),0))</f>
        <v>% of enduse load</v>
      </c>
      <c r="P31" cm="1">
        <f t="array" ref="P31">INDEX('Unit Impact by End Use'!E:E,MATCH(1,($M31='Unit Impact by End Use'!$B:$B)*($N31='Unit Impact by End Use'!$C:$C),0))</f>
        <v>0</v>
      </c>
      <c r="Q31">
        <v>5</v>
      </c>
      <c r="R31" s="43" cm="1">
        <f t="array" ref="R31">INDEX('Opt Out Factor'!C:C,MATCH(1,($M31='Opt Out Factor'!A:A)*($N31='Opt Out Factor'!B:B),0))</f>
        <v>0.25</v>
      </c>
      <c r="S31" s="36">
        <f>SUMIFS('Winter Peak Load'!H:H,'Winter Peak Load'!B:B,N31)*1000</f>
        <v>29828.400006769331</v>
      </c>
      <c r="T31" s="36">
        <f>SUMIFS('Customer Count'!G:G,'Customer Count'!B:B,N31)</f>
        <v>2136</v>
      </c>
      <c r="U31" s="22">
        <f t="shared" si="7"/>
        <v>6.3299999999999995E-2</v>
      </c>
      <c r="V31" s="119">
        <f t="shared" si="2"/>
        <v>0</v>
      </c>
      <c r="W31" t="str">
        <f t="shared" si="3"/>
        <v>Small</v>
      </c>
      <c r="X31" s="123" t="e" cm="1">
        <f t="array" ref="X31">INDEX($B$27:$B$77,MATCH(1, (M31=$A$27:$A$77)*(W31=$C$27:$C$77),0))</f>
        <v>#N/A</v>
      </c>
      <c r="Y31" t="e">
        <f t="shared" si="8"/>
        <v>#N/A</v>
      </c>
      <c r="Z31" t="e">
        <f t="shared" si="4"/>
        <v>#N/A</v>
      </c>
      <c r="AA31" s="43">
        <f t="shared" si="5"/>
        <v>0</v>
      </c>
      <c r="AB31" s="43">
        <f t="shared" si="6"/>
        <v>0</v>
      </c>
      <c r="AC31" s="43"/>
      <c r="AE31" s="121">
        <f>$P31*(1-$R31)*(1/$Q31)*IF($O31 = "kW perparticipant",1,$S31/$T31)*(SUM('Avoided Costs'!G$4:G$5))</f>
        <v>0</v>
      </c>
      <c r="AF31" s="121">
        <f>$P31*(1-$R31)*(1/$Q31)*IF($O31 = "kW perparticipant",1,$S31/$T31)*(SUM('Avoided Costs'!H$4:H$5))</f>
        <v>0</v>
      </c>
      <c r="AG31" s="121">
        <f>$P31*(1-$R31)*(1/$Q31)*IF($O31 = "kW perparticipant",1,$S31/$T31)*(SUM('Avoided Costs'!I$4:I$5))</f>
        <v>0</v>
      </c>
      <c r="AH31" s="121">
        <f>$P31*(1-$R31)*(1/$Q31)*IF($O31 = "kW perparticipant",1,$S31/$T31)*(SUM('Avoided Costs'!J$4:J$5))</f>
        <v>0</v>
      </c>
      <c r="AI31" s="121">
        <f>$P31*(1-$R31)*(1/$Q31)*IF($O31 = "kW perparticipant",1,$S31/$T31)*(SUM('Avoided Costs'!K$4:K$5))</f>
        <v>0</v>
      </c>
      <c r="AJ31" s="121">
        <f>$P31*(1-$R31)*(1/$Q31)*IF($O31 = "kW perparticipant",1,$S31/$T31)*(SUM('Avoided Costs'!L$4:L$5))</f>
        <v>0</v>
      </c>
      <c r="AK31" s="121">
        <f>$P31*(1-$R31)*(1/$Q31)*IF($O31 = "kW perparticipant",1,$S31/$T31)*(SUM('Avoided Costs'!M$4:M$5))</f>
        <v>0</v>
      </c>
      <c r="AL31" s="121">
        <f>$P31*(1-$R31)*(1/$Q31)*IF($O31 = "kW perparticipant",1,$S31/$T31)*(SUM('Avoided Costs'!N$4:N$5))</f>
        <v>0</v>
      </c>
      <c r="AM31" s="121">
        <f>$P31*(1-$R31)*(1/$Q31)*IF($O31 = "kW perparticipant",1,$S31/$T31)*(SUM('Avoided Costs'!O$4:O$5))</f>
        <v>0</v>
      </c>
      <c r="AN31" s="121">
        <f>$P31*(1-$R31)*(1/$Q31)*IF($O31 = "kW perparticipant",1,$S31/$T31)*(SUM('Avoided Costs'!P$4:P$5))</f>
        <v>0</v>
      </c>
      <c r="AO31" s="121">
        <f>$P31*(1-$R31)*(1/$Q31)*IF($O31 = "kW perparticipant",1,$S31/$T31)*(SUM('Avoided Costs'!Q$4:Q$5))</f>
        <v>0</v>
      </c>
    </row>
    <row r="32" spans="1:41" ht="27.6" x14ac:dyDescent="0.25">
      <c r="A32" s="164" t="s">
        <v>159</v>
      </c>
      <c r="B32" s="165">
        <v>288.41974850371201</v>
      </c>
      <c r="C32" s="165">
        <v>486.61337064531199</v>
      </c>
      <c r="D32" s="165">
        <v>294.18814347378702</v>
      </c>
      <c r="E32" s="165">
        <v>493.326858835812</v>
      </c>
      <c r="F32" s="165">
        <v>300.07190634326201</v>
      </c>
      <c r="G32" s="165">
        <v>488.37721631918902</v>
      </c>
      <c r="H32">
        <f t="shared" si="9"/>
        <v>411</v>
      </c>
      <c r="I32">
        <f t="shared" si="10"/>
        <v>1</v>
      </c>
      <c r="J32">
        <f t="shared" si="11"/>
        <v>0</v>
      </c>
      <c r="K32" s="124"/>
      <c r="L32" t="str">
        <f t="shared" si="1"/>
        <v>DLC-Thermostat-DI-Central Heat PumpSmall Commercial</v>
      </c>
      <c r="M32" t="s">
        <v>82</v>
      </c>
      <c r="N32" t="s">
        <v>40</v>
      </c>
      <c r="O32" t="str" cm="1">
        <f t="array" ref="O32">INDEX('Unit Impact by End Use'!D:D,MATCH(1,($M32='Unit Impact by End Use'!$B:$B)*($N32='Unit Impact by End Use'!$C:$C),0))</f>
        <v>kW per participant</v>
      </c>
      <c r="P32" cm="1">
        <f t="array" ref="P32">INDEX('Unit Impact by End Use'!E:E,MATCH(1,($M32='Unit Impact by End Use'!$B:$B)*($N32='Unit Impact by End Use'!$C:$C),0))</f>
        <v>2.42</v>
      </c>
      <c r="Q32">
        <v>5</v>
      </c>
      <c r="R32" s="43" cm="1">
        <f t="array" ref="R32">INDEX('Opt Out Factor'!C:C,MATCH(1,($M32='Opt Out Factor'!A:A)*($N32='Opt Out Factor'!B:B),0))</f>
        <v>0.25</v>
      </c>
      <c r="S32" s="36">
        <f>SUMIFS('Winter Peak Load'!H:H,'Winter Peak Load'!B:B,N32)*1000</f>
        <v>427685.23227704066</v>
      </c>
      <c r="T32" s="36">
        <f>SUMIFS('Customer Count'!G:G,'Customer Count'!B:B,N32)</f>
        <v>37289.565769825247</v>
      </c>
      <c r="U32" s="22">
        <f t="shared" si="7"/>
        <v>6.3299999999999995E-2</v>
      </c>
      <c r="V32" s="119">
        <f t="shared" si="2"/>
        <v>4967.4305274328262</v>
      </c>
      <c r="W32" t="str">
        <f t="shared" si="3"/>
        <v>Small</v>
      </c>
      <c r="X32" s="123" t="str" cm="1">
        <f t="array" ref="X32">INDEX($B$27:$B$77,MATCH(1, (M32=$A$27:$A$77)*(W32=$C$27:$C$77),0))</f>
        <v>Smart thermostats for central air source heat pump  | Business Energy Rebates</v>
      </c>
      <c r="Y32">
        <f t="shared" si="8"/>
        <v>206.57619310672999</v>
      </c>
      <c r="Z32">
        <f t="shared" si="4"/>
        <v>336.209768440875</v>
      </c>
      <c r="AA32" s="43">
        <f t="shared" si="5"/>
        <v>0.96007423177734341</v>
      </c>
      <c r="AB32" s="43">
        <f t="shared" si="6"/>
        <v>0.93660773550151</v>
      </c>
      <c r="AC32" s="43"/>
      <c r="AE32" s="121">
        <f>$P32*(1-$R32)*(1/$Q32)*IF($O32 = "kW perparticipant",1,$S32/$T32)*(SUM('Avoided Costs'!G$4:G$5))</f>
        <v>420.49896123117622</v>
      </c>
      <c r="AF32" s="121">
        <f>$P32*(1-$R32)*(1/$Q32)*IF($O32 = "kW perparticipant",1,$S32/$T32)*(SUM('Avoided Costs'!H$4:H$5))</f>
        <v>478.78594595628971</v>
      </c>
      <c r="AG32" s="121">
        <f>$P32*(1-$R32)*(1/$Q32)*IF($O32 = "kW perparticipant",1,$S32/$T32)*(SUM('Avoided Costs'!I$4:I$5))</f>
        <v>537.07293068140325</v>
      </c>
      <c r="AH32" s="121">
        <f>$P32*(1-$R32)*(1/$Q32)*IF($O32 = "kW perparticipant",1,$S32/$T32)*(SUM('Avoided Costs'!J$4:J$5))</f>
        <v>587.03320330292911</v>
      </c>
      <c r="AI32" s="121">
        <f>$P32*(1-$R32)*(1/$Q32)*IF($O32 = "kW perparticipant",1,$S32/$T32)*(SUM('Avoided Costs'!K$4:K$5))</f>
        <v>636.99347592445508</v>
      </c>
      <c r="AJ32" s="121">
        <f>$P32*(1-$R32)*(1/$Q32)*IF($O32 = "kW perparticipant",1,$S32/$T32)*(SUM('Avoided Costs'!L$4:L$5))</f>
        <v>682.79039249418713</v>
      </c>
      <c r="AK32" s="121">
        <f>$P32*(1-$R32)*(1/$Q32)*IF($O32 = "kW perparticipant",1,$S32/$T32)*(SUM('Avoided Costs'!M$4:M$5))</f>
        <v>728.58730906391918</v>
      </c>
      <c r="AL32" s="121">
        <f>$P32*(1-$R32)*(1/$Q32)*IF($O32 = "kW perparticipant",1,$S32/$T32)*(SUM('Avoided Costs'!N$4:N$5))</f>
        <v>766.0575135300636</v>
      </c>
      <c r="AM32" s="121">
        <f>$P32*(1-$R32)*(1/$Q32)*IF($O32 = "kW perparticipant",1,$S32/$T32)*(SUM('Avoided Costs'!O$4:O$5))</f>
        <v>803.52771799620803</v>
      </c>
      <c r="AN32" s="121">
        <f>$P32*(1-$R32)*(1/$Q32)*IF($O32 = "kW perparticipant",1,$S32/$T32)*(SUM('Avoided Costs'!P$4:P$5))</f>
        <v>836.83456641055852</v>
      </c>
      <c r="AO32" s="121">
        <f>$P32*(1-$R32)*(1/$Q32)*IF($O32 = "kW perparticipant",1,$S32/$T32)*(SUM('Avoided Costs'!Q$4:Q$5))</f>
        <v>870.14141482490913</v>
      </c>
    </row>
    <row r="33" spans="1:41" ht="27.6" x14ac:dyDescent="0.25">
      <c r="A33" s="164" t="s">
        <v>161</v>
      </c>
      <c r="B33" s="165">
        <v>97.278422191718406</v>
      </c>
      <c r="C33" s="165">
        <v>164.12531097245801</v>
      </c>
      <c r="D33" s="165">
        <v>99.223990635552695</v>
      </c>
      <c r="E33" s="165">
        <v>166.38964114389199</v>
      </c>
      <c r="F33" s="165">
        <v>101.20847044826399</v>
      </c>
      <c r="G33" s="165">
        <v>164.72022212204001</v>
      </c>
      <c r="H33">
        <f t="shared" si="9"/>
        <v>110</v>
      </c>
      <c r="I33">
        <f t="shared" si="10"/>
        <v>0</v>
      </c>
      <c r="J33">
        <f t="shared" si="11"/>
        <v>1</v>
      </c>
      <c r="K33" s="124"/>
      <c r="L33" t="str">
        <f t="shared" si="1"/>
        <v>DLC-Thermostat-BYOT-Central Heat PumpSmall Commercial</v>
      </c>
      <c r="M33" t="s">
        <v>83</v>
      </c>
      <c r="N33" t="s">
        <v>40</v>
      </c>
      <c r="O33" t="str" cm="1">
        <f t="array" ref="O33">INDEX('Unit Impact by End Use'!D:D,MATCH(1,($M33='Unit Impact by End Use'!$B:$B)*($N33='Unit Impact by End Use'!$C:$C),0))</f>
        <v>kW per participant</v>
      </c>
      <c r="P33" cm="1">
        <f t="array" ref="P33">INDEX('Unit Impact by End Use'!E:E,MATCH(1,($M33='Unit Impact by End Use'!$B:$B)*($N33='Unit Impact by End Use'!$C:$C),0))</f>
        <v>0</v>
      </c>
      <c r="Q33">
        <v>5</v>
      </c>
      <c r="R33" s="43" cm="1">
        <f t="array" ref="R33">INDEX('Opt Out Factor'!C:C,MATCH(1,($M33='Opt Out Factor'!A:A)*($N33='Opt Out Factor'!B:B),0))</f>
        <v>0.25</v>
      </c>
      <c r="S33" s="36">
        <f>SUMIFS('Winter Peak Load'!H:H,'Winter Peak Load'!B:B,N33)*1000</f>
        <v>427685.23227704066</v>
      </c>
      <c r="T33" s="36">
        <f>SUMIFS('Customer Count'!G:G,'Customer Count'!B:B,N33)</f>
        <v>37289.565769825247</v>
      </c>
      <c r="U33" s="22">
        <f t="shared" si="7"/>
        <v>6.3299999999999995E-2</v>
      </c>
      <c r="V33" s="119">
        <f t="shared" si="2"/>
        <v>0</v>
      </c>
      <c r="W33" t="str">
        <f t="shared" si="3"/>
        <v>Small</v>
      </c>
      <c r="X33" s="123" t="str" cm="1">
        <f t="array" ref="X33">INDEX($B$27:$B$77,MATCH(1, (M33=$A$27:$A$77)*(W33=$C$27:$C$77),0))</f>
        <v>Smart thermostats for central air source heat pump  | Business Energy Rebates</v>
      </c>
      <c r="Y33">
        <f t="shared" si="8"/>
        <v>206.57619310672999</v>
      </c>
      <c r="Z33">
        <f t="shared" si="4"/>
        <v>336.209768440875</v>
      </c>
      <c r="AA33" s="43">
        <f t="shared" si="5"/>
        <v>0</v>
      </c>
      <c r="AB33" s="43">
        <f t="shared" si="6"/>
        <v>0</v>
      </c>
      <c r="AC33" s="43"/>
      <c r="AE33" s="121">
        <f>$P33*(1-$R33)*(1/$Q33)*IF($O33 = "kW perparticipant",1,$S33/$T33)*(SUM('Avoided Costs'!G$4:G$5))</f>
        <v>0</v>
      </c>
      <c r="AF33" s="121">
        <f>$P33*(1-$R33)*(1/$Q33)*IF($O33 = "kW perparticipant",1,$S33/$T33)*(SUM('Avoided Costs'!H$4:H$5))</f>
        <v>0</v>
      </c>
      <c r="AG33" s="121">
        <f>$P33*(1-$R33)*(1/$Q33)*IF($O33 = "kW perparticipant",1,$S33/$T33)*(SUM('Avoided Costs'!I$4:I$5))</f>
        <v>0</v>
      </c>
      <c r="AH33" s="121">
        <f>$P33*(1-$R33)*(1/$Q33)*IF($O33 = "kW perparticipant",1,$S33/$T33)*(SUM('Avoided Costs'!J$4:J$5))</f>
        <v>0</v>
      </c>
      <c r="AI33" s="121">
        <f>$P33*(1-$R33)*(1/$Q33)*IF($O33 = "kW perparticipant",1,$S33/$T33)*(SUM('Avoided Costs'!K$4:K$5))</f>
        <v>0</v>
      </c>
      <c r="AJ33" s="121">
        <f>$P33*(1-$R33)*(1/$Q33)*IF($O33 = "kW perparticipant",1,$S33/$T33)*(SUM('Avoided Costs'!L$4:L$5))</f>
        <v>0</v>
      </c>
      <c r="AK33" s="121">
        <f>$P33*(1-$R33)*(1/$Q33)*IF($O33 = "kW perparticipant",1,$S33/$T33)*(SUM('Avoided Costs'!M$4:M$5))</f>
        <v>0</v>
      </c>
      <c r="AL33" s="121">
        <f>$P33*(1-$R33)*(1/$Q33)*IF($O33 = "kW perparticipant",1,$S33/$T33)*(SUM('Avoided Costs'!N$4:N$5))</f>
        <v>0</v>
      </c>
      <c r="AM33" s="121">
        <f>$P33*(1-$R33)*(1/$Q33)*IF($O33 = "kW perparticipant",1,$S33/$T33)*(SUM('Avoided Costs'!O$4:O$5))</f>
        <v>0</v>
      </c>
      <c r="AN33" s="121">
        <f>$P33*(1-$R33)*(1/$Q33)*IF($O33 = "kW perparticipant",1,$S33/$T33)*(SUM('Avoided Costs'!P$4:P$5))</f>
        <v>0</v>
      </c>
      <c r="AO33" s="121">
        <f>$P33*(1-$R33)*(1/$Q33)*IF($O33 = "kW perparticipant",1,$S33/$T33)*(SUM('Avoided Costs'!Q$4:Q$5))</f>
        <v>0</v>
      </c>
    </row>
    <row r="34" spans="1:41" ht="27.6" x14ac:dyDescent="0.25">
      <c r="A34" s="164" t="s">
        <v>165</v>
      </c>
      <c r="B34" s="165">
        <v>49.305501658816198</v>
      </c>
      <c r="C34" s="165">
        <v>83.186801451793599</v>
      </c>
      <c r="D34" s="165">
        <v>50.2916116919925</v>
      </c>
      <c r="E34" s="165">
        <v>84.334475648274307</v>
      </c>
      <c r="F34" s="165">
        <v>51.297443925832297</v>
      </c>
      <c r="G34" s="165">
        <v>83.488331760485806</v>
      </c>
      <c r="H34">
        <f t="shared" si="9"/>
        <v>77.62</v>
      </c>
      <c r="I34">
        <f t="shared" si="10"/>
        <v>0</v>
      </c>
      <c r="J34">
        <f t="shared" si="11"/>
        <v>1</v>
      </c>
      <c r="K34" s="124"/>
      <c r="L34" t="str">
        <f t="shared" si="1"/>
        <v>DLC-Thermostat-DI-Baseboard HeatingSmall Commercial</v>
      </c>
      <c r="M34" t="s">
        <v>84</v>
      </c>
      <c r="N34" t="s">
        <v>40</v>
      </c>
      <c r="O34" t="str" cm="1">
        <f t="array" ref="O34">INDEX('Unit Impact by End Use'!D:D,MATCH(1,($M34='Unit Impact by End Use'!$B:$B)*($N34='Unit Impact by End Use'!$C:$C),0))</f>
        <v>kW per participant</v>
      </c>
      <c r="P34" cm="1">
        <f t="array" ref="P34">INDEX('Unit Impact by End Use'!E:E,MATCH(1,($M34='Unit Impact by End Use'!$B:$B)*($N34='Unit Impact by End Use'!$C:$C),0))</f>
        <v>1</v>
      </c>
      <c r="Q34">
        <v>5</v>
      </c>
      <c r="R34" s="43" cm="1">
        <f t="array" ref="R34">INDEX('Opt Out Factor'!C:C,MATCH(1,($M34='Opt Out Factor'!A:A)*($N34='Opt Out Factor'!B:B),0))</f>
        <v>0.25</v>
      </c>
      <c r="S34" s="36">
        <f>SUMIFS('Winter Peak Load'!H:H,'Winter Peak Load'!B:B,N34)*1000</f>
        <v>427685.23227704066</v>
      </c>
      <c r="T34" s="36">
        <f>SUMIFS('Customer Count'!G:G,'Customer Count'!B:B,N34)</f>
        <v>37289.565769825247</v>
      </c>
      <c r="U34" s="22">
        <f t="shared" si="7"/>
        <v>6.3299999999999995E-2</v>
      </c>
      <c r="V34" s="119">
        <f t="shared" si="2"/>
        <v>2052.6572427408378</v>
      </c>
      <c r="W34" t="str">
        <f t="shared" si="3"/>
        <v>Small</v>
      </c>
      <c r="X34" s="123" t="str" cm="1">
        <f t="array" ref="X34">INDEX($B$27:$B$77,MATCH(1, (M34=$A$27:$A$77)*(W34=$C$27:$C$77),0))</f>
        <v>Smart thermostats for electric baseboards | Small Business Energy Solutions</v>
      </c>
      <c r="Y34">
        <f t="shared" si="8"/>
        <v>101.20847044826399</v>
      </c>
      <c r="Z34">
        <f t="shared" si="4"/>
        <v>164.72022212204001</v>
      </c>
      <c r="AA34" s="43">
        <f t="shared" si="5"/>
        <v>0.95301077972107617</v>
      </c>
      <c r="AB34" s="43">
        <f t="shared" si="6"/>
        <v>0.92571394598698775</v>
      </c>
      <c r="AC34" s="43"/>
      <c r="AE34" s="121">
        <f>$P34*(1-$R34)*(1/$Q34)*IF($O34 = "kW perparticipant",1,$S34/$T34)*(SUM('Avoided Costs'!G$4:G$5))</f>
        <v>173.75990133519682</v>
      </c>
      <c r="AF34" s="121">
        <f>$P34*(1-$R34)*(1/$Q34)*IF($O34 = "kW perparticipant",1,$S34/$T34)*(SUM('Avoided Costs'!H$4:H$5))</f>
        <v>197.84543221334289</v>
      </c>
      <c r="AG34" s="121">
        <f>$P34*(1-$R34)*(1/$Q34)*IF($O34 = "kW perparticipant",1,$S34/$T34)*(SUM('Avoided Costs'!I$4:I$5))</f>
        <v>221.93096309148899</v>
      </c>
      <c r="AH34" s="121">
        <f>$P34*(1-$R34)*(1/$Q34)*IF($O34 = "kW perparticipant",1,$S34/$T34)*(SUM('Avoided Costs'!J$4:J$5))</f>
        <v>242.57570384418565</v>
      </c>
      <c r="AI34" s="121">
        <f>$P34*(1-$R34)*(1/$Q34)*IF($O34 = "kW perparticipant",1,$S34/$T34)*(SUM('Avoided Costs'!K$4:K$5))</f>
        <v>263.22044459688232</v>
      </c>
      <c r="AJ34" s="121">
        <f>$P34*(1-$R34)*(1/$Q34)*IF($O34 = "kW perparticipant",1,$S34/$T34)*(SUM('Avoided Costs'!L$4:L$5))</f>
        <v>282.14479028685423</v>
      </c>
      <c r="AK34" s="121">
        <f>$P34*(1-$R34)*(1/$Q34)*IF($O34 = "kW perparticipant",1,$S34/$T34)*(SUM('Avoided Costs'!M$4:M$5))</f>
        <v>301.06913597682615</v>
      </c>
      <c r="AL34" s="121">
        <f>$P34*(1-$R34)*(1/$Q34)*IF($O34 = "kW perparticipant",1,$S34/$T34)*(SUM('Avoided Costs'!N$4:N$5))</f>
        <v>316.55269154134862</v>
      </c>
      <c r="AM34" s="121">
        <f>$P34*(1-$R34)*(1/$Q34)*IF($O34 = "kW perparticipant",1,$S34/$T34)*(SUM('Avoided Costs'!O$4:O$5))</f>
        <v>332.03624710587115</v>
      </c>
      <c r="AN34" s="121">
        <f>$P34*(1-$R34)*(1/$Q34)*IF($O34 = "kW perparticipant",1,$S34/$T34)*(SUM('Avoided Costs'!P$4:P$5))</f>
        <v>345.79940760766891</v>
      </c>
      <c r="AO34" s="121">
        <f>$P34*(1-$R34)*(1/$Q34)*IF($O34 = "kW perparticipant",1,$S34/$T34)*(SUM('Avoided Costs'!Q$4:Q$5))</f>
        <v>359.56256810946667</v>
      </c>
    </row>
    <row r="35" spans="1:41" ht="27.6" x14ac:dyDescent="0.25">
      <c r="A35" s="164" t="s">
        <v>156</v>
      </c>
      <c r="B35" s="165">
        <v>143.18700789516501</v>
      </c>
      <c r="C35" s="165">
        <v>241.58093509878401</v>
      </c>
      <c r="D35" s="165">
        <v>146.05074805306799</v>
      </c>
      <c r="E35" s="165">
        <v>244.913870140591</v>
      </c>
      <c r="F35" s="165">
        <v>148.97176301412901</v>
      </c>
      <c r="G35" s="165">
        <v>242.456602544379</v>
      </c>
      <c r="H35">
        <f t="shared" si="9"/>
        <v>0</v>
      </c>
      <c r="I35">
        <f t="shared" si="10"/>
        <v>1</v>
      </c>
      <c r="J35">
        <f t="shared" si="11"/>
        <v>0</v>
      </c>
      <c r="K35" s="124"/>
      <c r="L35" t="str">
        <f t="shared" si="1"/>
        <v>DLC-Thermostat-BYOT-Baseboard HeatingSmall Commercial</v>
      </c>
      <c r="M35" t="s">
        <v>85</v>
      </c>
      <c r="N35" t="s">
        <v>40</v>
      </c>
      <c r="O35" t="str" cm="1">
        <f t="array" ref="O35">INDEX('Unit Impact by End Use'!D:D,MATCH(1,($M35='Unit Impact by End Use'!$B:$B)*($N35='Unit Impact by End Use'!$C:$C),0))</f>
        <v>kW per participant</v>
      </c>
      <c r="P35" cm="1">
        <f t="array" ref="P35">INDEX('Unit Impact by End Use'!E:E,MATCH(1,($M35='Unit Impact by End Use'!$B:$B)*($N35='Unit Impact by End Use'!$C:$C),0))</f>
        <v>1</v>
      </c>
      <c r="Q35">
        <v>5</v>
      </c>
      <c r="R35" s="43" cm="1">
        <f t="array" ref="R35">INDEX('Opt Out Factor'!C:C,MATCH(1,($M35='Opt Out Factor'!A:A)*($N35='Opt Out Factor'!B:B),0))</f>
        <v>0.25</v>
      </c>
      <c r="S35" s="36">
        <f>SUMIFS('Winter Peak Load'!H:H,'Winter Peak Load'!B:B,N35)*1000</f>
        <v>427685.23227704066</v>
      </c>
      <c r="T35" s="36">
        <f>SUMIFS('Customer Count'!G:G,'Customer Count'!B:B,N35)</f>
        <v>37289.565769825247</v>
      </c>
      <c r="U35" s="22">
        <f t="shared" si="7"/>
        <v>6.3299999999999995E-2</v>
      </c>
      <c r="V35" s="119">
        <f t="shared" si="2"/>
        <v>2052.6572427408378</v>
      </c>
      <c r="W35" t="str">
        <f t="shared" si="3"/>
        <v>Small</v>
      </c>
      <c r="X35" s="123" t="str" cm="1">
        <f t="array" ref="X35">INDEX($B$27:$B$77,MATCH(1, (M35=$A$27:$A$77)*(W35=$C$27:$C$77),0))</f>
        <v>Smart thermostats for electric baseboards | Small Business Energy Solutions</v>
      </c>
      <c r="Y35">
        <f t="shared" si="8"/>
        <v>101.20847044826399</v>
      </c>
      <c r="Z35">
        <f t="shared" si="4"/>
        <v>164.72022212204001</v>
      </c>
      <c r="AA35" s="43">
        <f t="shared" si="5"/>
        <v>0.95301077972107617</v>
      </c>
      <c r="AB35" s="43">
        <f t="shared" si="6"/>
        <v>0.92571394598698775</v>
      </c>
      <c r="AC35" s="43"/>
      <c r="AE35" s="121">
        <f>$P35*(1-$R35)*(1/$Q35)*IF($O35 = "kW perparticipant",1,$S35/$T35)*(SUM('Avoided Costs'!G$4:G$5))</f>
        <v>173.75990133519682</v>
      </c>
      <c r="AF35" s="121">
        <f>$P35*(1-$R35)*(1/$Q35)*IF($O35 = "kW perparticipant",1,$S35/$T35)*(SUM('Avoided Costs'!H$4:H$5))</f>
        <v>197.84543221334289</v>
      </c>
      <c r="AG35" s="121">
        <f>$P35*(1-$R35)*(1/$Q35)*IF($O35 = "kW perparticipant",1,$S35/$T35)*(SUM('Avoided Costs'!I$4:I$5))</f>
        <v>221.93096309148899</v>
      </c>
      <c r="AH35" s="121">
        <f>$P35*(1-$R35)*(1/$Q35)*IF($O35 = "kW perparticipant",1,$S35/$T35)*(SUM('Avoided Costs'!J$4:J$5))</f>
        <v>242.57570384418565</v>
      </c>
      <c r="AI35" s="121">
        <f>$P35*(1-$R35)*(1/$Q35)*IF($O35 = "kW perparticipant",1,$S35/$T35)*(SUM('Avoided Costs'!K$4:K$5))</f>
        <v>263.22044459688232</v>
      </c>
      <c r="AJ35" s="121">
        <f>$P35*(1-$R35)*(1/$Q35)*IF($O35 = "kW perparticipant",1,$S35/$T35)*(SUM('Avoided Costs'!L$4:L$5))</f>
        <v>282.14479028685423</v>
      </c>
      <c r="AK35" s="121">
        <f>$P35*(1-$R35)*(1/$Q35)*IF($O35 = "kW perparticipant",1,$S35/$T35)*(SUM('Avoided Costs'!M$4:M$5))</f>
        <v>301.06913597682615</v>
      </c>
      <c r="AL35" s="121">
        <f>$P35*(1-$R35)*(1/$Q35)*IF($O35 = "kW perparticipant",1,$S35/$T35)*(SUM('Avoided Costs'!N$4:N$5))</f>
        <v>316.55269154134862</v>
      </c>
      <c r="AM35" s="121">
        <f>$P35*(1-$R35)*(1/$Q35)*IF($O35 = "kW perparticipant",1,$S35/$T35)*(SUM('Avoided Costs'!O$4:O$5))</f>
        <v>332.03624710587115</v>
      </c>
      <c r="AN35" s="121">
        <f>$P35*(1-$R35)*(1/$Q35)*IF($O35 = "kW perparticipant",1,$S35/$T35)*(SUM('Avoided Costs'!P$4:P$5))</f>
        <v>345.79940760766891</v>
      </c>
      <c r="AO35" s="121">
        <f>$P35*(1-$R35)*(1/$Q35)*IF($O35 = "kW perparticipant",1,$S35/$T35)*(SUM('Avoided Costs'!Q$4:Q$5))</f>
        <v>359.56256810946667</v>
      </c>
    </row>
    <row r="36" spans="1:41" ht="27.6" x14ac:dyDescent="0.25">
      <c r="A36" s="164" t="s">
        <v>160</v>
      </c>
      <c r="B36" s="165">
        <v>143.18700789516501</v>
      </c>
      <c r="C36" s="165">
        <v>241.58093509878401</v>
      </c>
      <c r="D36" s="165">
        <v>146.05074805306799</v>
      </c>
      <c r="E36" s="165">
        <v>244.913870140591</v>
      </c>
      <c r="F36" s="165">
        <v>148.97176301412901</v>
      </c>
      <c r="G36" s="165">
        <v>242.456602544379</v>
      </c>
      <c r="H36">
        <f t="shared" si="9"/>
        <v>24</v>
      </c>
      <c r="I36">
        <f t="shared" si="10"/>
        <v>1</v>
      </c>
      <c r="J36">
        <f t="shared" si="11"/>
        <v>0</v>
      </c>
      <c r="K36" s="124"/>
      <c r="L36" t="str">
        <f t="shared" si="1"/>
        <v>DLC-Thermostat-DI-MSHPSmall Commercial</v>
      </c>
      <c r="M36" t="s">
        <v>86</v>
      </c>
      <c r="N36" t="s">
        <v>40</v>
      </c>
      <c r="O36" t="str" cm="1">
        <f t="array" ref="O36">INDEX('Unit Impact by End Use'!D:D,MATCH(1,($M36='Unit Impact by End Use'!$B:$B)*($N36='Unit Impact by End Use'!$C:$C),0))</f>
        <v>kW per participant</v>
      </c>
      <c r="P36" cm="1">
        <f t="array" ref="P36">INDEX('Unit Impact by End Use'!E:E,MATCH(1,($M36='Unit Impact by End Use'!$B:$B)*($N36='Unit Impact by End Use'!$C:$C),0))</f>
        <v>1</v>
      </c>
      <c r="Q36">
        <v>5</v>
      </c>
      <c r="R36" s="43" cm="1">
        <f t="array" ref="R36">INDEX('Opt Out Factor'!C:C,MATCH(1,($M36='Opt Out Factor'!A:A)*($N36='Opt Out Factor'!B:B),0))</f>
        <v>0.25</v>
      </c>
      <c r="S36" s="36">
        <f>SUMIFS('Winter Peak Load'!H:H,'Winter Peak Load'!B:B,N36)*1000</f>
        <v>427685.23227704066</v>
      </c>
      <c r="T36" s="36">
        <f>SUMIFS('Customer Count'!G:G,'Customer Count'!B:B,N36)</f>
        <v>37289.565769825247</v>
      </c>
      <c r="U36" s="22">
        <f t="shared" si="7"/>
        <v>6.3299999999999995E-2</v>
      </c>
      <c r="V36" s="119">
        <f t="shared" si="2"/>
        <v>2052.6572427408378</v>
      </c>
      <c r="W36" t="str">
        <f t="shared" si="3"/>
        <v>Small</v>
      </c>
      <c r="X36" s="123" t="str" cm="1">
        <f t="array" ref="X36">INDEX($B$27:$B$77,MATCH(1, (M36=$A$27:$A$77)*(W36=$C$27:$C$77),0))</f>
        <v>Smart thermostats for mini-split heat pumps | Business Energy Rebates</v>
      </c>
      <c r="Y36">
        <f t="shared" si="8"/>
        <v>51.297443925832297</v>
      </c>
      <c r="Z36">
        <f t="shared" si="4"/>
        <v>83.488331760485806</v>
      </c>
      <c r="AA36" s="43">
        <f t="shared" si="5"/>
        <v>0.97561856048948292</v>
      </c>
      <c r="AB36" s="43">
        <f t="shared" si="6"/>
        <v>0.96091636602061825</v>
      </c>
      <c r="AC36" s="43"/>
      <c r="AE36" s="121">
        <f>$P36*(1-$R36)*(1/$Q36)*IF($O36 = "kW perparticipant",1,$S36/$T36)*(SUM('Avoided Costs'!G$4:G$5))</f>
        <v>173.75990133519682</v>
      </c>
      <c r="AF36" s="121">
        <f>$P36*(1-$R36)*(1/$Q36)*IF($O36 = "kW perparticipant",1,$S36/$T36)*(SUM('Avoided Costs'!H$4:H$5))</f>
        <v>197.84543221334289</v>
      </c>
      <c r="AG36" s="121">
        <f>$P36*(1-$R36)*(1/$Q36)*IF($O36 = "kW perparticipant",1,$S36/$T36)*(SUM('Avoided Costs'!I$4:I$5))</f>
        <v>221.93096309148899</v>
      </c>
      <c r="AH36" s="121">
        <f>$P36*(1-$R36)*(1/$Q36)*IF($O36 = "kW perparticipant",1,$S36/$T36)*(SUM('Avoided Costs'!J$4:J$5))</f>
        <v>242.57570384418565</v>
      </c>
      <c r="AI36" s="121">
        <f>$P36*(1-$R36)*(1/$Q36)*IF($O36 = "kW perparticipant",1,$S36/$T36)*(SUM('Avoided Costs'!K$4:K$5))</f>
        <v>263.22044459688232</v>
      </c>
      <c r="AJ36" s="121">
        <f>$P36*(1-$R36)*(1/$Q36)*IF($O36 = "kW perparticipant",1,$S36/$T36)*(SUM('Avoided Costs'!L$4:L$5))</f>
        <v>282.14479028685423</v>
      </c>
      <c r="AK36" s="121">
        <f>$P36*(1-$R36)*(1/$Q36)*IF($O36 = "kW perparticipant",1,$S36/$T36)*(SUM('Avoided Costs'!M$4:M$5))</f>
        <v>301.06913597682615</v>
      </c>
      <c r="AL36" s="121">
        <f>$P36*(1-$R36)*(1/$Q36)*IF($O36 = "kW perparticipant",1,$S36/$T36)*(SUM('Avoided Costs'!N$4:N$5))</f>
        <v>316.55269154134862</v>
      </c>
      <c r="AM36" s="121">
        <f>$P36*(1-$R36)*(1/$Q36)*IF($O36 = "kW perparticipant",1,$S36/$T36)*(SUM('Avoided Costs'!O$4:O$5))</f>
        <v>332.03624710587115</v>
      </c>
      <c r="AN36" s="121">
        <f>$P36*(1-$R36)*(1/$Q36)*IF($O36 = "kW perparticipant",1,$S36/$T36)*(SUM('Avoided Costs'!P$4:P$5))</f>
        <v>345.79940760766891</v>
      </c>
      <c r="AO36" s="121">
        <f>$P36*(1-$R36)*(1/$Q36)*IF($O36 = "kW perparticipant",1,$S36/$T36)*(SUM('Avoided Costs'!Q$4:Q$5))</f>
        <v>359.56256810946667</v>
      </c>
    </row>
    <row r="37" spans="1:41" ht="27.6" x14ac:dyDescent="0.25">
      <c r="A37" s="164" t="s">
        <v>162</v>
      </c>
      <c r="B37" s="165">
        <v>49.305501658816198</v>
      </c>
      <c r="C37" s="165">
        <v>83.186801451793599</v>
      </c>
      <c r="D37" s="165">
        <v>50.2916116919925</v>
      </c>
      <c r="E37" s="165">
        <v>84.334475648274307</v>
      </c>
      <c r="F37" s="165">
        <v>51.297443925832297</v>
      </c>
      <c r="G37" s="165">
        <v>83.488331760485806</v>
      </c>
      <c r="H37">
        <f t="shared" si="9"/>
        <v>11.79</v>
      </c>
      <c r="I37">
        <f t="shared" si="10"/>
        <v>0</v>
      </c>
      <c r="J37">
        <f t="shared" si="11"/>
        <v>1</v>
      </c>
      <c r="K37" s="124"/>
      <c r="L37" t="str">
        <f t="shared" si="1"/>
        <v>DLC-Thermostat-BYOT-MSHPSmall Commercial</v>
      </c>
      <c r="M37" t="s">
        <v>87</v>
      </c>
      <c r="N37" t="s">
        <v>40</v>
      </c>
      <c r="O37" t="str" cm="1">
        <f t="array" ref="O37">INDEX('Unit Impact by End Use'!D:D,MATCH(1,($M37='Unit Impact by End Use'!$B:$B)*($N37='Unit Impact by End Use'!$C:$C),0))</f>
        <v>kW per participant</v>
      </c>
      <c r="P37" cm="1">
        <f t="array" ref="P37">INDEX('Unit Impact by End Use'!E:E,MATCH(1,($M37='Unit Impact by End Use'!$B:$B)*($N37='Unit Impact by End Use'!$C:$C),0))</f>
        <v>1</v>
      </c>
      <c r="Q37">
        <v>5</v>
      </c>
      <c r="R37" s="43" cm="1">
        <f t="array" ref="R37">INDEX('Opt Out Factor'!C:C,MATCH(1,($M37='Opt Out Factor'!A:A)*($N37='Opt Out Factor'!B:B),0))</f>
        <v>0.25</v>
      </c>
      <c r="S37" s="36">
        <f>SUMIFS('Winter Peak Load'!H:H,'Winter Peak Load'!B:B,N37)*1000</f>
        <v>427685.23227704066</v>
      </c>
      <c r="T37" s="36">
        <f>SUMIFS('Customer Count'!G:G,'Customer Count'!B:B,N37)</f>
        <v>37289.565769825247</v>
      </c>
      <c r="U37" s="22">
        <f t="shared" si="7"/>
        <v>6.3299999999999995E-2</v>
      </c>
      <c r="V37" s="119">
        <f t="shared" si="2"/>
        <v>2052.6572427408378</v>
      </c>
      <c r="W37" t="str">
        <f t="shared" si="3"/>
        <v>Small</v>
      </c>
      <c r="X37" s="123" t="str" cm="1">
        <f t="array" ref="X37">INDEX($B$27:$B$77,MATCH(1, (M37=$A$27:$A$77)*(W37=$C$27:$C$77),0))</f>
        <v>Smart thermostats for mini-split heat pumps | Business Energy Rebates</v>
      </c>
      <c r="Y37">
        <f t="shared" si="8"/>
        <v>51.297443925832297</v>
      </c>
      <c r="Z37">
        <f t="shared" si="4"/>
        <v>83.488331760485806</v>
      </c>
      <c r="AA37" s="43">
        <f t="shared" si="5"/>
        <v>0.97561856048948292</v>
      </c>
      <c r="AB37" s="43">
        <f t="shared" si="6"/>
        <v>0.96091636602061825</v>
      </c>
      <c r="AC37" s="43"/>
      <c r="AE37" s="121">
        <f>$P37*(1-$R37)*(1/$Q37)*IF($O37 = "kW perparticipant",1,$S37/$T37)*(SUM('Avoided Costs'!G$4:G$5))</f>
        <v>173.75990133519682</v>
      </c>
      <c r="AF37" s="121">
        <f>$P37*(1-$R37)*(1/$Q37)*IF($O37 = "kW perparticipant",1,$S37/$T37)*(SUM('Avoided Costs'!H$4:H$5))</f>
        <v>197.84543221334289</v>
      </c>
      <c r="AG37" s="121">
        <f>$P37*(1-$R37)*(1/$Q37)*IF($O37 = "kW perparticipant",1,$S37/$T37)*(SUM('Avoided Costs'!I$4:I$5))</f>
        <v>221.93096309148899</v>
      </c>
      <c r="AH37" s="121">
        <f>$P37*(1-$R37)*(1/$Q37)*IF($O37 = "kW perparticipant",1,$S37/$T37)*(SUM('Avoided Costs'!J$4:J$5))</f>
        <v>242.57570384418565</v>
      </c>
      <c r="AI37" s="121">
        <f>$P37*(1-$R37)*(1/$Q37)*IF($O37 = "kW perparticipant",1,$S37/$T37)*(SUM('Avoided Costs'!K$4:K$5))</f>
        <v>263.22044459688232</v>
      </c>
      <c r="AJ37" s="121">
        <f>$P37*(1-$R37)*(1/$Q37)*IF($O37 = "kW perparticipant",1,$S37/$T37)*(SUM('Avoided Costs'!L$4:L$5))</f>
        <v>282.14479028685423</v>
      </c>
      <c r="AK37" s="121">
        <f>$P37*(1-$R37)*(1/$Q37)*IF($O37 = "kW perparticipant",1,$S37/$T37)*(SUM('Avoided Costs'!M$4:M$5))</f>
        <v>301.06913597682615</v>
      </c>
      <c r="AL37" s="121">
        <f>$P37*(1-$R37)*(1/$Q37)*IF($O37 = "kW perparticipant",1,$S37/$T37)*(SUM('Avoided Costs'!N$4:N$5))</f>
        <v>316.55269154134862</v>
      </c>
      <c r="AM37" s="121">
        <f>$P37*(1-$R37)*(1/$Q37)*IF($O37 = "kW perparticipant",1,$S37/$T37)*(SUM('Avoided Costs'!O$4:O$5))</f>
        <v>332.03624710587115</v>
      </c>
      <c r="AN37" s="121">
        <f>$P37*(1-$R37)*(1/$Q37)*IF($O37 = "kW perparticipant",1,$S37/$T37)*(SUM('Avoided Costs'!P$4:P$5))</f>
        <v>345.79940760766891</v>
      </c>
      <c r="AO37" s="121">
        <f>$P37*(1-$R37)*(1/$Q37)*IF($O37 = "kW perparticipant",1,$S37/$T37)*(SUM('Avoided Costs'!Q$4:Q$5))</f>
        <v>359.56256810946667</v>
      </c>
    </row>
    <row r="38" spans="1:41" ht="27.6" x14ac:dyDescent="0.25">
      <c r="A38" s="164" t="s">
        <v>194</v>
      </c>
      <c r="F38" s="124">
        <f>SUMPRODUCT($F$27:$F$37,$H$27:$H$37,$I$27:$I$37)/SUMPRODUCT($H$27:$H$37,$I$27:$I$37)</f>
        <v>291.73534671130983</v>
      </c>
      <c r="G38" s="124">
        <f>SUMPRODUCT($G$27:$G$37,$H$27:$H$37,$I$27:$I$37)/SUMPRODUCT($H$27:$H$37,$I$27:$I$37)</f>
        <v>474.80918245575123</v>
      </c>
      <c r="K38" s="124"/>
      <c r="L38" t="str">
        <f t="shared" si="1"/>
        <v>DLC-Thermostat-DI-Central Heat PumpSmall Industrial</v>
      </c>
      <c r="M38" t="s">
        <v>82</v>
      </c>
      <c r="N38" t="s">
        <v>42</v>
      </c>
      <c r="O38" t="str" cm="1">
        <f t="array" ref="O38">INDEX('Unit Impact by End Use'!D:D,MATCH(1,($M38='Unit Impact by End Use'!$B:$B)*($N38='Unit Impact by End Use'!$C:$C),0))</f>
        <v>kW per participant</v>
      </c>
      <c r="P38" cm="1">
        <f t="array" ref="P38">INDEX('Unit Impact by End Use'!E:E,MATCH(1,($M38='Unit Impact by End Use'!$B:$B)*($N38='Unit Impact by End Use'!$C:$C),0))</f>
        <v>2.42</v>
      </c>
      <c r="Q38">
        <v>5</v>
      </c>
      <c r="R38" s="43" cm="1">
        <f t="array" ref="R38">INDEX('Opt Out Factor'!C:C,MATCH(1,($M38='Opt Out Factor'!A:A)*($N38='Opt Out Factor'!B:B),0))</f>
        <v>0.05</v>
      </c>
      <c r="S38" s="36">
        <f>SUMIFS('Winter Peak Load'!H:H,'Winter Peak Load'!B:B,N38)*1000</f>
        <v>29828.400006769331</v>
      </c>
      <c r="T38" s="36">
        <f>SUMIFS('Customer Count'!G:G,'Customer Count'!B:B,N38)</f>
        <v>2136</v>
      </c>
      <c r="U38" s="22">
        <f t="shared" si="7"/>
        <v>6.3299999999999995E-2</v>
      </c>
      <c r="V38" s="119">
        <f t="shared" si="2"/>
        <v>7661.0081699124221</v>
      </c>
      <c r="W38" t="str">
        <f t="shared" si="3"/>
        <v>Small</v>
      </c>
      <c r="X38" s="123" t="str" cm="1">
        <f t="array" ref="X38">INDEX($B$27:$B$77,MATCH(1, (M38=$A$27:$A$77)*(W38=$C$27:$C$77),0))</f>
        <v>Smart thermostats for central air source heat pump  | Business Energy Rebates</v>
      </c>
      <c r="Y38">
        <f t="shared" si="8"/>
        <v>206.57619310672999</v>
      </c>
      <c r="Z38">
        <f t="shared" si="4"/>
        <v>336.209768440875</v>
      </c>
      <c r="AA38" s="43">
        <f t="shared" si="5"/>
        <v>0.9737433774364439</v>
      </c>
      <c r="AB38" s="43">
        <f t="shared" si="6"/>
        <v>0.95795915891844463</v>
      </c>
      <c r="AC38" s="43"/>
      <c r="AE38" s="121">
        <f>$P38*(1-$R38)*(1/$Q38)*IF($O38 = "kW perparticipant",1,$S38/$T38)*(SUM('Avoided Costs'!G$4:G$5))</f>
        <v>648.51354430447861</v>
      </c>
      <c r="AF38" s="121">
        <f>$P38*(1-$R38)*(1/$Q38)*IF($O38 = "kW perparticipant",1,$S38/$T38)*(SUM('Avoided Costs'!H$4:H$5))</f>
        <v>738.40651084173305</v>
      </c>
      <c r="AG38" s="121">
        <f>$P38*(1-$R38)*(1/$Q38)*IF($O38 = "kW perparticipant",1,$S38/$T38)*(SUM('Avoided Costs'!I$4:I$5))</f>
        <v>828.2994773789876</v>
      </c>
      <c r="AH38" s="121">
        <f>$P38*(1-$R38)*(1/$Q38)*IF($O38 = "kW perparticipant",1,$S38/$T38)*(SUM('Avoided Costs'!J$4:J$5))</f>
        <v>905.35059155377712</v>
      </c>
      <c r="AI38" s="121">
        <f>$P38*(1-$R38)*(1/$Q38)*IF($O38 = "kW perparticipant",1,$S38/$T38)*(SUM('Avoided Costs'!K$4:K$5))</f>
        <v>982.40170572856664</v>
      </c>
      <c r="AJ38" s="121">
        <f>$P38*(1-$R38)*(1/$Q38)*IF($O38 = "kW perparticipant",1,$S38/$T38)*(SUM('Avoided Costs'!L$4:L$5))</f>
        <v>1053.0318937221236</v>
      </c>
      <c r="AK38" s="121">
        <f>$P38*(1-$R38)*(1/$Q38)*IF($O38 = "kW perparticipant",1,$S38/$T38)*(SUM('Avoided Costs'!M$4:M$5))</f>
        <v>1123.6620817156809</v>
      </c>
      <c r="AL38" s="121">
        <f>$P38*(1-$R38)*(1/$Q38)*IF($O38 = "kW perparticipant",1,$S38/$T38)*(SUM('Avoided Costs'!N$4:N$5))</f>
        <v>1181.4504173467728</v>
      </c>
      <c r="AM38" s="121">
        <f>$P38*(1-$R38)*(1/$Q38)*IF($O38 = "kW perparticipant",1,$S38/$T38)*(SUM('Avoided Costs'!O$4:O$5))</f>
        <v>1239.238752977865</v>
      </c>
      <c r="AN38" s="121">
        <f>$P38*(1-$R38)*(1/$Q38)*IF($O38 = "kW perparticipant",1,$S38/$T38)*(SUM('Avoided Costs'!P$4:P$5))</f>
        <v>1290.6061624277247</v>
      </c>
      <c r="AO38" s="121">
        <f>$P38*(1-$R38)*(1/$Q38)*IF($O38 = "kW perparticipant",1,$S38/$T38)*(SUM('Avoided Costs'!Q$4:Q$5))</f>
        <v>1341.9735718775844</v>
      </c>
    </row>
    <row r="39" spans="1:41" ht="27.6" x14ac:dyDescent="0.25">
      <c r="A39" s="164" t="s">
        <v>195</v>
      </c>
      <c r="F39" s="124">
        <f>SUMPRODUCT($F$27:$F$37,$H$27:$H$37,$J$27:$J$37)/SUMPRODUCT($H$27:$H$37,$J$27:$J$37)</f>
        <v>109.76236667635023</v>
      </c>
      <c r="G39" s="124">
        <f>SUMPRODUCT($G$27:$G$37,$H$27:$H$37,$J$27:$J$37)/SUMPRODUCT($H$27:$H$37,$J$27:$J$37)</f>
        <v>178.64197867520744</v>
      </c>
      <c r="L39" t="str">
        <f t="shared" si="1"/>
        <v>DLC-Thermostat-BYOT-Central Heat PumpSmall Industrial</v>
      </c>
      <c r="M39" t="s">
        <v>83</v>
      </c>
      <c r="N39" t="s">
        <v>42</v>
      </c>
      <c r="O39" t="str" cm="1">
        <f t="array" ref="O39">INDEX('Unit Impact by End Use'!D:D,MATCH(1,($M39='Unit Impact by End Use'!$B:$B)*($N39='Unit Impact by End Use'!$C:$C),0))</f>
        <v>kW per participant</v>
      </c>
      <c r="P39" cm="1">
        <f t="array" ref="P39">INDEX('Unit Impact by End Use'!E:E,MATCH(1,($M39='Unit Impact by End Use'!$B:$B)*($N39='Unit Impact by End Use'!$C:$C),0))</f>
        <v>0</v>
      </c>
      <c r="Q39">
        <v>5</v>
      </c>
      <c r="R39" s="43" cm="1">
        <f t="array" ref="R39">INDEX('Opt Out Factor'!C:C,MATCH(1,($M39='Opt Out Factor'!A:A)*($N39='Opt Out Factor'!B:B),0))</f>
        <v>0.05</v>
      </c>
      <c r="S39" s="36">
        <f>SUMIFS('Winter Peak Load'!H:H,'Winter Peak Load'!B:B,N39)*1000</f>
        <v>29828.400006769331</v>
      </c>
      <c r="T39" s="36">
        <f>SUMIFS('Customer Count'!G:G,'Customer Count'!B:B,N39)</f>
        <v>2136</v>
      </c>
      <c r="U39" s="22">
        <f t="shared" si="7"/>
        <v>6.3299999999999995E-2</v>
      </c>
      <c r="V39" s="119">
        <f t="shared" si="2"/>
        <v>0</v>
      </c>
      <c r="W39" t="str">
        <f t="shared" si="3"/>
        <v>Small</v>
      </c>
      <c r="X39" s="123" t="str" cm="1">
        <f t="array" ref="X39">INDEX($B$27:$B$77,MATCH(1, (M39=$A$27:$A$77)*(W39=$C$27:$C$77),0))</f>
        <v>Smart thermostats for central air source heat pump  | Business Energy Rebates</v>
      </c>
      <c r="Y39">
        <f t="shared" si="8"/>
        <v>206.57619310672999</v>
      </c>
      <c r="Z39">
        <f t="shared" si="4"/>
        <v>336.209768440875</v>
      </c>
      <c r="AA39" s="43">
        <f t="shared" si="5"/>
        <v>0</v>
      </c>
      <c r="AB39" s="43">
        <f t="shared" si="6"/>
        <v>0</v>
      </c>
      <c r="AC39" s="43"/>
      <c r="AE39" s="121">
        <f>$P39*(1-$R39)*(1/$Q39)*IF($O39 = "kW perparticipant",1,$S39/$T39)*(SUM('Avoided Costs'!G$4:G$5))</f>
        <v>0</v>
      </c>
      <c r="AF39" s="121">
        <f>$P39*(1-$R39)*(1/$Q39)*IF($O39 = "kW perparticipant",1,$S39/$T39)*(SUM('Avoided Costs'!H$4:H$5))</f>
        <v>0</v>
      </c>
      <c r="AG39" s="121">
        <f>$P39*(1-$R39)*(1/$Q39)*IF($O39 = "kW perparticipant",1,$S39/$T39)*(SUM('Avoided Costs'!I$4:I$5))</f>
        <v>0</v>
      </c>
      <c r="AH39" s="121">
        <f>$P39*(1-$R39)*(1/$Q39)*IF($O39 = "kW perparticipant",1,$S39/$T39)*(SUM('Avoided Costs'!J$4:J$5))</f>
        <v>0</v>
      </c>
      <c r="AI39" s="121">
        <f>$P39*(1-$R39)*(1/$Q39)*IF($O39 = "kW perparticipant",1,$S39/$T39)*(SUM('Avoided Costs'!K$4:K$5))</f>
        <v>0</v>
      </c>
      <c r="AJ39" s="121">
        <f>$P39*(1-$R39)*(1/$Q39)*IF($O39 = "kW perparticipant",1,$S39/$T39)*(SUM('Avoided Costs'!L$4:L$5))</f>
        <v>0</v>
      </c>
      <c r="AK39" s="121">
        <f>$P39*(1-$R39)*(1/$Q39)*IF($O39 = "kW perparticipant",1,$S39/$T39)*(SUM('Avoided Costs'!M$4:M$5))</f>
        <v>0</v>
      </c>
      <c r="AL39" s="121">
        <f>$P39*(1-$R39)*(1/$Q39)*IF($O39 = "kW perparticipant",1,$S39/$T39)*(SUM('Avoided Costs'!N$4:N$5))</f>
        <v>0</v>
      </c>
      <c r="AM39" s="121">
        <f>$P39*(1-$R39)*(1/$Q39)*IF($O39 = "kW perparticipant",1,$S39/$T39)*(SUM('Avoided Costs'!O$4:O$5))</f>
        <v>0</v>
      </c>
      <c r="AN39" s="121">
        <f>$P39*(1-$R39)*(1/$Q39)*IF($O39 = "kW perparticipant",1,$S39/$T39)*(SUM('Avoided Costs'!P$4:P$5))</f>
        <v>0</v>
      </c>
      <c r="AO39" s="121">
        <f>$P39*(1-$R39)*(1/$Q39)*IF($O39 = "kW perparticipant",1,$S39/$T39)*(SUM('Avoided Costs'!Q$4:Q$5))</f>
        <v>0</v>
      </c>
    </row>
    <row r="40" spans="1:41" ht="27.6" x14ac:dyDescent="0.25">
      <c r="L40" t="str">
        <f t="shared" si="1"/>
        <v>DLC-Thermostat-DI-Baseboard HeatingSmall Industrial</v>
      </c>
      <c r="M40" t="s">
        <v>84</v>
      </c>
      <c r="N40" t="s">
        <v>42</v>
      </c>
      <c r="O40" t="str" cm="1">
        <f t="array" ref="O40">INDEX('Unit Impact by End Use'!D:D,MATCH(1,($M40='Unit Impact by End Use'!$B:$B)*($N40='Unit Impact by End Use'!$C:$C),0))</f>
        <v>kW per participant</v>
      </c>
      <c r="P40" cm="1">
        <f t="array" ref="P40">INDEX('Unit Impact by End Use'!E:E,MATCH(1,($M40='Unit Impact by End Use'!$B:$B)*($N40='Unit Impact by End Use'!$C:$C),0))</f>
        <v>1</v>
      </c>
      <c r="Q40">
        <v>5</v>
      </c>
      <c r="R40" s="43" cm="1">
        <f t="array" ref="R40">INDEX('Opt Out Factor'!C:C,MATCH(1,($M40='Opt Out Factor'!A:A)*($N40='Opt Out Factor'!B:B),0))</f>
        <v>0.05</v>
      </c>
      <c r="S40" s="36">
        <f>SUMIFS('Winter Peak Load'!H:H,'Winter Peak Load'!B:B,N40)*1000</f>
        <v>29828.400006769331</v>
      </c>
      <c r="T40" s="36">
        <f>SUMIFS('Customer Count'!G:G,'Customer Count'!B:B,N40)</f>
        <v>2136</v>
      </c>
      <c r="U40" s="22">
        <f t="shared" si="7"/>
        <v>6.3299999999999995E-2</v>
      </c>
      <c r="V40" s="119">
        <f t="shared" si="2"/>
        <v>3165.7058553357115</v>
      </c>
      <c r="W40" t="str">
        <f t="shared" si="3"/>
        <v>Small</v>
      </c>
      <c r="X40" s="123" t="str" cm="1">
        <f t="array" ref="X40">INDEX($B$27:$B$77,MATCH(1, (M40=$A$27:$A$77)*(W40=$C$27:$C$77),0))</f>
        <v>Smart thermostats for electric baseboards | Small Business Energy Solutions</v>
      </c>
      <c r="Y40">
        <f t="shared" si="8"/>
        <v>101.20847044826399</v>
      </c>
      <c r="Z40">
        <f t="shared" si="4"/>
        <v>164.72022212204001</v>
      </c>
      <c r="AA40" s="43">
        <f t="shared" si="5"/>
        <v>0.96902016387467504</v>
      </c>
      <c r="AB40" s="43">
        <f t="shared" si="6"/>
        <v>0.95054079619512899</v>
      </c>
      <c r="AC40" s="43"/>
      <c r="AE40" s="121">
        <f>$P40*(1-$R40)*(1/$Q40)*IF($O40 = "kW perparticipant",1,$S40/$T40)*(SUM('Avoided Costs'!G$4:G$5))</f>
        <v>267.98080343160274</v>
      </c>
      <c r="AF40" s="121">
        <f>$P40*(1-$R40)*(1/$Q40)*IF($O40 = "kW perparticipant",1,$S40/$T40)*(SUM('Avoided Costs'!H$4:H$5))</f>
        <v>305.12665737261699</v>
      </c>
      <c r="AG40" s="121">
        <f>$P40*(1-$R40)*(1/$Q40)*IF($O40 = "kW perparticipant",1,$S40/$T40)*(SUM('Avoided Costs'!I$4:I$5))</f>
        <v>342.27251131363124</v>
      </c>
      <c r="AH40" s="121">
        <f>$P40*(1-$R40)*(1/$Q40)*IF($O40 = "kW perparticipant",1,$S40/$T40)*(SUM('Avoided Costs'!J$4:J$5))</f>
        <v>374.11181469164347</v>
      </c>
      <c r="AI40" s="121">
        <f>$P40*(1-$R40)*(1/$Q40)*IF($O40 = "kW perparticipant",1,$S40/$T40)*(SUM('Avoided Costs'!K$4:K$5))</f>
        <v>405.95111806965565</v>
      </c>
      <c r="AJ40" s="121">
        <f>$P40*(1-$R40)*(1/$Q40)*IF($O40 = "kW perparticipant",1,$S40/$T40)*(SUM('Avoided Costs'!L$4:L$5))</f>
        <v>435.13714616616687</v>
      </c>
      <c r="AK40" s="121">
        <f>$P40*(1-$R40)*(1/$Q40)*IF($O40 = "kW perparticipant",1,$S40/$T40)*(SUM('Avoided Costs'!M$4:M$5))</f>
        <v>464.32317426267804</v>
      </c>
      <c r="AL40" s="121">
        <f>$P40*(1-$R40)*(1/$Q40)*IF($O40 = "kW perparticipant",1,$S40/$T40)*(SUM('Avoided Costs'!N$4:N$5))</f>
        <v>488.20265179618718</v>
      </c>
      <c r="AM40" s="121">
        <f>$P40*(1-$R40)*(1/$Q40)*IF($O40 = "kW perparticipant",1,$S40/$T40)*(SUM('Avoided Costs'!O$4:O$5))</f>
        <v>512.08212932969639</v>
      </c>
      <c r="AN40" s="121">
        <f>$P40*(1-$R40)*(1/$Q40)*IF($O40 = "kW perparticipant",1,$S40/$T40)*(SUM('Avoided Costs'!P$4:P$5))</f>
        <v>533.30833158170446</v>
      </c>
      <c r="AO40" s="121">
        <f>$P40*(1-$R40)*(1/$Q40)*IF($O40 = "kW perparticipant",1,$S40/$T40)*(SUM('Avoided Costs'!Q$4:Q$5))</f>
        <v>554.53453383371266</v>
      </c>
    </row>
    <row r="41" spans="1:41" ht="27.6" x14ac:dyDescent="0.25">
      <c r="L41" t="str">
        <f t="shared" si="1"/>
        <v>DLC-Thermostat-BYOT-Baseboard HeatingSmall Industrial</v>
      </c>
      <c r="M41" t="s">
        <v>85</v>
      </c>
      <c r="N41" t="s">
        <v>42</v>
      </c>
      <c r="O41" t="str" cm="1">
        <f t="array" ref="O41">INDEX('Unit Impact by End Use'!D:D,MATCH(1,($M41='Unit Impact by End Use'!$B:$B)*($N41='Unit Impact by End Use'!$C:$C),0))</f>
        <v>kW per participant</v>
      </c>
      <c r="P41" cm="1">
        <f t="array" ref="P41">INDEX('Unit Impact by End Use'!E:E,MATCH(1,($M41='Unit Impact by End Use'!$B:$B)*($N41='Unit Impact by End Use'!$C:$C),0))</f>
        <v>1</v>
      </c>
      <c r="Q41">
        <v>5</v>
      </c>
      <c r="R41" s="43" cm="1">
        <f t="array" ref="R41">INDEX('Opt Out Factor'!C:C,MATCH(1,($M41='Opt Out Factor'!A:A)*($N41='Opt Out Factor'!B:B),0))</f>
        <v>0.05</v>
      </c>
      <c r="S41" s="36">
        <f>SUMIFS('Winter Peak Load'!H:H,'Winter Peak Load'!B:B,N41)*1000</f>
        <v>29828.400006769331</v>
      </c>
      <c r="T41" s="36">
        <f>SUMIFS('Customer Count'!G:G,'Customer Count'!B:B,N41)</f>
        <v>2136</v>
      </c>
      <c r="U41" s="22">
        <f t="shared" si="7"/>
        <v>6.3299999999999995E-2</v>
      </c>
      <c r="V41" s="119">
        <f t="shared" si="2"/>
        <v>3165.7058553357115</v>
      </c>
      <c r="W41" t="str">
        <f t="shared" si="3"/>
        <v>Small</v>
      </c>
      <c r="X41" s="123" t="str" cm="1">
        <f t="array" ref="X41">INDEX($B$27:$B$77,MATCH(1, (M41=$A$27:$A$77)*(W41=$C$27:$C$77),0))</f>
        <v>Smart thermostats for electric baseboards | Small Business Energy Solutions</v>
      </c>
      <c r="Y41">
        <f t="shared" si="8"/>
        <v>101.20847044826399</v>
      </c>
      <c r="Z41">
        <f t="shared" si="4"/>
        <v>164.72022212204001</v>
      </c>
      <c r="AA41" s="43">
        <f t="shared" si="5"/>
        <v>0.96902016387467504</v>
      </c>
      <c r="AB41" s="43">
        <f t="shared" si="6"/>
        <v>0.95054079619512899</v>
      </c>
      <c r="AC41" s="43"/>
      <c r="AE41" s="121">
        <f>$P41*(1-$R41)*(1/$Q41)*IF($O41 = "kW perparticipant",1,$S41/$T41)*(SUM('Avoided Costs'!G$4:G$5))</f>
        <v>267.98080343160274</v>
      </c>
      <c r="AF41" s="121">
        <f>$P41*(1-$R41)*(1/$Q41)*IF($O41 = "kW perparticipant",1,$S41/$T41)*(SUM('Avoided Costs'!H$4:H$5))</f>
        <v>305.12665737261699</v>
      </c>
      <c r="AG41" s="121">
        <f>$P41*(1-$R41)*(1/$Q41)*IF($O41 = "kW perparticipant",1,$S41/$T41)*(SUM('Avoided Costs'!I$4:I$5))</f>
        <v>342.27251131363124</v>
      </c>
      <c r="AH41" s="121">
        <f>$P41*(1-$R41)*(1/$Q41)*IF($O41 = "kW perparticipant",1,$S41/$T41)*(SUM('Avoided Costs'!J$4:J$5))</f>
        <v>374.11181469164347</v>
      </c>
      <c r="AI41" s="121">
        <f>$P41*(1-$R41)*(1/$Q41)*IF($O41 = "kW perparticipant",1,$S41/$T41)*(SUM('Avoided Costs'!K$4:K$5))</f>
        <v>405.95111806965565</v>
      </c>
      <c r="AJ41" s="121">
        <f>$P41*(1-$R41)*(1/$Q41)*IF($O41 = "kW perparticipant",1,$S41/$T41)*(SUM('Avoided Costs'!L$4:L$5))</f>
        <v>435.13714616616687</v>
      </c>
      <c r="AK41" s="121">
        <f>$P41*(1-$R41)*(1/$Q41)*IF($O41 = "kW perparticipant",1,$S41/$T41)*(SUM('Avoided Costs'!M$4:M$5))</f>
        <v>464.32317426267804</v>
      </c>
      <c r="AL41" s="121">
        <f>$P41*(1-$R41)*(1/$Q41)*IF($O41 = "kW perparticipant",1,$S41/$T41)*(SUM('Avoided Costs'!N$4:N$5))</f>
        <v>488.20265179618718</v>
      </c>
      <c r="AM41" s="121">
        <f>$P41*(1-$R41)*(1/$Q41)*IF($O41 = "kW perparticipant",1,$S41/$T41)*(SUM('Avoided Costs'!O$4:O$5))</f>
        <v>512.08212932969639</v>
      </c>
      <c r="AN41" s="121">
        <f>$P41*(1-$R41)*(1/$Q41)*IF($O41 = "kW perparticipant",1,$S41/$T41)*(SUM('Avoided Costs'!P$4:P$5))</f>
        <v>533.30833158170446</v>
      </c>
      <c r="AO41" s="121">
        <f>$P41*(1-$R41)*(1/$Q41)*IF($O41 = "kW perparticipant",1,$S41/$T41)*(SUM('Avoided Costs'!Q$4:Q$5))</f>
        <v>554.53453383371266</v>
      </c>
    </row>
    <row r="42" spans="1:41" ht="27.6" x14ac:dyDescent="0.25">
      <c r="L42" t="str">
        <f t="shared" si="1"/>
        <v>DLC-Thermostat-DI-MSHPSmall Industrial</v>
      </c>
      <c r="M42" t="s">
        <v>86</v>
      </c>
      <c r="N42" t="s">
        <v>42</v>
      </c>
      <c r="O42" t="str" cm="1">
        <f t="array" ref="O42">INDEX('Unit Impact by End Use'!D:D,MATCH(1,($M42='Unit Impact by End Use'!$B:$B)*($N42='Unit Impact by End Use'!$C:$C),0))</f>
        <v>kW per participant</v>
      </c>
      <c r="P42" cm="1">
        <f t="array" ref="P42">INDEX('Unit Impact by End Use'!E:E,MATCH(1,($M42='Unit Impact by End Use'!$B:$B)*($N42='Unit Impact by End Use'!$C:$C),0))</f>
        <v>1</v>
      </c>
      <c r="Q42">
        <v>5</v>
      </c>
      <c r="R42" s="43" cm="1">
        <f t="array" ref="R42">INDEX('Opt Out Factor'!C:C,MATCH(1,($M42='Opt Out Factor'!A:A)*($N42='Opt Out Factor'!B:B),0))</f>
        <v>0.25</v>
      </c>
      <c r="S42" s="36">
        <f>SUMIFS('Winter Peak Load'!H:H,'Winter Peak Load'!B:B,N42)*1000</f>
        <v>29828.400006769331</v>
      </c>
      <c r="T42" s="36">
        <f>SUMIFS('Customer Count'!G:G,'Customer Count'!B:B,N42)</f>
        <v>2136</v>
      </c>
      <c r="U42" s="22">
        <f t="shared" si="7"/>
        <v>6.3299999999999995E-2</v>
      </c>
      <c r="V42" s="119">
        <f t="shared" si="2"/>
        <v>2499.24146473872</v>
      </c>
      <c r="W42" t="str">
        <f t="shared" si="3"/>
        <v>Small</v>
      </c>
      <c r="X42" s="123" t="str" cm="1">
        <f t="array" ref="X42">INDEX($B$27:$B$77,MATCH(1, (M42=$A$27:$A$77)*(W42=$C$27:$C$77),0))</f>
        <v>Smart thermostats for mini-split heat pumps | Business Energy Rebates</v>
      </c>
      <c r="Y42">
        <f t="shared" si="8"/>
        <v>51.297443925832297</v>
      </c>
      <c r="Z42">
        <f t="shared" si="4"/>
        <v>83.488331760485806</v>
      </c>
      <c r="AA42" s="43">
        <f t="shared" si="5"/>
        <v>0.97988760581084744</v>
      </c>
      <c r="AB42" s="43">
        <f t="shared" si="6"/>
        <v>0.96767438395079064</v>
      </c>
      <c r="AC42" s="43"/>
      <c r="AE42" s="121">
        <f>$P42*(1-$R42)*(1/$Q42)*IF($O42 = "kW perparticipant",1,$S42/$T42)*(SUM('Avoided Costs'!G$4:G$5))</f>
        <v>211.56379218284431</v>
      </c>
      <c r="AF42" s="121">
        <f>$P42*(1-$R42)*(1/$Q42)*IF($O42 = "kW perparticipant",1,$S42/$T42)*(SUM('Avoided Costs'!H$4:H$5))</f>
        <v>240.88946634680292</v>
      </c>
      <c r="AG42" s="121">
        <f>$P42*(1-$R42)*(1/$Q42)*IF($O42 = "kW perparticipant",1,$S42/$T42)*(SUM('Avoided Costs'!I$4:I$5))</f>
        <v>270.21514051076156</v>
      </c>
      <c r="AH42" s="121">
        <f>$P42*(1-$R42)*(1/$Q42)*IF($O42 = "kW perparticipant",1,$S42/$T42)*(SUM('Avoided Costs'!J$4:J$5))</f>
        <v>295.3514326512975</v>
      </c>
      <c r="AI42" s="121">
        <f>$P42*(1-$R42)*(1/$Q42)*IF($O42 = "kW perparticipant",1,$S42/$T42)*(SUM('Avoided Costs'!K$4:K$5))</f>
        <v>320.48772479183344</v>
      </c>
      <c r="AJ42" s="121">
        <f>$P42*(1-$R42)*(1/$Q42)*IF($O42 = "kW perparticipant",1,$S42/$T42)*(SUM('Avoided Costs'!L$4:L$5))</f>
        <v>343.5293259206581</v>
      </c>
      <c r="AK42" s="121">
        <f>$P42*(1-$R42)*(1/$Q42)*IF($O42 = "kW perparticipant",1,$S42/$T42)*(SUM('Avoided Costs'!M$4:M$5))</f>
        <v>366.57092704948269</v>
      </c>
      <c r="AL42" s="121">
        <f>$P42*(1-$R42)*(1/$Q42)*IF($O42 = "kW perparticipant",1,$S42/$T42)*(SUM('Avoided Costs'!N$4:N$5))</f>
        <v>385.42314615488465</v>
      </c>
      <c r="AM42" s="121">
        <f>$P42*(1-$R42)*(1/$Q42)*IF($O42 = "kW perparticipant",1,$S42/$T42)*(SUM('Avoided Costs'!O$4:O$5))</f>
        <v>404.27536526028666</v>
      </c>
      <c r="AN42" s="121">
        <f>$P42*(1-$R42)*(1/$Q42)*IF($O42 = "kW perparticipant",1,$S42/$T42)*(SUM('Avoided Costs'!P$4:P$5))</f>
        <v>421.03289335397727</v>
      </c>
      <c r="AO42" s="121">
        <f>$P42*(1-$R42)*(1/$Q42)*IF($O42 = "kW perparticipant",1,$S42/$T42)*(SUM('Avoided Costs'!Q$4:Q$5))</f>
        <v>437.79042144766794</v>
      </c>
    </row>
    <row r="43" spans="1:41" ht="27.6" x14ac:dyDescent="0.25">
      <c r="L43" t="str">
        <f t="shared" si="1"/>
        <v>DLC-Thermostat-BYOT-MSHPSmall Industrial</v>
      </c>
      <c r="M43" t="s">
        <v>87</v>
      </c>
      <c r="N43" t="s">
        <v>42</v>
      </c>
      <c r="O43" t="str" cm="1">
        <f t="array" ref="O43">INDEX('Unit Impact by End Use'!D:D,MATCH(1,($M43='Unit Impact by End Use'!$B:$B)*($N43='Unit Impact by End Use'!$C:$C),0))</f>
        <v>kW per participant</v>
      </c>
      <c r="P43" cm="1">
        <f t="array" ref="P43">INDEX('Unit Impact by End Use'!E:E,MATCH(1,($M43='Unit Impact by End Use'!$B:$B)*($N43='Unit Impact by End Use'!$C:$C),0))</f>
        <v>1</v>
      </c>
      <c r="Q43">
        <v>5</v>
      </c>
      <c r="R43" s="43" cm="1">
        <f t="array" ref="R43">INDEX('Opt Out Factor'!C:C,MATCH(1,($M43='Opt Out Factor'!A:A)*($N43='Opt Out Factor'!B:B),0))</f>
        <v>0.25</v>
      </c>
      <c r="S43" s="36">
        <f>SUMIFS('Winter Peak Load'!H:H,'Winter Peak Load'!B:B,N43)*1000</f>
        <v>29828.400006769331</v>
      </c>
      <c r="T43" s="36">
        <f>SUMIFS('Customer Count'!G:G,'Customer Count'!B:B,N43)</f>
        <v>2136</v>
      </c>
      <c r="U43" s="22">
        <f t="shared" si="7"/>
        <v>6.3299999999999995E-2</v>
      </c>
      <c r="V43" s="119">
        <f t="shared" si="2"/>
        <v>2499.24146473872</v>
      </c>
      <c r="W43" t="str">
        <f t="shared" si="3"/>
        <v>Small</v>
      </c>
      <c r="X43" s="123" t="str" cm="1">
        <f t="array" ref="X43">INDEX($B$27:$B$77,MATCH(1, (M43=$A$27:$A$77)*(W43=$C$27:$C$77),0))</f>
        <v>Smart thermostats for mini-split heat pumps | Business Energy Rebates</v>
      </c>
      <c r="Y43">
        <f t="shared" si="8"/>
        <v>51.297443925832297</v>
      </c>
      <c r="Z43">
        <f t="shared" si="4"/>
        <v>83.488331760485806</v>
      </c>
      <c r="AA43" s="43">
        <f t="shared" si="5"/>
        <v>0.97988760581084744</v>
      </c>
      <c r="AB43" s="43">
        <f t="shared" si="6"/>
        <v>0.96767438395079064</v>
      </c>
      <c r="AC43" s="43"/>
      <c r="AE43" s="121">
        <f>$P43*(1-$R43)*(1/$Q43)*IF($O43 = "kW perparticipant",1,$S43/$T43)*(SUM('Avoided Costs'!G$4:G$5))</f>
        <v>211.56379218284431</v>
      </c>
      <c r="AF43" s="121">
        <f>$P43*(1-$R43)*(1/$Q43)*IF($O43 = "kW perparticipant",1,$S43/$T43)*(SUM('Avoided Costs'!H$4:H$5))</f>
        <v>240.88946634680292</v>
      </c>
      <c r="AG43" s="121">
        <f>$P43*(1-$R43)*(1/$Q43)*IF($O43 = "kW perparticipant",1,$S43/$T43)*(SUM('Avoided Costs'!I$4:I$5))</f>
        <v>270.21514051076156</v>
      </c>
      <c r="AH43" s="121">
        <f>$P43*(1-$R43)*(1/$Q43)*IF($O43 = "kW perparticipant",1,$S43/$T43)*(SUM('Avoided Costs'!J$4:J$5))</f>
        <v>295.3514326512975</v>
      </c>
      <c r="AI43" s="121">
        <f>$P43*(1-$R43)*(1/$Q43)*IF($O43 = "kW perparticipant",1,$S43/$T43)*(SUM('Avoided Costs'!K$4:K$5))</f>
        <v>320.48772479183344</v>
      </c>
      <c r="AJ43" s="121">
        <f>$P43*(1-$R43)*(1/$Q43)*IF($O43 = "kW perparticipant",1,$S43/$T43)*(SUM('Avoided Costs'!L$4:L$5))</f>
        <v>343.5293259206581</v>
      </c>
      <c r="AK43" s="121">
        <f>$P43*(1-$R43)*(1/$Q43)*IF($O43 = "kW perparticipant",1,$S43/$T43)*(SUM('Avoided Costs'!M$4:M$5))</f>
        <v>366.57092704948269</v>
      </c>
      <c r="AL43" s="121">
        <f>$P43*(1-$R43)*(1/$Q43)*IF($O43 = "kW perparticipant",1,$S43/$T43)*(SUM('Avoided Costs'!N$4:N$5))</f>
        <v>385.42314615488465</v>
      </c>
      <c r="AM43" s="121">
        <f>$P43*(1-$R43)*(1/$Q43)*IF($O43 = "kW perparticipant",1,$S43/$T43)*(SUM('Avoided Costs'!O$4:O$5))</f>
        <v>404.27536526028666</v>
      </c>
      <c r="AN43" s="121">
        <f>$P43*(1-$R43)*(1/$Q43)*IF($O43 = "kW perparticipant",1,$S43/$T43)*(SUM('Avoided Costs'!P$4:P$5))</f>
        <v>421.03289335397727</v>
      </c>
      <c r="AO43" s="121">
        <f>$P43*(1-$R43)*(1/$Q43)*IF($O43 = "kW perparticipant",1,$S43/$T43)*(SUM('Avoided Costs'!Q$4:Q$5))</f>
        <v>437.79042144766794</v>
      </c>
    </row>
    <row r="44" spans="1:41" x14ac:dyDescent="0.25">
      <c r="L44" t="str">
        <f t="shared" si="1"/>
        <v>Dynamic Pricing with enabling tech.Small Commercial</v>
      </c>
      <c r="M44" t="s">
        <v>101</v>
      </c>
      <c r="N44" t="s">
        <v>40</v>
      </c>
      <c r="O44" t="str" cm="1">
        <f t="array" ref="O44">INDEX('Unit Impact by End Use'!D:D,MATCH(1,($M44='Unit Impact by End Use'!$B:$B)*($N44='Unit Impact by End Use'!$C:$C),0))</f>
        <v>% of enduse load</v>
      </c>
      <c r="P44" cm="1">
        <f t="array" ref="P44">INDEX('Unit Impact by End Use'!E:E,MATCH(1,($M44='Unit Impact by End Use'!$B:$B)*($N44='Unit Impact by End Use'!$C:$C),0))</f>
        <v>0.14250000000000002</v>
      </c>
      <c r="Q44" s="54">
        <v>1</v>
      </c>
      <c r="R44" s="43" cm="1">
        <f t="array" ref="R44">INDEX('Opt Out Factor'!C:C,MATCH(1,($M44='Opt Out Factor'!A:A)*($N44='Opt Out Factor'!B:B),0))</f>
        <v>0</v>
      </c>
      <c r="S44" s="36">
        <f>SUMIFS('Winter Peak Load'!H:H,'Winter Peak Load'!B:B,N44)*1000</f>
        <v>427685.23227704066</v>
      </c>
      <c r="T44" s="36">
        <f>SUMIFS('Customer Count'!G:G,'Customer Count'!B:B,N44)</f>
        <v>37289.565769825247</v>
      </c>
      <c r="U44" s="22">
        <f t="shared" si="7"/>
        <v>6.3299999999999995E-2</v>
      </c>
      <c r="V44" s="119">
        <f t="shared" si="2"/>
        <v>1950.0243806037956</v>
      </c>
      <c r="W44" t="str">
        <f t="shared" si="3"/>
        <v>Small</v>
      </c>
      <c r="X44" s="123" t="str" cm="1">
        <f t="array" ref="X44">INDEX($B$27:$B$77,MATCH(1, (M44=$A$27:$A$77)*(W44=$C$27:$C$77),0))</f>
        <v>Smart Tstat Res | CPP</v>
      </c>
      <c r="Y44">
        <f t="shared" si="8"/>
        <v>291.73534671130983</v>
      </c>
      <c r="Z44">
        <f t="shared" si="4"/>
        <v>474.80918245575123</v>
      </c>
      <c r="AA44" s="43">
        <f t="shared" si="5"/>
        <v>0.86986324040145313</v>
      </c>
      <c r="AB44" s="43">
        <f t="shared" si="6"/>
        <v>0.80418895973352567</v>
      </c>
      <c r="AC44" s="43"/>
      <c r="AE44" s="121">
        <f>$P44*(1-$R44)*(1/$Q44)*IF($O44 = "kW perparticipant",1,$S44/$T44)*(SUM('Avoided Costs'!G$4:G$5))</f>
        <v>165.07190626843695</v>
      </c>
      <c r="AF44" s="121">
        <f>$P44*(1-$R44)*(1/$Q44)*IF($O44 = "kW perparticipant",1,$S44/$T44)*(SUM('Avoided Costs'!H$4:H$5))</f>
        <v>187.95316060267575</v>
      </c>
      <c r="AG44" s="121">
        <f>$P44*(1-$R44)*(1/$Q44)*IF($O44 = "kW perparticipant",1,$S44/$T44)*(SUM('Avoided Costs'!I$4:I$5))</f>
        <v>210.83441493691453</v>
      </c>
      <c r="AH44" s="121">
        <f>$P44*(1-$R44)*(1/$Q44)*IF($O44 = "kW perparticipant",1,$S44/$T44)*(SUM('Avoided Costs'!J$4:J$5))</f>
        <v>230.44691865197635</v>
      </c>
      <c r="AI44" s="121">
        <f>$P44*(1-$R44)*(1/$Q44)*IF($O44 = "kW perparticipant",1,$S44/$T44)*(SUM('Avoided Costs'!K$4:K$5))</f>
        <v>250.05942236703817</v>
      </c>
      <c r="AJ44" s="121">
        <f>$P44*(1-$R44)*(1/$Q44)*IF($O44 = "kW perparticipant",1,$S44/$T44)*(SUM('Avoided Costs'!L$4:L$5))</f>
        <v>268.03755077251151</v>
      </c>
      <c r="AK44" s="121">
        <f>$P44*(1-$R44)*(1/$Q44)*IF($O44 = "kW perparticipant",1,$S44/$T44)*(SUM('Avoided Costs'!M$4:M$5))</f>
        <v>286.01567917798485</v>
      </c>
      <c r="AL44" s="121">
        <f>$P44*(1-$R44)*(1/$Q44)*IF($O44 = "kW perparticipant",1,$S44/$T44)*(SUM('Avoided Costs'!N$4:N$5))</f>
        <v>300.72505696428118</v>
      </c>
      <c r="AM44" s="121">
        <f>$P44*(1-$R44)*(1/$Q44)*IF($O44 = "kW perparticipant",1,$S44/$T44)*(SUM('Avoided Costs'!O$4:O$5))</f>
        <v>315.43443475057757</v>
      </c>
      <c r="AN44" s="121">
        <f>$P44*(1-$R44)*(1/$Q44)*IF($O44 = "kW perparticipant",1,$S44/$T44)*(SUM('Avoided Costs'!P$4:P$5))</f>
        <v>328.50943722728545</v>
      </c>
      <c r="AO44" s="121">
        <f>$P44*(1-$R44)*(1/$Q44)*IF($O44 = "kW perparticipant",1,$S44/$T44)*(SUM('Avoided Costs'!Q$4:Q$5))</f>
        <v>341.58443970399333</v>
      </c>
    </row>
    <row r="45" spans="1:41" x14ac:dyDescent="0.25">
      <c r="L45" t="str">
        <f t="shared" si="1"/>
        <v>Dynamic Pricing with enabling tech.Large Commercial</v>
      </c>
      <c r="M45" t="s">
        <v>101</v>
      </c>
      <c r="N45" t="s">
        <v>41</v>
      </c>
      <c r="O45" t="str" cm="1">
        <f t="array" ref="O45">INDEX('Unit Impact by End Use'!D:D,MATCH(1,($M45='Unit Impact by End Use'!$B:$B)*($N45='Unit Impact by End Use'!$C:$C),0))</f>
        <v>% of enduse load</v>
      </c>
      <c r="P45" cm="1">
        <f t="array" ref="P45">INDEX('Unit Impact by End Use'!E:E,MATCH(1,($M45='Unit Impact by End Use'!$B:$B)*($N45='Unit Impact by End Use'!$C:$C),0))</f>
        <v>0.19</v>
      </c>
      <c r="Q45" s="54">
        <v>1</v>
      </c>
      <c r="R45" s="43" cm="1">
        <f t="array" ref="R45">INDEX('Opt Out Factor'!C:C,MATCH(1,($M45='Opt Out Factor'!A:A)*($N45='Opt Out Factor'!B:B),0))</f>
        <v>0</v>
      </c>
      <c r="S45" s="36">
        <f>SUMIFS('Winter Peak Load'!H:H,'Winter Peak Load'!B:B,N45)*1000</f>
        <v>966222.5373194603</v>
      </c>
      <c r="T45" s="36">
        <f>SUMIFS('Customer Count'!G:G,'Customer Count'!B:B,N45)</f>
        <v>1257.4342301747397</v>
      </c>
      <c r="U45" s="22">
        <f t="shared" si="7"/>
        <v>6.3299999999999995E-2</v>
      </c>
      <c r="V45" s="119">
        <f t="shared" si="2"/>
        <v>174194.21742911605</v>
      </c>
      <c r="W45" t="str">
        <f t="shared" si="3"/>
        <v>Large</v>
      </c>
      <c r="X45" s="123" t="e" cm="1">
        <f t="array" ref="X45">INDEX($B$27:$B$77,MATCH(1, (M45=$A$27:$A$77)*(W45=$C$27:$C$77),0))</f>
        <v>#N/A</v>
      </c>
      <c r="Y45" t="e">
        <f t="shared" si="8"/>
        <v>#N/A</v>
      </c>
      <c r="Z45" t="e">
        <f t="shared" si="4"/>
        <v>#N/A</v>
      </c>
      <c r="AA45" s="43">
        <f t="shared" si="5"/>
        <v>0</v>
      </c>
      <c r="AB45" s="43">
        <f t="shared" si="6"/>
        <v>0</v>
      </c>
      <c r="AC45" s="43"/>
      <c r="AE45" s="121">
        <f>$P45*(1-$R45)*(1/$Q45)*IF($O45 = "kW perparticipant",1,$S45/$T45)*(SUM('Avoided Costs'!G$4:G$5))</f>
        <v>14745.749754707866</v>
      </c>
      <c r="AF45" s="121">
        <f>$P45*(1-$R45)*(1/$Q45)*IF($O45 = "kW perparticipant",1,$S45/$T45)*(SUM('Avoided Costs'!H$4:H$5))</f>
        <v>16789.715067241628</v>
      </c>
      <c r="AG45" s="121">
        <f>$P45*(1-$R45)*(1/$Q45)*IF($O45 = "kW perparticipant",1,$S45/$T45)*(SUM('Avoided Costs'!I$4:I$5))</f>
        <v>18833.680379775393</v>
      </c>
      <c r="AH45" s="121">
        <f>$P45*(1-$R45)*(1/$Q45)*IF($O45 = "kW perparticipant",1,$S45/$T45)*(SUM('Avoided Costs'!J$4:J$5))</f>
        <v>20585.650647661478</v>
      </c>
      <c r="AI45" s="121">
        <f>$P45*(1-$R45)*(1/$Q45)*IF($O45 = "kW perparticipant",1,$S45/$T45)*(SUM('Avoided Costs'!K$4:K$5))</f>
        <v>22337.620915547559</v>
      </c>
      <c r="AJ45" s="121">
        <f>$P45*(1-$R45)*(1/$Q45)*IF($O45 = "kW perparticipant",1,$S45/$T45)*(SUM('Avoided Costs'!L$4:L$5))</f>
        <v>23943.5936611098</v>
      </c>
      <c r="AK45" s="121">
        <f>$P45*(1-$R45)*(1/$Q45)*IF($O45 = "kW perparticipant",1,$S45/$T45)*(SUM('Avoided Costs'!M$4:M$5))</f>
        <v>25549.566406672046</v>
      </c>
      <c r="AL45" s="121">
        <f>$P45*(1-$R45)*(1/$Q45)*IF($O45 = "kW perparticipant",1,$S45/$T45)*(SUM('Avoided Costs'!N$4:N$5))</f>
        <v>26863.544107586607</v>
      </c>
      <c r="AM45" s="121">
        <f>$P45*(1-$R45)*(1/$Q45)*IF($O45 = "kW perparticipant",1,$S45/$T45)*(SUM('Avoided Costs'!O$4:O$5))</f>
        <v>28177.521808501169</v>
      </c>
      <c r="AN45" s="121">
        <f>$P45*(1-$R45)*(1/$Q45)*IF($O45 = "kW perparticipant",1,$S45/$T45)*(SUM('Avoided Costs'!P$4:P$5))</f>
        <v>29345.501987091891</v>
      </c>
      <c r="AO45" s="121">
        <f>$P45*(1-$R45)*(1/$Q45)*IF($O45 = "kW perparticipant",1,$S45/$T45)*(SUM('Avoided Costs'!Q$4:Q$5))</f>
        <v>30513.482165682613</v>
      </c>
    </row>
    <row r="46" spans="1:41" ht="17.399999999999999" thickBot="1" x14ac:dyDescent="0.35">
      <c r="A46" s="122" t="s">
        <v>196</v>
      </c>
      <c r="L46" t="str">
        <f t="shared" si="1"/>
        <v>Dynamic Pricing with enabling tech.Small Industrial</v>
      </c>
      <c r="M46" t="s">
        <v>101</v>
      </c>
      <c r="N46" t="s">
        <v>42</v>
      </c>
      <c r="O46" t="str" cm="1">
        <f t="array" ref="O46">INDEX('Unit Impact by End Use'!D:D,MATCH(1,($M46='Unit Impact by End Use'!$B:$B)*($N46='Unit Impact by End Use'!$C:$C),0))</f>
        <v>% of enduse load</v>
      </c>
      <c r="P46" cm="1">
        <f t="array" ref="P46">INDEX('Unit Impact by End Use'!E:E,MATCH(1,($M46='Unit Impact by End Use'!$B:$B)*($N46='Unit Impact by End Use'!$C:$C),0))</f>
        <v>0.14250000000000002</v>
      </c>
      <c r="Q46" s="54">
        <v>1</v>
      </c>
      <c r="R46" s="43" cm="1">
        <f t="array" ref="R46">INDEX('Opt Out Factor'!C:C,MATCH(1,($M46='Opt Out Factor'!A:A)*($N46='Opt Out Factor'!B:B),0))</f>
        <v>0</v>
      </c>
      <c r="S46" s="36">
        <f>SUMIFS('Winter Peak Load'!H:H,'Winter Peak Load'!B:B,N46)*1000</f>
        <v>29828.400006769331</v>
      </c>
      <c r="T46" s="36">
        <f>SUMIFS('Customer Count'!G:G,'Customer Count'!B:B,N46)</f>
        <v>2136</v>
      </c>
      <c r="U46" s="22">
        <f t="shared" si="7"/>
        <v>6.3299999999999995E-2</v>
      </c>
      <c r="V46" s="119">
        <f t="shared" si="2"/>
        <v>2374.2793915017837</v>
      </c>
      <c r="W46" t="str">
        <f t="shared" si="3"/>
        <v>Small</v>
      </c>
      <c r="X46" s="123" t="str" cm="1">
        <f t="array" ref="X46">INDEX($B$27:$B$77,MATCH(1, (M46=$A$27:$A$77)*(W46=$C$27:$C$77),0))</f>
        <v>Smart Tstat Res | CPP</v>
      </c>
      <c r="Y46">
        <f t="shared" si="8"/>
        <v>291.73534671130983</v>
      </c>
      <c r="Z46">
        <f t="shared" si="4"/>
        <v>474.80918245575123</v>
      </c>
      <c r="AA46" s="43">
        <f t="shared" si="5"/>
        <v>0.89057249289370155</v>
      </c>
      <c r="AB46" s="43">
        <f t="shared" si="6"/>
        <v>0.83334699145691482</v>
      </c>
      <c r="AC46" s="43"/>
      <c r="AE46" s="121">
        <f>$P46*(1-$R46)*(1/$Q46)*IF($O46 = "kW perparticipant",1,$S46/$T46)*(SUM('Avoided Costs'!G$4:G$5))</f>
        <v>200.9856025737021</v>
      </c>
      <c r="AF46" s="121">
        <f>$P46*(1-$R46)*(1/$Q46)*IF($O46 = "kW perparticipant",1,$S46/$T46)*(SUM('Avoided Costs'!H$4:H$5))</f>
        <v>228.84499302946276</v>
      </c>
      <c r="AG46" s="121">
        <f>$P46*(1-$R46)*(1/$Q46)*IF($O46 = "kW perparticipant",1,$S46/$T46)*(SUM('Avoided Costs'!I$4:I$5))</f>
        <v>256.70438348522345</v>
      </c>
      <c r="AH46" s="121">
        <f>$P46*(1-$R46)*(1/$Q46)*IF($O46 = "kW perparticipant",1,$S46/$T46)*(SUM('Avoided Costs'!J$4:J$5))</f>
        <v>280.58386101873259</v>
      </c>
      <c r="AI46" s="121">
        <f>$P46*(1-$R46)*(1/$Q46)*IF($O46 = "kW perparticipant",1,$S46/$T46)*(SUM('Avoided Costs'!K$4:K$5))</f>
        <v>304.46333855224179</v>
      </c>
      <c r="AJ46" s="121">
        <f>$P46*(1-$R46)*(1/$Q46)*IF($O46 = "kW perparticipant",1,$S46/$T46)*(SUM('Avoided Costs'!L$4:L$5))</f>
        <v>326.35285962462518</v>
      </c>
      <c r="AK46" s="121">
        <f>$P46*(1-$R46)*(1/$Q46)*IF($O46 = "kW perparticipant",1,$S46/$T46)*(SUM('Avoided Costs'!M$4:M$5))</f>
        <v>348.24238069700857</v>
      </c>
      <c r="AL46" s="121">
        <f>$P46*(1-$R46)*(1/$Q46)*IF($O46 = "kW perparticipant",1,$S46/$T46)*(SUM('Avoided Costs'!N$4:N$5))</f>
        <v>366.15198884714044</v>
      </c>
      <c r="AM46" s="121">
        <f>$P46*(1-$R46)*(1/$Q46)*IF($O46 = "kW perparticipant",1,$S46/$T46)*(SUM('Avoided Costs'!O$4:O$5))</f>
        <v>384.06159699727232</v>
      </c>
      <c r="AN46" s="121">
        <f>$P46*(1-$R46)*(1/$Q46)*IF($O46 = "kW perparticipant",1,$S46/$T46)*(SUM('Avoided Costs'!P$4:P$5))</f>
        <v>399.98124868627838</v>
      </c>
      <c r="AO46" s="121">
        <f>$P46*(1-$R46)*(1/$Q46)*IF($O46 = "kW perparticipant",1,$S46/$T46)*(SUM('Avoided Costs'!Q$4:Q$5))</f>
        <v>415.90090037528449</v>
      </c>
    </row>
    <row r="47" spans="1:41" ht="14.4" thickTop="1" x14ac:dyDescent="0.25">
      <c r="A47" t="s">
        <v>197</v>
      </c>
      <c r="B47" t="s">
        <v>198</v>
      </c>
      <c r="C47" t="s">
        <v>182</v>
      </c>
      <c r="L47" t="str">
        <f t="shared" si="1"/>
        <v>Dynamic Pricing with enabling tech.Large Industrial</v>
      </c>
      <c r="M47" t="s">
        <v>101</v>
      </c>
      <c r="N47" t="s">
        <v>43</v>
      </c>
      <c r="O47" t="str" cm="1">
        <f t="array" ref="O47">INDEX('Unit Impact by End Use'!D:D,MATCH(1,($M47='Unit Impact by End Use'!$B:$B)*($N47='Unit Impact by End Use'!$C:$C),0))</f>
        <v>% of enduse load</v>
      </c>
      <c r="P47" cm="1">
        <f t="array" ref="P47">INDEX('Unit Impact by End Use'!E:E,MATCH(1,($M47='Unit Impact by End Use'!$B:$B)*($N47='Unit Impact by End Use'!$C:$C),0))</f>
        <v>0.19</v>
      </c>
      <c r="Q47" s="54">
        <v>1</v>
      </c>
      <c r="R47" s="43" cm="1">
        <f t="array" ref="R47">INDEX('Opt Out Factor'!C:C,MATCH(1,($M47='Opt Out Factor'!A:A)*($N47='Opt Out Factor'!B:B),0))</f>
        <v>0</v>
      </c>
      <c r="S47" s="36">
        <f>SUMIFS('Winter Peak Load'!H:H,'Winter Peak Load'!B:B,N47)*1000</f>
        <v>72684.918332825036</v>
      </c>
      <c r="T47" s="36">
        <f>SUMIFS('Customer Count'!G:G,'Customer Count'!B:B,N47)</f>
        <v>189</v>
      </c>
      <c r="U47" s="22">
        <f t="shared" si="7"/>
        <v>6.3299999999999995E-2</v>
      </c>
      <c r="V47" s="119">
        <f t="shared" si="2"/>
        <v>87181.503019560419</v>
      </c>
      <c r="W47" t="str">
        <f t="shared" si="3"/>
        <v>Large</v>
      </c>
      <c r="X47" s="123" t="e" cm="1">
        <f t="array" ref="X47">INDEX($B$27:$B$77,MATCH(1, (M47=$A$27:$A$77)*(W47=$C$27:$C$77),0))</f>
        <v>#N/A</v>
      </c>
      <c r="Y47" t="e">
        <f t="shared" si="8"/>
        <v>#N/A</v>
      </c>
      <c r="Z47" t="e">
        <f t="shared" si="4"/>
        <v>#N/A</v>
      </c>
      <c r="AA47" s="43">
        <f t="shared" si="5"/>
        <v>0</v>
      </c>
      <c r="AB47" s="43">
        <f t="shared" si="6"/>
        <v>0</v>
      </c>
      <c r="AC47" s="43"/>
      <c r="AE47" s="121">
        <f>$P47*(1-$R47)*(1/$Q47)*IF($O47 = "kW perparticipant",1,$S47/$T47)*(SUM('Avoided Costs'!G$4:G$5))</f>
        <v>7380.0189566503304</v>
      </c>
      <c r="AF47" s="121">
        <f>$P47*(1-$R47)*(1/$Q47)*IF($O47 = "kW perparticipant",1,$S47/$T47)*(SUM('Avoided Costs'!H$4:H$5))</f>
        <v>8402.9918813345357</v>
      </c>
      <c r="AG47" s="121">
        <f>$P47*(1-$R47)*(1/$Q47)*IF($O47 = "kW perparticipant",1,$S47/$T47)*(SUM('Avoided Costs'!I$4:I$5))</f>
        <v>9425.9648060187392</v>
      </c>
      <c r="AH47" s="121">
        <f>$P47*(1-$R47)*(1/$Q47)*IF($O47 = "kW perparticipant",1,$S47/$T47)*(SUM('Avoided Costs'!J$4:J$5))</f>
        <v>10302.798741462342</v>
      </c>
      <c r="AI47" s="121">
        <f>$P47*(1-$R47)*(1/$Q47)*IF($O47 = "kW perparticipant",1,$S47/$T47)*(SUM('Avoided Costs'!K$4:K$5))</f>
        <v>11179.632676905947</v>
      </c>
      <c r="AJ47" s="121">
        <f>$P47*(1-$R47)*(1/$Q47)*IF($O47 = "kW perparticipant",1,$S47/$T47)*(SUM('Avoided Costs'!L$4:L$5))</f>
        <v>11983.39711772925</v>
      </c>
      <c r="AK47" s="121">
        <f>$P47*(1-$R47)*(1/$Q47)*IF($O47 = "kW perparticipant",1,$S47/$T47)*(SUM('Avoided Costs'!M$4:M$5))</f>
        <v>12787.161558552552</v>
      </c>
      <c r="AL47" s="121">
        <f>$P47*(1-$R47)*(1/$Q47)*IF($O47 = "kW perparticipant",1,$S47/$T47)*(SUM('Avoided Costs'!N$4:N$5))</f>
        <v>13444.787010135256</v>
      </c>
      <c r="AM47" s="121">
        <f>$P47*(1-$R47)*(1/$Q47)*IF($O47 = "kW perparticipant",1,$S47/$T47)*(SUM('Avoided Costs'!O$4:O$5))</f>
        <v>14102.412461717959</v>
      </c>
      <c r="AN47" s="121">
        <f>$P47*(1-$R47)*(1/$Q47)*IF($O47 = "kW perparticipant",1,$S47/$T47)*(SUM('Avoided Costs'!P$4:P$5))</f>
        <v>14686.968418680361</v>
      </c>
      <c r="AO47" s="121">
        <f>$P47*(1-$R47)*(1/$Q47)*IF($O47 = "kW perparticipant",1,$S47/$T47)*(SUM('Avoided Costs'!Q$4:Q$5))</f>
        <v>15271.524375642764</v>
      </c>
    </row>
    <row r="48" spans="1:41" x14ac:dyDescent="0.25">
      <c r="A48" t="s">
        <v>90</v>
      </c>
      <c r="B48" t="s">
        <v>199</v>
      </c>
      <c r="C48" t="s">
        <v>200</v>
      </c>
      <c r="L48" t="str">
        <f t="shared" si="1"/>
        <v>Dynamic Pricing with enabling tech.Interruptible Rider</v>
      </c>
      <c r="M48" t="s">
        <v>101</v>
      </c>
      <c r="N48" t="s">
        <v>44</v>
      </c>
      <c r="O48" t="str" cm="1">
        <f t="array" ref="O48">INDEX('Unit Impact by End Use'!D:D,MATCH(1,($M48='Unit Impact by End Use'!$B:$B)*($N48='Unit Impact by End Use'!$C:$C),0))</f>
        <v>% of enduse load</v>
      </c>
      <c r="P48" cm="1">
        <f t="array" ref="P48">INDEX('Unit Impact by End Use'!E:E,MATCH(1,($M48='Unit Impact by End Use'!$B:$B)*($N48='Unit Impact by End Use'!$C:$C),0))</f>
        <v>9.5000000000000001E-2</v>
      </c>
      <c r="Q48" s="54">
        <v>1</v>
      </c>
      <c r="R48" s="43" cm="1">
        <f t="array" ref="R48">INDEX('Opt Out Factor'!C:C,MATCH(1,($M48='Opt Out Factor'!A:A)*($N48='Opt Out Factor'!B:B),0))</f>
        <v>0</v>
      </c>
      <c r="S48" s="36">
        <f>SUMIFS('Winter Peak Load'!H:H,'Winter Peak Load'!B:B,N48)*1000</f>
        <v>77686.266357262706</v>
      </c>
      <c r="T48" s="36">
        <f>SUMIFS('Customer Count'!G:G,'Customer Count'!B:B,N48)</f>
        <v>23</v>
      </c>
      <c r="U48" s="22">
        <f t="shared" si="7"/>
        <v>6.3299999999999995E-2</v>
      </c>
      <c r="V48" s="119">
        <f t="shared" si="2"/>
        <v>382849.66132396273</v>
      </c>
      <c r="W48" t="str">
        <f t="shared" si="3"/>
        <v>Interruptible Rider</v>
      </c>
      <c r="X48" s="123" t="e" cm="1">
        <f t="array" ref="X48">INDEX($B$27:$B$77,MATCH(1, (M48=$A$27:$A$77)*(W48=$C$27:$C$77),0))</f>
        <v>#N/A</v>
      </c>
      <c r="Y48" t="e">
        <f t="shared" si="8"/>
        <v>#N/A</v>
      </c>
      <c r="Z48" t="e">
        <f t="shared" si="4"/>
        <v>#N/A</v>
      </c>
      <c r="AA48" s="43">
        <f t="shared" si="5"/>
        <v>0</v>
      </c>
      <c r="AB48" s="43">
        <f t="shared" si="6"/>
        <v>0</v>
      </c>
      <c r="AC48" s="43"/>
      <c r="AE48" s="121">
        <f>$P48*(1-$R48)*(1/$Q48)*IF($O48 = "kW perparticipant",1,$S48/$T48)*(SUM('Avoided Costs'!G$4:G$5))</f>
        <v>32408.683725997205</v>
      </c>
      <c r="AF48" s="121">
        <f>$P48*(1-$R48)*(1/$Q48)*IF($O48 = "kW perparticipant",1,$S48/$T48)*(SUM('Avoided Costs'!H$4:H$5))</f>
        <v>36900.976519699791</v>
      </c>
      <c r="AG48" s="121">
        <f>$P48*(1-$R48)*(1/$Q48)*IF($O48 = "kW perparticipant",1,$S48/$T48)*(SUM('Avoided Costs'!I$4:I$5))</f>
        <v>41393.269313402372</v>
      </c>
      <c r="AH48" s="121">
        <f>$P48*(1-$R48)*(1/$Q48)*IF($O48 = "kW perparticipant",1,$S48/$T48)*(SUM('Avoided Costs'!J$4:J$5))</f>
        <v>45243.805993718866</v>
      </c>
      <c r="AI48" s="121">
        <f>$P48*(1-$R48)*(1/$Q48)*IF($O48 = "kW perparticipant",1,$S48/$T48)*(SUM('Avoided Costs'!K$4:K$5))</f>
        <v>49094.342674035368</v>
      </c>
      <c r="AJ48" s="121">
        <f>$P48*(1-$R48)*(1/$Q48)*IF($O48 = "kW perparticipant",1,$S48/$T48)*(SUM('Avoided Costs'!L$4:L$5))</f>
        <v>52624.001297658826</v>
      </c>
      <c r="AK48" s="121">
        <f>$P48*(1-$R48)*(1/$Q48)*IF($O48 = "kW perparticipant",1,$S48/$T48)*(SUM('Avoided Costs'!M$4:M$5))</f>
        <v>56153.659921282284</v>
      </c>
      <c r="AL48" s="121">
        <f>$P48*(1-$R48)*(1/$Q48)*IF($O48 = "kW perparticipant",1,$S48/$T48)*(SUM('Avoided Costs'!N$4:N$5))</f>
        <v>59041.562431519662</v>
      </c>
      <c r="AM48" s="121">
        <f>$P48*(1-$R48)*(1/$Q48)*IF($O48 = "kW perparticipant",1,$S48/$T48)*(SUM('Avoided Costs'!O$4:O$5))</f>
        <v>61929.464941757033</v>
      </c>
      <c r="AN48" s="121">
        <f>$P48*(1-$R48)*(1/$Q48)*IF($O48 = "kW perparticipant",1,$S48/$T48)*(SUM('Avoided Costs'!P$4:P$5))</f>
        <v>64496.489395301367</v>
      </c>
      <c r="AO48" s="121">
        <f>$P48*(1-$R48)*(1/$Q48)*IF($O48 = "kW perparticipant",1,$S48/$T48)*(SUM('Avoided Costs'!Q$4:Q$5))</f>
        <v>67063.513848845701</v>
      </c>
    </row>
    <row r="49" spans="1:41" x14ac:dyDescent="0.25">
      <c r="A49" t="s">
        <v>96</v>
      </c>
      <c r="B49" t="s">
        <v>199</v>
      </c>
      <c r="C49" t="s">
        <v>200</v>
      </c>
      <c r="L49" t="str">
        <f t="shared" si="1"/>
        <v>Dynamic Pricing with enabling tech.Residential</v>
      </c>
      <c r="M49" t="s">
        <v>101</v>
      </c>
      <c r="N49" t="s">
        <v>45</v>
      </c>
      <c r="O49" t="str" cm="1">
        <f t="array" ref="O49">INDEX('Unit Impact by End Use'!D:D,MATCH(1,($M49='Unit Impact by End Use'!$B:$B)*($N49='Unit Impact by End Use'!$C:$C),0))</f>
        <v>% of enduse load</v>
      </c>
      <c r="P49" cm="1">
        <f t="array" ref="P49">INDEX('Unit Impact by End Use'!E:E,MATCH(1,($M49='Unit Impact by End Use'!$B:$B)*($N49='Unit Impact by End Use'!$C:$C),0))</f>
        <v>0.19</v>
      </c>
      <c r="Q49" s="54">
        <v>1</v>
      </c>
      <c r="R49" s="43" cm="1">
        <f t="array" ref="R49">INDEX('Opt Out Factor'!C:C,MATCH(1,($M49='Opt Out Factor'!A:A)*($N49='Opt Out Factor'!B:B),0))</f>
        <v>0</v>
      </c>
      <c r="S49" s="36">
        <f>SUMIFS('Winter Peak Load'!H:H,'Winter Peak Load'!B:B,N49)*1000</f>
        <v>1611800.1649159668</v>
      </c>
      <c r="T49" s="36">
        <f>SUMIFS('Customer Count'!G:G,'Customer Count'!B:B,N49)</f>
        <v>490837</v>
      </c>
      <c r="U49" s="22">
        <f t="shared" si="7"/>
        <v>6.3299999999999995E-2</v>
      </c>
      <c r="V49" s="119">
        <f t="shared" si="2"/>
        <v>744.4160912428722</v>
      </c>
      <c r="W49" t="str">
        <f t="shared" si="3"/>
        <v>Residential</v>
      </c>
      <c r="X49" s="123" t="str" cm="1">
        <f t="array" ref="X49">INDEX($B$27:$B$77,MATCH(1, (M49=$A$27:$A$77)*(W49=$C$27:$C$77),0))</f>
        <v>Smart Tstat C&amp;I | CPP</v>
      </c>
      <c r="Y49">
        <f t="shared" si="8"/>
        <v>109.76236667635023</v>
      </c>
      <c r="Z49">
        <f t="shared" si="4"/>
        <v>178.64197867520744</v>
      </c>
      <c r="AA49" s="43">
        <f t="shared" si="5"/>
        <v>0.87149949093339207</v>
      </c>
      <c r="AB49" s="43">
        <f t="shared" si="6"/>
        <v>0.80646723700594303</v>
      </c>
      <c r="AC49" s="43"/>
      <c r="AE49" s="121">
        <f>$P49*(1-$R49)*(1/$Q49)*IF($O49 = "kW perparticipant",1,$S49/$T49)*(SUM('Avoided Costs'!G$4:G$5))</f>
        <v>63.015716347254596</v>
      </c>
      <c r="AF49" s="121">
        <f>$P49*(1-$R49)*(1/$Q49)*IF($O49 = "kW perparticipant",1,$S49/$T49)*(SUM('Avoided Costs'!H$4:H$5))</f>
        <v>71.750568118161169</v>
      </c>
      <c r="AG49" s="121">
        <f>$P49*(1-$R49)*(1/$Q49)*IF($O49 = "kW perparticipant",1,$S49/$T49)*(SUM('Avoided Costs'!I$4:I$5))</f>
        <v>80.485419889067757</v>
      </c>
      <c r="AH49" s="121">
        <f>$P49*(1-$R49)*(1/$Q49)*IF($O49 = "kW perparticipant",1,$S49/$T49)*(SUM('Avoided Costs'!J$4:J$5))</f>
        <v>87.972435692701964</v>
      </c>
      <c r="AI49" s="121">
        <f>$P49*(1-$R49)*(1/$Q49)*IF($O49 = "kW perparticipant",1,$S49/$T49)*(SUM('Avoided Costs'!K$4:K$5))</f>
        <v>95.459451496336172</v>
      </c>
      <c r="AJ49" s="121">
        <f>$P49*(1-$R49)*(1/$Q49)*IF($O49 = "kW perparticipant",1,$S49/$T49)*(SUM('Avoided Costs'!L$4:L$5))</f>
        <v>102.32254931633419</v>
      </c>
      <c r="AK49" s="121">
        <f>$P49*(1-$R49)*(1/$Q49)*IF($O49 = "kW perparticipant",1,$S49/$T49)*(SUM('Avoided Costs'!M$4:M$5))</f>
        <v>109.18564713633222</v>
      </c>
      <c r="AL49" s="121">
        <f>$P49*(1-$R49)*(1/$Q49)*IF($O49 = "kW perparticipant",1,$S49/$T49)*(SUM('Avoided Costs'!N$4:N$5))</f>
        <v>114.80090898905787</v>
      </c>
      <c r="AM49" s="121">
        <f>$P49*(1-$R49)*(1/$Q49)*IF($O49 = "kW perparticipant",1,$S49/$T49)*(SUM('Avoided Costs'!O$4:O$5))</f>
        <v>120.41617084178354</v>
      </c>
      <c r="AN49" s="121">
        <f>$P49*(1-$R49)*(1/$Q49)*IF($O49 = "kW perparticipant",1,$S49/$T49)*(SUM('Avoided Costs'!P$4:P$5))</f>
        <v>125.407514710873</v>
      </c>
      <c r="AO49" s="121">
        <f>$P49*(1-$R49)*(1/$Q49)*IF($O49 = "kW perparticipant",1,$S49/$T49)*(SUM('Avoided Costs'!Q$4:Q$5))</f>
        <v>130.39885857996248</v>
      </c>
    </row>
    <row r="50" spans="1:41" x14ac:dyDescent="0.25">
      <c r="A50" t="s">
        <v>84</v>
      </c>
      <c r="B50" t="s">
        <v>155</v>
      </c>
      <c r="C50" t="s">
        <v>45</v>
      </c>
    </row>
    <row r="51" spans="1:41" x14ac:dyDescent="0.25">
      <c r="A51" t="s">
        <v>201</v>
      </c>
      <c r="B51" t="s">
        <v>155</v>
      </c>
      <c r="C51" t="s">
        <v>45</v>
      </c>
    </row>
    <row r="52" spans="1:41" x14ac:dyDescent="0.25">
      <c r="A52" t="s">
        <v>86</v>
      </c>
      <c r="B52" t="s">
        <v>156</v>
      </c>
      <c r="C52" t="s">
        <v>45</v>
      </c>
    </row>
    <row r="53" spans="1:41" x14ac:dyDescent="0.25">
      <c r="A53" t="s">
        <v>202</v>
      </c>
      <c r="B53" t="s">
        <v>156</v>
      </c>
      <c r="C53" t="s">
        <v>45</v>
      </c>
    </row>
    <row r="54" spans="1:41" x14ac:dyDescent="0.25">
      <c r="B54" t="s">
        <v>166</v>
      </c>
      <c r="C54" t="s">
        <v>203</v>
      </c>
    </row>
    <row r="55" spans="1:41" x14ac:dyDescent="0.25">
      <c r="B55" t="s">
        <v>163</v>
      </c>
      <c r="C55" t="s">
        <v>203</v>
      </c>
    </row>
    <row r="56" spans="1:41" x14ac:dyDescent="0.25">
      <c r="A56" t="s">
        <v>82</v>
      </c>
      <c r="B56" t="s">
        <v>166</v>
      </c>
      <c r="C56" t="s">
        <v>203</v>
      </c>
    </row>
    <row r="57" spans="1:41" x14ac:dyDescent="0.25">
      <c r="A57" t="s">
        <v>204</v>
      </c>
      <c r="B57">
        <v>0</v>
      </c>
      <c r="C57" t="s">
        <v>203</v>
      </c>
    </row>
    <row r="58" spans="1:41" x14ac:dyDescent="0.25">
      <c r="A58" t="s">
        <v>82</v>
      </c>
      <c r="B58" t="s">
        <v>167</v>
      </c>
      <c r="C58" t="s">
        <v>45</v>
      </c>
    </row>
    <row r="59" spans="1:41" x14ac:dyDescent="0.25">
      <c r="A59" t="s">
        <v>204</v>
      </c>
      <c r="B59" t="s">
        <v>167</v>
      </c>
      <c r="C59" t="s">
        <v>45</v>
      </c>
    </row>
    <row r="60" spans="1:41" x14ac:dyDescent="0.25">
      <c r="A60" t="s">
        <v>85</v>
      </c>
      <c r="B60" t="s">
        <v>159</v>
      </c>
      <c r="C60" t="s">
        <v>45</v>
      </c>
    </row>
    <row r="61" spans="1:41" x14ac:dyDescent="0.25">
      <c r="B61" t="s">
        <v>161</v>
      </c>
      <c r="C61" t="s">
        <v>203</v>
      </c>
    </row>
    <row r="62" spans="1:41" x14ac:dyDescent="0.25">
      <c r="B62" t="s">
        <v>164</v>
      </c>
      <c r="C62" t="s">
        <v>203</v>
      </c>
    </row>
    <row r="63" spans="1:41" x14ac:dyDescent="0.25">
      <c r="A63" t="s">
        <v>84</v>
      </c>
      <c r="B63" t="s">
        <v>161</v>
      </c>
      <c r="C63" t="s">
        <v>203</v>
      </c>
    </row>
    <row r="64" spans="1:41" x14ac:dyDescent="0.25">
      <c r="A64" t="s">
        <v>201</v>
      </c>
      <c r="B64">
        <v>0</v>
      </c>
      <c r="C64" t="s">
        <v>203</v>
      </c>
    </row>
    <row r="65" spans="1:7" x14ac:dyDescent="0.25">
      <c r="B65" t="s">
        <v>162</v>
      </c>
      <c r="C65" t="s">
        <v>203</v>
      </c>
    </row>
    <row r="66" spans="1:7" x14ac:dyDescent="0.25">
      <c r="B66" t="s">
        <v>165</v>
      </c>
      <c r="C66" t="s">
        <v>203</v>
      </c>
    </row>
    <row r="67" spans="1:7" x14ac:dyDescent="0.25">
      <c r="A67" t="s">
        <v>86</v>
      </c>
      <c r="B67" t="s">
        <v>165</v>
      </c>
      <c r="C67" t="s">
        <v>203</v>
      </c>
    </row>
    <row r="68" spans="1:7" x14ac:dyDescent="0.25">
      <c r="A68" t="s">
        <v>202</v>
      </c>
      <c r="B68">
        <v>0</v>
      </c>
      <c r="C68" t="s">
        <v>203</v>
      </c>
    </row>
    <row r="69" spans="1:7" x14ac:dyDescent="0.25">
      <c r="A69" t="s">
        <v>87</v>
      </c>
      <c r="B69" t="s">
        <v>160</v>
      </c>
      <c r="C69" t="s">
        <v>45</v>
      </c>
    </row>
    <row r="70" spans="1:7" x14ac:dyDescent="0.25">
      <c r="A70" t="s">
        <v>101</v>
      </c>
      <c r="B70" t="s">
        <v>194</v>
      </c>
      <c r="C70" t="s">
        <v>203</v>
      </c>
    </row>
    <row r="71" spans="1:7" x14ac:dyDescent="0.25">
      <c r="A71" t="s">
        <v>101</v>
      </c>
      <c r="B71" t="s">
        <v>195</v>
      </c>
      <c r="C71" t="s">
        <v>45</v>
      </c>
    </row>
    <row r="72" spans="1:7" x14ac:dyDescent="0.25">
      <c r="A72" t="s">
        <v>83</v>
      </c>
      <c r="B72" t="s">
        <v>166</v>
      </c>
      <c r="C72" t="s">
        <v>203</v>
      </c>
    </row>
    <row r="73" spans="1:7" x14ac:dyDescent="0.25">
      <c r="A73" t="s">
        <v>85</v>
      </c>
      <c r="B73" t="s">
        <v>161</v>
      </c>
      <c r="C73" t="s">
        <v>203</v>
      </c>
    </row>
    <row r="74" spans="1:7" x14ac:dyDescent="0.25">
      <c r="A74" t="s">
        <v>87</v>
      </c>
      <c r="B74" t="s">
        <v>165</v>
      </c>
      <c r="C74" t="s">
        <v>203</v>
      </c>
    </row>
    <row r="77" spans="1:7" ht="17.399999999999999" thickBot="1" x14ac:dyDescent="0.35">
      <c r="A77" s="122" t="s">
        <v>205</v>
      </c>
    </row>
    <row r="78" spans="1:7" ht="14.4" thickTop="1" x14ac:dyDescent="0.25">
      <c r="A78" t="s">
        <v>206</v>
      </c>
      <c r="B78" t="s">
        <v>207</v>
      </c>
      <c r="C78" t="s">
        <v>208</v>
      </c>
      <c r="D78" t="s">
        <v>209</v>
      </c>
      <c r="E78">
        <v>2023</v>
      </c>
      <c r="F78">
        <v>2024</v>
      </c>
      <c r="G78">
        <v>2025</v>
      </c>
    </row>
    <row r="79" spans="1:7" x14ac:dyDescent="0.25">
      <c r="A79" t="s">
        <v>192</v>
      </c>
      <c r="B79" t="s">
        <v>210</v>
      </c>
      <c r="C79" t="s">
        <v>166</v>
      </c>
      <c r="D79" t="s">
        <v>211</v>
      </c>
      <c r="E79">
        <f t="shared" ref="E79:E89" si="12">VLOOKUP($C79,$C$110:$G$120,3,FALSE)</f>
        <v>108.35</v>
      </c>
      <c r="F79">
        <f t="shared" ref="F79:F89" si="13">VLOOKUP($C79,$C$110:$G$120,4,FALSE)</f>
        <v>107.8</v>
      </c>
      <c r="G79">
        <f t="shared" ref="G79:G89" si="14">VLOOKUP($C79,$C$110:$G$120,5,FALSE)</f>
        <v>110.88</v>
      </c>
    </row>
    <row r="80" spans="1:7" x14ac:dyDescent="0.25">
      <c r="A80" t="s">
        <v>192</v>
      </c>
      <c r="B80" t="s">
        <v>210</v>
      </c>
      <c r="C80" t="s">
        <v>167</v>
      </c>
      <c r="D80" t="s">
        <v>211</v>
      </c>
      <c r="E80">
        <f t="shared" si="12"/>
        <v>0</v>
      </c>
      <c r="F80">
        <f t="shared" si="13"/>
        <v>0</v>
      </c>
      <c r="G80">
        <f t="shared" si="14"/>
        <v>0</v>
      </c>
    </row>
    <row r="81" spans="1:7" x14ac:dyDescent="0.25">
      <c r="A81" t="s">
        <v>192</v>
      </c>
      <c r="B81" t="s">
        <v>210</v>
      </c>
      <c r="C81" t="s">
        <v>163</v>
      </c>
      <c r="D81" t="s">
        <v>211</v>
      </c>
      <c r="E81">
        <f t="shared" si="12"/>
        <v>6.12</v>
      </c>
      <c r="F81">
        <f t="shared" si="13"/>
        <v>12.63</v>
      </c>
      <c r="G81">
        <f t="shared" si="14"/>
        <v>16.84</v>
      </c>
    </row>
    <row r="82" spans="1:7" x14ac:dyDescent="0.25">
      <c r="A82" t="s">
        <v>192</v>
      </c>
      <c r="B82" t="s">
        <v>210</v>
      </c>
      <c r="C82" t="s">
        <v>164</v>
      </c>
      <c r="D82" t="s">
        <v>211</v>
      </c>
      <c r="E82">
        <f t="shared" si="12"/>
        <v>707.86</v>
      </c>
      <c r="F82">
        <f t="shared" si="13"/>
        <v>704.32</v>
      </c>
      <c r="G82">
        <f t="shared" si="14"/>
        <v>724.44</v>
      </c>
    </row>
    <row r="83" spans="1:7" x14ac:dyDescent="0.25">
      <c r="A83" t="s">
        <v>192</v>
      </c>
      <c r="B83" t="s">
        <v>210</v>
      </c>
      <c r="C83" t="s">
        <v>155</v>
      </c>
      <c r="D83" t="s">
        <v>211</v>
      </c>
      <c r="E83">
        <f t="shared" si="12"/>
        <v>0</v>
      </c>
      <c r="F83">
        <f t="shared" si="13"/>
        <v>0</v>
      </c>
      <c r="G83">
        <f t="shared" si="14"/>
        <v>0</v>
      </c>
    </row>
    <row r="84" spans="1:7" x14ac:dyDescent="0.25">
      <c r="A84" t="s">
        <v>192</v>
      </c>
      <c r="B84" t="s">
        <v>210</v>
      </c>
      <c r="C84" t="s">
        <v>159</v>
      </c>
      <c r="D84" t="s">
        <v>211</v>
      </c>
      <c r="E84">
        <f t="shared" si="12"/>
        <v>150</v>
      </c>
      <c r="F84">
        <f t="shared" si="13"/>
        <v>309</v>
      </c>
      <c r="G84">
        <f t="shared" si="14"/>
        <v>411</v>
      </c>
    </row>
    <row r="85" spans="1:7" x14ac:dyDescent="0.25">
      <c r="A85" t="s">
        <v>192</v>
      </c>
      <c r="B85" t="s">
        <v>210</v>
      </c>
      <c r="C85" t="s">
        <v>161</v>
      </c>
      <c r="D85" t="s">
        <v>211</v>
      </c>
      <c r="E85">
        <f t="shared" si="12"/>
        <v>40</v>
      </c>
      <c r="F85">
        <f t="shared" si="13"/>
        <v>82.5</v>
      </c>
      <c r="G85">
        <f t="shared" si="14"/>
        <v>110</v>
      </c>
    </row>
    <row r="86" spans="1:7" x14ac:dyDescent="0.25">
      <c r="A86" t="s">
        <v>192</v>
      </c>
      <c r="B86" t="s">
        <v>210</v>
      </c>
      <c r="C86" t="s">
        <v>165</v>
      </c>
      <c r="D86" t="s">
        <v>211</v>
      </c>
      <c r="E86">
        <f t="shared" si="12"/>
        <v>75.84</v>
      </c>
      <c r="F86">
        <f t="shared" si="13"/>
        <v>75.459999999999994</v>
      </c>
      <c r="G86">
        <f t="shared" si="14"/>
        <v>77.62</v>
      </c>
    </row>
    <row r="87" spans="1:7" x14ac:dyDescent="0.25">
      <c r="A87" t="s">
        <v>192</v>
      </c>
      <c r="B87" t="s">
        <v>210</v>
      </c>
      <c r="C87" t="s">
        <v>156</v>
      </c>
      <c r="D87" t="s">
        <v>211</v>
      </c>
      <c r="E87">
        <f t="shared" si="12"/>
        <v>0</v>
      </c>
      <c r="F87">
        <f t="shared" si="13"/>
        <v>0</v>
      </c>
      <c r="G87">
        <f t="shared" si="14"/>
        <v>0</v>
      </c>
    </row>
    <row r="88" spans="1:7" x14ac:dyDescent="0.25">
      <c r="A88" t="s">
        <v>192</v>
      </c>
      <c r="B88" t="s">
        <v>210</v>
      </c>
      <c r="C88" t="s">
        <v>160</v>
      </c>
      <c r="D88" t="s">
        <v>211</v>
      </c>
      <c r="E88">
        <f t="shared" si="12"/>
        <v>9</v>
      </c>
      <c r="F88">
        <f t="shared" si="13"/>
        <v>18</v>
      </c>
      <c r="G88">
        <f t="shared" si="14"/>
        <v>24</v>
      </c>
    </row>
    <row r="89" spans="1:7" x14ac:dyDescent="0.25">
      <c r="A89" t="s">
        <v>192</v>
      </c>
      <c r="B89" t="s">
        <v>210</v>
      </c>
      <c r="C89" t="s">
        <v>162</v>
      </c>
      <c r="D89" t="s">
        <v>211</v>
      </c>
      <c r="E89">
        <f t="shared" si="12"/>
        <v>4.29</v>
      </c>
      <c r="F89">
        <f t="shared" si="13"/>
        <v>8.84</v>
      </c>
      <c r="G89">
        <f t="shared" si="14"/>
        <v>11.79</v>
      </c>
    </row>
    <row r="96" spans="1:7" x14ac:dyDescent="0.25">
      <c r="C96" t="s">
        <v>519</v>
      </c>
    </row>
    <row r="97" spans="3:7" x14ac:dyDescent="0.25">
      <c r="C97" t="s">
        <v>167</v>
      </c>
      <c r="E97">
        <v>108.35</v>
      </c>
      <c r="F97">
        <v>107.8</v>
      </c>
      <c r="G97">
        <v>117.19</v>
      </c>
    </row>
    <row r="98" spans="3:7" x14ac:dyDescent="0.25">
      <c r="C98" t="s">
        <v>155</v>
      </c>
      <c r="E98">
        <v>707.86</v>
      </c>
      <c r="F98">
        <v>704.32</v>
      </c>
      <c r="G98">
        <v>765.64</v>
      </c>
    </row>
    <row r="99" spans="3:7" x14ac:dyDescent="0.25">
      <c r="C99" t="s">
        <v>156</v>
      </c>
      <c r="E99">
        <v>75.84</v>
      </c>
      <c r="F99">
        <v>75.459999999999994</v>
      </c>
      <c r="G99">
        <v>82.03</v>
      </c>
    </row>
    <row r="100" spans="3:7" x14ac:dyDescent="0.25">
      <c r="C100" t="s">
        <v>159</v>
      </c>
      <c r="E100">
        <v>50</v>
      </c>
      <c r="F100">
        <v>160</v>
      </c>
      <c r="G100">
        <v>200</v>
      </c>
    </row>
    <row r="101" spans="3:7" x14ac:dyDescent="0.25">
      <c r="C101" t="s">
        <v>160</v>
      </c>
      <c r="E101">
        <v>2450</v>
      </c>
      <c r="F101">
        <v>3920</v>
      </c>
      <c r="G101">
        <v>7840</v>
      </c>
    </row>
    <row r="102" spans="3:7" x14ac:dyDescent="0.25">
      <c r="C102" t="s">
        <v>163</v>
      </c>
      <c r="E102">
        <v>262.5</v>
      </c>
      <c r="F102">
        <v>420</v>
      </c>
      <c r="G102">
        <v>840</v>
      </c>
    </row>
    <row r="103" spans="3:7" x14ac:dyDescent="0.25">
      <c r="C103" t="s">
        <v>161</v>
      </c>
      <c r="E103">
        <v>150</v>
      </c>
      <c r="F103">
        <v>309</v>
      </c>
      <c r="G103">
        <v>468</v>
      </c>
    </row>
    <row r="104" spans="3:7" x14ac:dyDescent="0.25">
      <c r="C104" t="s">
        <v>162</v>
      </c>
      <c r="E104">
        <v>9</v>
      </c>
      <c r="F104">
        <v>18</v>
      </c>
      <c r="G104">
        <v>27</v>
      </c>
    </row>
    <row r="105" spans="3:7" x14ac:dyDescent="0.25">
      <c r="C105" t="s">
        <v>166</v>
      </c>
      <c r="E105">
        <v>6.12</v>
      </c>
      <c r="F105">
        <v>12.63</v>
      </c>
      <c r="G105">
        <v>16.84</v>
      </c>
    </row>
    <row r="106" spans="3:7" x14ac:dyDescent="0.25">
      <c r="C106" t="s">
        <v>164</v>
      </c>
      <c r="E106">
        <v>40</v>
      </c>
      <c r="F106">
        <v>82.5</v>
      </c>
      <c r="G106">
        <v>110</v>
      </c>
    </row>
    <row r="107" spans="3:7" x14ac:dyDescent="0.25">
      <c r="C107" t="s">
        <v>165</v>
      </c>
      <c r="E107">
        <v>4.29</v>
      </c>
      <c r="F107">
        <v>8.84</v>
      </c>
      <c r="G107">
        <v>11.79</v>
      </c>
    </row>
    <row r="109" spans="3:7" x14ac:dyDescent="0.25">
      <c r="C109" t="s">
        <v>520</v>
      </c>
    </row>
    <row r="110" spans="3:7" x14ac:dyDescent="0.25">
      <c r="C110" t="s">
        <v>167</v>
      </c>
      <c r="E110">
        <v>0</v>
      </c>
      <c r="F110">
        <v>0</v>
      </c>
      <c r="G110">
        <v>0</v>
      </c>
    </row>
    <row r="111" spans="3:7" x14ac:dyDescent="0.25">
      <c r="C111" t="s">
        <v>155</v>
      </c>
      <c r="E111">
        <v>0</v>
      </c>
      <c r="F111">
        <v>0</v>
      </c>
      <c r="G111">
        <v>0</v>
      </c>
    </row>
    <row r="112" spans="3:7" x14ac:dyDescent="0.25">
      <c r="C112" t="s">
        <v>156</v>
      </c>
      <c r="E112">
        <v>0</v>
      </c>
      <c r="F112">
        <v>0</v>
      </c>
      <c r="G112">
        <v>0</v>
      </c>
    </row>
    <row r="113" spans="3:7" x14ac:dyDescent="0.25">
      <c r="C113" t="s">
        <v>159</v>
      </c>
      <c r="E113">
        <v>150</v>
      </c>
      <c r="F113">
        <v>309</v>
      </c>
      <c r="G113">
        <v>411</v>
      </c>
    </row>
    <row r="114" spans="3:7" x14ac:dyDescent="0.25">
      <c r="C114" t="s">
        <v>160</v>
      </c>
      <c r="E114">
        <v>9</v>
      </c>
      <c r="F114">
        <v>18</v>
      </c>
      <c r="G114">
        <v>24</v>
      </c>
    </row>
    <row r="115" spans="3:7" x14ac:dyDescent="0.25">
      <c r="C115" t="s">
        <v>163</v>
      </c>
      <c r="E115">
        <v>6.12</v>
      </c>
      <c r="F115">
        <v>12.63</v>
      </c>
      <c r="G115">
        <v>16.84</v>
      </c>
    </row>
    <row r="116" spans="3:7" x14ac:dyDescent="0.25">
      <c r="C116" t="s">
        <v>161</v>
      </c>
      <c r="E116">
        <v>40</v>
      </c>
      <c r="F116">
        <v>82.5</v>
      </c>
      <c r="G116">
        <v>110</v>
      </c>
    </row>
    <row r="117" spans="3:7" x14ac:dyDescent="0.25">
      <c r="C117" t="s">
        <v>162</v>
      </c>
      <c r="E117">
        <v>4.29</v>
      </c>
      <c r="F117">
        <v>8.84</v>
      </c>
      <c r="G117">
        <v>11.79</v>
      </c>
    </row>
    <row r="118" spans="3:7" x14ac:dyDescent="0.25">
      <c r="C118" t="s">
        <v>166</v>
      </c>
      <c r="E118">
        <v>108.35</v>
      </c>
      <c r="F118">
        <v>107.8</v>
      </c>
      <c r="G118">
        <v>110.88</v>
      </c>
    </row>
    <row r="119" spans="3:7" x14ac:dyDescent="0.25">
      <c r="C119" t="s">
        <v>164</v>
      </c>
      <c r="E119">
        <v>707.86</v>
      </c>
      <c r="F119">
        <v>704.32</v>
      </c>
      <c r="G119">
        <v>724.44</v>
      </c>
    </row>
    <row r="120" spans="3:7" x14ac:dyDescent="0.25">
      <c r="C120" t="s">
        <v>165</v>
      </c>
      <c r="E120">
        <v>75.84</v>
      </c>
      <c r="F120">
        <v>75.459999999999994</v>
      </c>
      <c r="G120">
        <v>77.62</v>
      </c>
    </row>
    <row r="122" spans="3:7" x14ac:dyDescent="0.25">
      <c r="C122" t="s">
        <v>521</v>
      </c>
    </row>
    <row r="123" spans="3:7" x14ac:dyDescent="0.25">
      <c r="C123" t="s">
        <v>166</v>
      </c>
      <c r="E123">
        <v>106</v>
      </c>
      <c r="F123">
        <v>108.12</v>
      </c>
      <c r="G123">
        <v>110.28</v>
      </c>
    </row>
    <row r="124" spans="3:7" x14ac:dyDescent="0.25">
      <c r="C124" t="s">
        <v>164</v>
      </c>
      <c r="E124">
        <v>151</v>
      </c>
      <c r="F124">
        <v>154.02000000000001</v>
      </c>
      <c r="G124">
        <v>157.1</v>
      </c>
    </row>
    <row r="125" spans="3:7" x14ac:dyDescent="0.25">
      <c r="C125" t="s">
        <v>165</v>
      </c>
      <c r="E125">
        <v>166</v>
      </c>
      <c r="F125">
        <v>169.32</v>
      </c>
      <c r="G125">
        <v>172.71</v>
      </c>
    </row>
    <row r="126" spans="3:7" x14ac:dyDescent="0.25">
      <c r="C126" t="s">
        <v>167</v>
      </c>
      <c r="E126">
        <v>166</v>
      </c>
      <c r="F126">
        <v>169.32</v>
      </c>
      <c r="G126">
        <v>172.71</v>
      </c>
    </row>
    <row r="127" spans="3:7" x14ac:dyDescent="0.25">
      <c r="C127" t="s">
        <v>155</v>
      </c>
      <c r="E127">
        <v>166</v>
      </c>
      <c r="F127">
        <v>169.32</v>
      </c>
      <c r="G127">
        <v>172.71</v>
      </c>
    </row>
    <row r="128" spans="3:7" x14ac:dyDescent="0.25">
      <c r="C128" t="s">
        <v>156</v>
      </c>
      <c r="E128">
        <v>166</v>
      </c>
      <c r="F128">
        <v>169.32</v>
      </c>
      <c r="G128">
        <v>172.71</v>
      </c>
    </row>
    <row r="129" spans="3:7" x14ac:dyDescent="0.25">
      <c r="C129" t="s">
        <v>159</v>
      </c>
      <c r="E129">
        <v>151</v>
      </c>
      <c r="F129">
        <v>154.02000000000001</v>
      </c>
      <c r="G129">
        <v>157.1</v>
      </c>
    </row>
    <row r="130" spans="3:7" x14ac:dyDescent="0.25">
      <c r="C130" t="s">
        <v>160</v>
      </c>
      <c r="E130">
        <v>166</v>
      </c>
      <c r="F130">
        <v>169.32</v>
      </c>
      <c r="G130">
        <v>172.71</v>
      </c>
    </row>
    <row r="131" spans="3:7" x14ac:dyDescent="0.25">
      <c r="C131" t="s">
        <v>163</v>
      </c>
      <c r="E131">
        <v>106</v>
      </c>
      <c r="F131">
        <v>108.12</v>
      </c>
      <c r="G131">
        <v>110.28</v>
      </c>
    </row>
    <row r="132" spans="3:7" x14ac:dyDescent="0.25">
      <c r="C132" t="s">
        <v>161</v>
      </c>
      <c r="E132">
        <v>151</v>
      </c>
      <c r="F132">
        <v>154.02000000000001</v>
      </c>
      <c r="G132">
        <v>157.1</v>
      </c>
    </row>
    <row r="133" spans="3:7" x14ac:dyDescent="0.25">
      <c r="C133" t="s">
        <v>162</v>
      </c>
      <c r="E133">
        <v>166</v>
      </c>
      <c r="F133">
        <v>169.32</v>
      </c>
      <c r="G133">
        <v>172.71</v>
      </c>
    </row>
  </sheetData>
  <mergeCells count="5">
    <mergeCell ref="A24:A26"/>
    <mergeCell ref="B24:G24"/>
    <mergeCell ref="B25:C25"/>
    <mergeCell ref="D25:E25"/>
    <mergeCell ref="F25:G25"/>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7" tint="0.39997558519241921"/>
  </sheetPr>
  <dimension ref="A1:G381"/>
  <sheetViews>
    <sheetView zoomScale="70" zoomScaleNormal="70" workbookViewId="0">
      <selection activeCell="C21" sqref="C21"/>
    </sheetView>
  </sheetViews>
  <sheetFormatPr defaultColWidth="9.09765625" defaultRowHeight="13.8" outlineLevelRow="1" x14ac:dyDescent="0.25"/>
  <cols>
    <col min="1" max="1" width="13.09765625" customWidth="1"/>
    <col min="2" max="2" width="53.796875" style="8" customWidth="1"/>
    <col min="3" max="3" width="17.59765625" style="8" customWidth="1"/>
    <col min="4" max="4" width="20.69921875" style="8" customWidth="1"/>
    <col min="5" max="5" width="13.796875" style="10" customWidth="1"/>
    <col min="6" max="6" width="12.296875" style="156" customWidth="1"/>
    <col min="7" max="7" width="100.796875" style="31" customWidth="1"/>
    <col min="8" max="8" width="11.19921875" customWidth="1"/>
    <col min="9" max="9" width="26.296875" customWidth="1"/>
    <col min="10" max="11" width="10.296875" customWidth="1"/>
  </cols>
  <sheetData>
    <row r="1" spans="1:7" ht="50.1" customHeight="1" outlineLevel="1" x14ac:dyDescent="0.25">
      <c r="B1" s="7"/>
      <c r="C1" s="7"/>
      <c r="D1" s="7"/>
    </row>
    <row r="2" spans="1:7" ht="17.25" customHeight="1" outlineLevel="1" x14ac:dyDescent="0.25">
      <c r="A2" s="257" t="s">
        <v>7</v>
      </c>
      <c r="B2" s="258" t="s">
        <v>212</v>
      </c>
      <c r="C2" s="198"/>
      <c r="D2" s="259"/>
      <c r="E2" s="258"/>
      <c r="F2" s="258"/>
      <c r="G2" s="260"/>
    </row>
    <row r="3" spans="1:7" s="9" customFormat="1" ht="38.25" customHeight="1" x14ac:dyDescent="0.25">
      <c r="A3" s="261" t="s">
        <v>23</v>
      </c>
      <c r="B3" s="223" t="s">
        <v>213</v>
      </c>
      <c r="C3" s="261" t="s">
        <v>38</v>
      </c>
      <c r="D3" s="261" t="s">
        <v>214</v>
      </c>
      <c r="E3" s="223" t="str">
        <f>EditableIndexes!$Q$5</f>
        <v>Scenario 2</v>
      </c>
      <c r="F3" s="223" t="str">
        <f>EditableIndexes!$Q$6</f>
        <v>Scenario 1</v>
      </c>
      <c r="G3" s="261" t="s">
        <v>541</v>
      </c>
    </row>
    <row r="4" spans="1:7" ht="14.4" x14ac:dyDescent="0.25">
      <c r="A4" s="198" t="s">
        <v>13</v>
      </c>
      <c r="B4" s="262" t="s">
        <v>80</v>
      </c>
      <c r="C4" s="262" t="s">
        <v>45</v>
      </c>
      <c r="D4" s="224" t="s">
        <v>215</v>
      </c>
      <c r="E4" s="263">
        <v>10</v>
      </c>
      <c r="F4" s="266">
        <f t="shared" ref="F4:F35" si="0">E4*0.7</f>
        <v>7</v>
      </c>
      <c r="G4" s="262" t="s">
        <v>216</v>
      </c>
    </row>
    <row r="5" spans="1:7" ht="14.4" x14ac:dyDescent="0.25">
      <c r="A5" s="198" t="s">
        <v>13</v>
      </c>
      <c r="B5" s="262" t="s">
        <v>81</v>
      </c>
      <c r="C5" s="262" t="s">
        <v>45</v>
      </c>
      <c r="D5" s="224" t="s">
        <v>215</v>
      </c>
      <c r="E5" s="263">
        <v>10</v>
      </c>
      <c r="F5" s="266">
        <f t="shared" si="0"/>
        <v>7</v>
      </c>
      <c r="G5" s="262" t="s">
        <v>217</v>
      </c>
    </row>
    <row r="6" spans="1:7" ht="14.4" x14ac:dyDescent="0.25">
      <c r="A6" s="198" t="s">
        <v>13</v>
      </c>
      <c r="B6" s="262" t="s">
        <v>82</v>
      </c>
      <c r="C6" s="262" t="s">
        <v>45</v>
      </c>
      <c r="D6" s="224" t="s">
        <v>215</v>
      </c>
      <c r="E6" s="263">
        <v>50</v>
      </c>
      <c r="F6" s="266">
        <f t="shared" si="0"/>
        <v>35</v>
      </c>
      <c r="G6" s="262" t="s">
        <v>216</v>
      </c>
    </row>
    <row r="7" spans="1:7" ht="14.4" x14ac:dyDescent="0.25">
      <c r="A7" s="198" t="s">
        <v>13</v>
      </c>
      <c r="B7" s="262" t="s">
        <v>83</v>
      </c>
      <c r="C7" s="262" t="s">
        <v>45</v>
      </c>
      <c r="D7" s="224" t="s">
        <v>215</v>
      </c>
      <c r="E7" s="263">
        <v>0</v>
      </c>
      <c r="F7" s="266">
        <f t="shared" si="0"/>
        <v>0</v>
      </c>
      <c r="G7" s="262" t="s">
        <v>218</v>
      </c>
    </row>
    <row r="8" spans="1:7" ht="14.4" x14ac:dyDescent="0.25">
      <c r="A8" s="198" t="s">
        <v>13</v>
      </c>
      <c r="B8" s="262" t="s">
        <v>84</v>
      </c>
      <c r="C8" s="262" t="s">
        <v>45</v>
      </c>
      <c r="D8" s="224" t="s">
        <v>215</v>
      </c>
      <c r="E8" s="263">
        <v>10</v>
      </c>
      <c r="F8" s="266">
        <f t="shared" si="0"/>
        <v>7</v>
      </c>
      <c r="G8" s="262" t="s">
        <v>219</v>
      </c>
    </row>
    <row r="9" spans="1:7" ht="14.4" x14ac:dyDescent="0.25">
      <c r="A9" s="198" t="s">
        <v>13</v>
      </c>
      <c r="B9" s="262" t="s">
        <v>85</v>
      </c>
      <c r="C9" s="262" t="s">
        <v>45</v>
      </c>
      <c r="D9" s="224" t="s">
        <v>215</v>
      </c>
      <c r="E9" s="263">
        <v>10</v>
      </c>
      <c r="F9" s="266">
        <f t="shared" si="0"/>
        <v>7</v>
      </c>
      <c r="G9" s="262" t="s">
        <v>217</v>
      </c>
    </row>
    <row r="10" spans="1:7" ht="14.4" x14ac:dyDescent="0.25">
      <c r="A10" s="198" t="s">
        <v>13</v>
      </c>
      <c r="B10" s="262" t="s">
        <v>86</v>
      </c>
      <c r="C10" s="262" t="s">
        <v>45</v>
      </c>
      <c r="D10" s="224" t="s">
        <v>215</v>
      </c>
      <c r="E10" s="263">
        <v>10</v>
      </c>
      <c r="F10" s="266">
        <f t="shared" si="0"/>
        <v>7</v>
      </c>
      <c r="G10" s="262" t="s">
        <v>219</v>
      </c>
    </row>
    <row r="11" spans="1:7" ht="14.4" x14ac:dyDescent="0.25">
      <c r="A11" s="198" t="s">
        <v>13</v>
      </c>
      <c r="B11" s="262" t="s">
        <v>87</v>
      </c>
      <c r="C11" s="262" t="s">
        <v>45</v>
      </c>
      <c r="D11" s="224" t="s">
        <v>215</v>
      </c>
      <c r="E11" s="263">
        <v>10</v>
      </c>
      <c r="F11" s="266">
        <f t="shared" si="0"/>
        <v>7</v>
      </c>
      <c r="G11" s="262" t="s">
        <v>217</v>
      </c>
    </row>
    <row r="12" spans="1:7" ht="14.4" x14ac:dyDescent="0.25">
      <c r="A12" s="198" t="s">
        <v>13</v>
      </c>
      <c r="B12" s="262" t="s">
        <v>80</v>
      </c>
      <c r="C12" s="262" t="s">
        <v>40</v>
      </c>
      <c r="D12" s="224" t="s">
        <v>215</v>
      </c>
      <c r="E12" s="263">
        <f>10*1.08</f>
        <v>10.8</v>
      </c>
      <c r="F12" s="266">
        <f t="shared" si="0"/>
        <v>7.56</v>
      </c>
      <c r="G12" s="262" t="s">
        <v>216</v>
      </c>
    </row>
    <row r="13" spans="1:7" ht="14.4" x14ac:dyDescent="0.25">
      <c r="A13" s="198" t="s">
        <v>13</v>
      </c>
      <c r="B13" s="262" t="s">
        <v>80</v>
      </c>
      <c r="C13" s="262" t="s">
        <v>42</v>
      </c>
      <c r="D13" s="224" t="s">
        <v>215</v>
      </c>
      <c r="E13" s="263">
        <f>10*1.08</f>
        <v>10.8</v>
      </c>
      <c r="F13" s="266">
        <f t="shared" si="0"/>
        <v>7.56</v>
      </c>
      <c r="G13" s="262" t="s">
        <v>216</v>
      </c>
    </row>
    <row r="14" spans="1:7" x14ac:dyDescent="0.25">
      <c r="A14" s="198" t="s">
        <v>13</v>
      </c>
      <c r="B14" s="262" t="s">
        <v>81</v>
      </c>
      <c r="C14" s="262" t="s">
        <v>40</v>
      </c>
      <c r="D14" s="224" t="s">
        <v>215</v>
      </c>
      <c r="E14" s="265">
        <f>E5*1.08</f>
        <v>10.8</v>
      </c>
      <c r="F14" s="266">
        <f t="shared" si="0"/>
        <v>7.56</v>
      </c>
      <c r="G14" s="262" t="s">
        <v>220</v>
      </c>
    </row>
    <row r="15" spans="1:7" x14ac:dyDescent="0.25">
      <c r="A15" s="198" t="s">
        <v>13</v>
      </c>
      <c r="B15" s="262" t="s">
        <v>81</v>
      </c>
      <c r="C15" s="262" t="s">
        <v>42</v>
      </c>
      <c r="D15" s="224" t="s">
        <v>215</v>
      </c>
      <c r="E15" s="265">
        <v>10.8</v>
      </c>
      <c r="F15" s="266">
        <f t="shared" si="0"/>
        <v>7.56</v>
      </c>
      <c r="G15" s="262" t="s">
        <v>220</v>
      </c>
    </row>
    <row r="16" spans="1:7" x14ac:dyDescent="0.25">
      <c r="A16" s="198" t="s">
        <v>13</v>
      </c>
      <c r="B16" s="262" t="s">
        <v>88</v>
      </c>
      <c r="C16" s="262" t="s">
        <v>40</v>
      </c>
      <c r="D16" s="264" t="s">
        <v>221</v>
      </c>
      <c r="E16" s="265">
        <v>25</v>
      </c>
      <c r="F16" s="266">
        <f t="shared" si="0"/>
        <v>17.5</v>
      </c>
      <c r="G16" s="262" t="s">
        <v>216</v>
      </c>
    </row>
    <row r="17" spans="1:7" x14ac:dyDescent="0.25">
      <c r="A17" s="198" t="s">
        <v>13</v>
      </c>
      <c r="B17" s="262" t="s">
        <v>88</v>
      </c>
      <c r="C17" s="262" t="s">
        <v>42</v>
      </c>
      <c r="D17" s="264" t="s">
        <v>221</v>
      </c>
      <c r="E17" s="265">
        <v>25</v>
      </c>
      <c r="F17" s="266">
        <f t="shared" si="0"/>
        <v>17.5</v>
      </c>
      <c r="G17" s="262" t="s">
        <v>216</v>
      </c>
    </row>
    <row r="18" spans="1:7" x14ac:dyDescent="0.25">
      <c r="A18" s="198" t="s">
        <v>13</v>
      </c>
      <c r="B18" s="262" t="s">
        <v>82</v>
      </c>
      <c r="C18" s="262" t="s">
        <v>40</v>
      </c>
      <c r="D18" s="264" t="str">
        <f t="shared" ref="D18:D23" si="1">D6</f>
        <v>$/participant/yr</v>
      </c>
      <c r="E18" s="266">
        <v>100</v>
      </c>
      <c r="F18" s="266">
        <f t="shared" si="0"/>
        <v>70</v>
      </c>
      <c r="G18" s="264" t="s">
        <v>222</v>
      </c>
    </row>
    <row r="19" spans="1:7" x14ac:dyDescent="0.25">
      <c r="A19" s="198" t="s">
        <v>13</v>
      </c>
      <c r="B19" s="262" t="s">
        <v>83</v>
      </c>
      <c r="C19" s="262" t="s">
        <v>40</v>
      </c>
      <c r="D19" s="264" t="str">
        <f t="shared" si="1"/>
        <v>$/participant/yr</v>
      </c>
      <c r="E19" s="266">
        <v>100</v>
      </c>
      <c r="F19" s="266">
        <f t="shared" si="0"/>
        <v>70</v>
      </c>
      <c r="G19" s="264" t="s">
        <v>222</v>
      </c>
    </row>
    <row r="20" spans="1:7" x14ac:dyDescent="0.25">
      <c r="A20" s="198" t="s">
        <v>13</v>
      </c>
      <c r="B20" s="262" t="s">
        <v>84</v>
      </c>
      <c r="C20" s="262" t="s">
        <v>40</v>
      </c>
      <c r="D20" s="264" t="str">
        <f t="shared" si="1"/>
        <v>$/participant/yr</v>
      </c>
      <c r="E20" s="266">
        <v>20</v>
      </c>
      <c r="F20" s="266">
        <f t="shared" si="0"/>
        <v>14</v>
      </c>
      <c r="G20" s="264" t="s">
        <v>542</v>
      </c>
    </row>
    <row r="21" spans="1:7" x14ac:dyDescent="0.25">
      <c r="A21" s="198" t="s">
        <v>13</v>
      </c>
      <c r="B21" s="262" t="s">
        <v>85</v>
      </c>
      <c r="C21" s="262" t="s">
        <v>40</v>
      </c>
      <c r="D21" s="264" t="str">
        <f t="shared" si="1"/>
        <v>$/participant/yr</v>
      </c>
      <c r="E21" s="266">
        <v>20</v>
      </c>
      <c r="F21" s="266">
        <f t="shared" si="0"/>
        <v>14</v>
      </c>
      <c r="G21" s="264" t="s">
        <v>542</v>
      </c>
    </row>
    <row r="22" spans="1:7" x14ac:dyDescent="0.25">
      <c r="A22" s="198" t="s">
        <v>13</v>
      </c>
      <c r="B22" s="262" t="s">
        <v>86</v>
      </c>
      <c r="C22" s="262" t="s">
        <v>40</v>
      </c>
      <c r="D22" s="264" t="str">
        <f t="shared" si="1"/>
        <v>$/participant/yr</v>
      </c>
      <c r="E22" s="266">
        <v>20</v>
      </c>
      <c r="F22" s="266">
        <f t="shared" si="0"/>
        <v>14</v>
      </c>
      <c r="G22" s="264" t="s">
        <v>223</v>
      </c>
    </row>
    <row r="23" spans="1:7" x14ac:dyDescent="0.25">
      <c r="A23" s="198" t="s">
        <v>13</v>
      </c>
      <c r="B23" s="262" t="s">
        <v>87</v>
      </c>
      <c r="C23" s="262" t="s">
        <v>40</v>
      </c>
      <c r="D23" s="264" t="str">
        <f t="shared" si="1"/>
        <v>$/participant/yr</v>
      </c>
      <c r="E23" s="266">
        <v>20</v>
      </c>
      <c r="F23" s="266">
        <f t="shared" si="0"/>
        <v>14</v>
      </c>
      <c r="G23" s="264" t="s">
        <v>223</v>
      </c>
    </row>
    <row r="24" spans="1:7" x14ac:dyDescent="0.25">
      <c r="A24" s="198" t="s">
        <v>13</v>
      </c>
      <c r="B24" s="262" t="s">
        <v>82</v>
      </c>
      <c r="C24" s="262" t="s">
        <v>42</v>
      </c>
      <c r="D24" s="264" t="str">
        <f t="shared" ref="D24:D29" si="2">D18</f>
        <v>$/participant/yr</v>
      </c>
      <c r="E24" s="266">
        <v>100</v>
      </c>
      <c r="F24" s="266">
        <f t="shared" si="0"/>
        <v>70</v>
      </c>
      <c r="G24" s="264" t="s">
        <v>222</v>
      </c>
    </row>
    <row r="25" spans="1:7" x14ac:dyDescent="0.25">
      <c r="A25" s="198" t="s">
        <v>13</v>
      </c>
      <c r="B25" s="262" t="s">
        <v>83</v>
      </c>
      <c r="C25" s="262" t="s">
        <v>42</v>
      </c>
      <c r="D25" s="264" t="str">
        <f t="shared" si="2"/>
        <v>$/participant/yr</v>
      </c>
      <c r="E25" s="266">
        <v>100</v>
      </c>
      <c r="F25" s="266">
        <f t="shared" si="0"/>
        <v>70</v>
      </c>
      <c r="G25" s="264" t="s">
        <v>222</v>
      </c>
    </row>
    <row r="26" spans="1:7" x14ac:dyDescent="0.25">
      <c r="A26" s="198" t="s">
        <v>13</v>
      </c>
      <c r="B26" s="262" t="s">
        <v>84</v>
      </c>
      <c r="C26" s="262" t="s">
        <v>42</v>
      </c>
      <c r="D26" s="264" t="str">
        <f t="shared" si="2"/>
        <v>$/participant/yr</v>
      </c>
      <c r="E26" s="266">
        <v>20</v>
      </c>
      <c r="F26" s="266">
        <f t="shared" si="0"/>
        <v>14</v>
      </c>
      <c r="G26" s="264" t="s">
        <v>542</v>
      </c>
    </row>
    <row r="27" spans="1:7" x14ac:dyDescent="0.25">
      <c r="A27" s="198" t="s">
        <v>13</v>
      </c>
      <c r="B27" s="262" t="s">
        <v>85</v>
      </c>
      <c r="C27" s="262" t="s">
        <v>42</v>
      </c>
      <c r="D27" s="264" t="str">
        <f t="shared" si="2"/>
        <v>$/participant/yr</v>
      </c>
      <c r="E27" s="266">
        <v>20</v>
      </c>
      <c r="F27" s="266">
        <f t="shared" si="0"/>
        <v>14</v>
      </c>
      <c r="G27" s="264" t="s">
        <v>542</v>
      </c>
    </row>
    <row r="28" spans="1:7" x14ac:dyDescent="0.25">
      <c r="A28" s="198" t="s">
        <v>13</v>
      </c>
      <c r="B28" s="262" t="s">
        <v>86</v>
      </c>
      <c r="C28" s="262" t="s">
        <v>42</v>
      </c>
      <c r="D28" s="264" t="str">
        <f t="shared" si="2"/>
        <v>$/participant/yr</v>
      </c>
      <c r="E28" s="266">
        <v>20</v>
      </c>
      <c r="F28" s="266">
        <f t="shared" si="0"/>
        <v>14</v>
      </c>
      <c r="G28" s="264" t="s">
        <v>223</v>
      </c>
    </row>
    <row r="29" spans="1:7" x14ac:dyDescent="0.25">
      <c r="A29" s="198" t="s">
        <v>13</v>
      </c>
      <c r="B29" s="262" t="s">
        <v>87</v>
      </c>
      <c r="C29" s="262" t="s">
        <v>42</v>
      </c>
      <c r="D29" s="264" t="str">
        <f t="shared" si="2"/>
        <v>$/participant/yr</v>
      </c>
      <c r="E29" s="266">
        <v>20</v>
      </c>
      <c r="F29" s="266">
        <f t="shared" si="0"/>
        <v>14</v>
      </c>
      <c r="G29" s="264" t="s">
        <v>223</v>
      </c>
    </row>
    <row r="30" spans="1:7" ht="13.5" customHeight="1" x14ac:dyDescent="0.25">
      <c r="A30" s="198" t="s">
        <v>13</v>
      </c>
      <c r="B30" s="262" t="s">
        <v>54</v>
      </c>
      <c r="C30" s="262" t="s">
        <v>40</v>
      </c>
      <c r="D30" s="267" t="s">
        <v>221</v>
      </c>
      <c r="E30" s="255">
        <f>50*'USD to CAD'!$A$1</f>
        <v>63</v>
      </c>
      <c r="F30" s="266">
        <f t="shared" si="0"/>
        <v>44.099999999999994</v>
      </c>
      <c r="G30" s="260" t="s">
        <v>224</v>
      </c>
    </row>
    <row r="31" spans="1:7" ht="13.5" customHeight="1" x14ac:dyDescent="0.25">
      <c r="A31" s="198" t="s">
        <v>13</v>
      </c>
      <c r="B31" s="262" t="s">
        <v>54</v>
      </c>
      <c r="C31" s="262" t="s">
        <v>41</v>
      </c>
      <c r="D31" s="267" t="s">
        <v>221</v>
      </c>
      <c r="E31" s="255">
        <f>50*'USD to CAD'!$A$1</f>
        <v>63</v>
      </c>
      <c r="F31" s="266">
        <f t="shared" si="0"/>
        <v>44.099999999999994</v>
      </c>
      <c r="G31" s="260" t="s">
        <v>224</v>
      </c>
    </row>
    <row r="32" spans="1:7" ht="13.5" customHeight="1" x14ac:dyDescent="0.25">
      <c r="A32" s="198" t="s">
        <v>13</v>
      </c>
      <c r="B32" s="262" t="s">
        <v>54</v>
      </c>
      <c r="C32" s="262" t="s">
        <v>42</v>
      </c>
      <c r="D32" s="267" t="s">
        <v>221</v>
      </c>
      <c r="E32" s="255">
        <f>50*'USD to CAD'!$A$1</f>
        <v>63</v>
      </c>
      <c r="F32" s="266">
        <f t="shared" si="0"/>
        <v>44.099999999999994</v>
      </c>
      <c r="G32" s="260" t="s">
        <v>224</v>
      </c>
    </row>
    <row r="33" spans="1:7" ht="13.5" customHeight="1" x14ac:dyDescent="0.25">
      <c r="A33" s="198" t="s">
        <v>13</v>
      </c>
      <c r="B33" s="262" t="s">
        <v>54</v>
      </c>
      <c r="C33" s="262" t="s">
        <v>43</v>
      </c>
      <c r="D33" s="267" t="s">
        <v>221</v>
      </c>
      <c r="E33" s="255">
        <f>50*'USD to CAD'!$A$1</f>
        <v>63</v>
      </c>
      <c r="F33" s="266">
        <f t="shared" si="0"/>
        <v>44.099999999999994</v>
      </c>
      <c r="G33" s="260" t="s">
        <v>224</v>
      </c>
    </row>
    <row r="34" spans="1:7" x14ac:dyDescent="0.25">
      <c r="A34" s="198" t="s">
        <v>13</v>
      </c>
      <c r="B34" s="262" t="s">
        <v>54</v>
      </c>
      <c r="C34" s="262" t="s">
        <v>44</v>
      </c>
      <c r="D34" s="267" t="s">
        <v>221</v>
      </c>
      <c r="E34" s="255">
        <f>50*'USD to CAD'!$A$1</f>
        <v>63</v>
      </c>
      <c r="F34" s="266">
        <f t="shared" si="0"/>
        <v>44.099999999999994</v>
      </c>
      <c r="G34" s="260" t="s">
        <v>224</v>
      </c>
    </row>
    <row r="35" spans="1:7" x14ac:dyDescent="0.25">
      <c r="A35" s="198" t="s">
        <v>13</v>
      </c>
      <c r="B35" s="262" t="s">
        <v>89</v>
      </c>
      <c r="C35" s="262" t="s">
        <v>41</v>
      </c>
      <c r="D35" s="267" t="s">
        <v>221</v>
      </c>
      <c r="E35" s="255">
        <f>70*'USD to CAD'!$A$1</f>
        <v>88.2</v>
      </c>
      <c r="F35" s="266">
        <f t="shared" si="0"/>
        <v>61.739999999999995</v>
      </c>
      <c r="G35" s="262" t="s">
        <v>225</v>
      </c>
    </row>
    <row r="36" spans="1:7" x14ac:dyDescent="0.25">
      <c r="A36" s="198" t="s">
        <v>13</v>
      </c>
      <c r="B36" s="262" t="s">
        <v>90</v>
      </c>
      <c r="C36" s="262" t="s">
        <v>41</v>
      </c>
      <c r="D36" s="267" t="s">
        <v>221</v>
      </c>
      <c r="E36" s="255">
        <f>70*'USD to CAD'!$A$1</f>
        <v>88.2</v>
      </c>
      <c r="F36" s="266">
        <f t="shared" ref="F36:F67" si="3">E36*0.7</f>
        <v>61.739999999999995</v>
      </c>
      <c r="G36" s="262" t="s">
        <v>225</v>
      </c>
    </row>
    <row r="37" spans="1:7" x14ac:dyDescent="0.25">
      <c r="A37" s="198" t="s">
        <v>13</v>
      </c>
      <c r="B37" s="262" t="s">
        <v>91</v>
      </c>
      <c r="C37" s="262" t="s">
        <v>41</v>
      </c>
      <c r="D37" s="267" t="s">
        <v>221</v>
      </c>
      <c r="E37" s="255">
        <f>70*'USD to CAD'!$A$1</f>
        <v>88.2</v>
      </c>
      <c r="F37" s="266">
        <f t="shared" si="3"/>
        <v>61.739999999999995</v>
      </c>
      <c r="G37" s="262" t="s">
        <v>225</v>
      </c>
    </row>
    <row r="38" spans="1:7" x14ac:dyDescent="0.25">
      <c r="A38" s="198" t="s">
        <v>13</v>
      </c>
      <c r="B38" s="262" t="s">
        <v>92</v>
      </c>
      <c r="C38" s="262" t="s">
        <v>41</v>
      </c>
      <c r="D38" s="267" t="s">
        <v>221</v>
      </c>
      <c r="E38" s="255">
        <f>70*'USD to CAD'!$A$1</f>
        <v>88.2</v>
      </c>
      <c r="F38" s="266">
        <f t="shared" si="3"/>
        <v>61.739999999999995</v>
      </c>
      <c r="G38" s="262" t="s">
        <v>225</v>
      </c>
    </row>
    <row r="39" spans="1:7" x14ac:dyDescent="0.25">
      <c r="A39" s="198" t="s">
        <v>13</v>
      </c>
      <c r="B39" s="262" t="s">
        <v>93</v>
      </c>
      <c r="C39" s="262" t="s">
        <v>41</v>
      </c>
      <c r="D39" s="267" t="s">
        <v>221</v>
      </c>
      <c r="E39" s="255">
        <f>70*'USD to CAD'!$A$1</f>
        <v>88.2</v>
      </c>
      <c r="F39" s="266">
        <f t="shared" si="3"/>
        <v>61.739999999999995</v>
      </c>
      <c r="G39" s="262" t="s">
        <v>225</v>
      </c>
    </row>
    <row r="40" spans="1:7" x14ac:dyDescent="0.25">
      <c r="A40" s="198" t="s">
        <v>13</v>
      </c>
      <c r="B40" s="262" t="s">
        <v>147</v>
      </c>
      <c r="C40" s="262" t="s">
        <v>41</v>
      </c>
      <c r="D40" s="267" t="s">
        <v>221</v>
      </c>
      <c r="E40" s="255">
        <f>70*'USD to CAD'!$A$1</f>
        <v>88.2</v>
      </c>
      <c r="F40" s="266">
        <f t="shared" si="3"/>
        <v>61.739999999999995</v>
      </c>
      <c r="G40" s="262" t="s">
        <v>225</v>
      </c>
    </row>
    <row r="41" spans="1:7" x14ac:dyDescent="0.25">
      <c r="A41" s="198" t="s">
        <v>13</v>
      </c>
      <c r="B41" s="262" t="s">
        <v>94</v>
      </c>
      <c r="C41" s="262" t="s">
        <v>41</v>
      </c>
      <c r="D41" s="267" t="s">
        <v>221</v>
      </c>
      <c r="E41" s="255">
        <f>70*'USD to CAD'!$A$1</f>
        <v>88.2</v>
      </c>
      <c r="F41" s="266">
        <f t="shared" si="3"/>
        <v>61.739999999999995</v>
      </c>
      <c r="G41" s="262" t="s">
        <v>225</v>
      </c>
    </row>
    <row r="42" spans="1:7" x14ac:dyDescent="0.25">
      <c r="A42" s="198" t="s">
        <v>13</v>
      </c>
      <c r="B42" s="262" t="s">
        <v>89</v>
      </c>
      <c r="C42" s="262" t="s">
        <v>43</v>
      </c>
      <c r="D42" s="267" t="s">
        <v>221</v>
      </c>
      <c r="E42" s="255">
        <f>70*'USD to CAD'!$A$1</f>
        <v>88.2</v>
      </c>
      <c r="F42" s="266">
        <f t="shared" si="3"/>
        <v>61.739999999999995</v>
      </c>
      <c r="G42" s="262" t="s">
        <v>225</v>
      </c>
    </row>
    <row r="43" spans="1:7" x14ac:dyDescent="0.25">
      <c r="A43" s="198" t="s">
        <v>13</v>
      </c>
      <c r="B43" s="262" t="s">
        <v>90</v>
      </c>
      <c r="C43" s="262" t="s">
        <v>43</v>
      </c>
      <c r="D43" s="267" t="s">
        <v>221</v>
      </c>
      <c r="E43" s="255">
        <f>70*'USD to CAD'!$A$1</f>
        <v>88.2</v>
      </c>
      <c r="F43" s="266">
        <f t="shared" si="3"/>
        <v>61.739999999999995</v>
      </c>
      <c r="G43" s="262" t="s">
        <v>225</v>
      </c>
    </row>
    <row r="44" spans="1:7" x14ac:dyDescent="0.25">
      <c r="A44" s="198" t="s">
        <v>13</v>
      </c>
      <c r="B44" s="262" t="s">
        <v>91</v>
      </c>
      <c r="C44" s="262" t="s">
        <v>43</v>
      </c>
      <c r="D44" s="267" t="s">
        <v>221</v>
      </c>
      <c r="E44" s="255">
        <f>70*'USD to CAD'!$A$1</f>
        <v>88.2</v>
      </c>
      <c r="F44" s="266">
        <f t="shared" si="3"/>
        <v>61.739999999999995</v>
      </c>
      <c r="G44" s="262" t="s">
        <v>225</v>
      </c>
    </row>
    <row r="45" spans="1:7" x14ac:dyDescent="0.25">
      <c r="A45" s="198" t="s">
        <v>13</v>
      </c>
      <c r="B45" s="262" t="s">
        <v>92</v>
      </c>
      <c r="C45" s="262" t="s">
        <v>43</v>
      </c>
      <c r="D45" s="267" t="s">
        <v>221</v>
      </c>
      <c r="E45" s="255">
        <f>70*'USD to CAD'!$A$1</f>
        <v>88.2</v>
      </c>
      <c r="F45" s="266">
        <f t="shared" si="3"/>
        <v>61.739999999999995</v>
      </c>
      <c r="G45" s="262" t="s">
        <v>225</v>
      </c>
    </row>
    <row r="46" spans="1:7" x14ac:dyDescent="0.25">
      <c r="A46" s="198" t="s">
        <v>13</v>
      </c>
      <c r="B46" s="262" t="s">
        <v>93</v>
      </c>
      <c r="C46" s="262" t="s">
        <v>43</v>
      </c>
      <c r="D46" s="267" t="s">
        <v>221</v>
      </c>
      <c r="E46" s="255">
        <f>70*'USD to CAD'!$A$1</f>
        <v>88.2</v>
      </c>
      <c r="F46" s="266">
        <f t="shared" si="3"/>
        <v>61.739999999999995</v>
      </c>
      <c r="G46" s="262" t="s">
        <v>225</v>
      </c>
    </row>
    <row r="47" spans="1:7" x14ac:dyDescent="0.25">
      <c r="A47" s="198" t="s">
        <v>13</v>
      </c>
      <c r="B47" s="262" t="s">
        <v>147</v>
      </c>
      <c r="C47" s="262" t="s">
        <v>43</v>
      </c>
      <c r="D47" s="267" t="s">
        <v>221</v>
      </c>
      <c r="E47" s="255">
        <f>70*'USD to CAD'!$A$1</f>
        <v>88.2</v>
      </c>
      <c r="F47" s="266">
        <f t="shared" si="3"/>
        <v>61.739999999999995</v>
      </c>
      <c r="G47" s="262" t="s">
        <v>225</v>
      </c>
    </row>
    <row r="48" spans="1:7" x14ac:dyDescent="0.25">
      <c r="A48" s="198" t="s">
        <v>13</v>
      </c>
      <c r="B48" s="262" t="s">
        <v>94</v>
      </c>
      <c r="C48" s="262" t="s">
        <v>43</v>
      </c>
      <c r="D48" s="267" t="s">
        <v>221</v>
      </c>
      <c r="E48" s="255">
        <f>70*'USD to CAD'!$A$1</f>
        <v>88.2</v>
      </c>
      <c r="F48" s="266">
        <f t="shared" si="3"/>
        <v>61.739999999999995</v>
      </c>
      <c r="G48" s="262" t="s">
        <v>225</v>
      </c>
    </row>
    <row r="49" spans="1:7" x14ac:dyDescent="0.25">
      <c r="A49" s="198" t="s">
        <v>13</v>
      </c>
      <c r="B49" s="262" t="s">
        <v>89</v>
      </c>
      <c r="C49" s="262" t="s">
        <v>44</v>
      </c>
      <c r="D49" s="267" t="s">
        <v>221</v>
      </c>
      <c r="E49" s="255">
        <f>70*'USD to CAD'!$A$1</f>
        <v>88.2</v>
      </c>
      <c r="F49" s="266">
        <f t="shared" si="3"/>
        <v>61.739999999999995</v>
      </c>
      <c r="G49" s="262" t="s">
        <v>225</v>
      </c>
    </row>
    <row r="50" spans="1:7" x14ac:dyDescent="0.25">
      <c r="A50" s="198" t="s">
        <v>13</v>
      </c>
      <c r="B50" s="262" t="s">
        <v>90</v>
      </c>
      <c r="C50" s="262" t="s">
        <v>44</v>
      </c>
      <c r="D50" s="267" t="s">
        <v>221</v>
      </c>
      <c r="E50" s="255">
        <f>70*'USD to CAD'!$A$1</f>
        <v>88.2</v>
      </c>
      <c r="F50" s="266">
        <f t="shared" si="3"/>
        <v>61.739999999999995</v>
      </c>
      <c r="G50" s="262" t="s">
        <v>225</v>
      </c>
    </row>
    <row r="51" spans="1:7" x14ac:dyDescent="0.25">
      <c r="A51" s="198" t="s">
        <v>13</v>
      </c>
      <c r="B51" s="262" t="s">
        <v>91</v>
      </c>
      <c r="C51" s="262" t="s">
        <v>44</v>
      </c>
      <c r="D51" s="267" t="s">
        <v>221</v>
      </c>
      <c r="E51" s="255">
        <f>70*'USD to CAD'!$A$1</f>
        <v>88.2</v>
      </c>
      <c r="F51" s="266">
        <f t="shared" si="3"/>
        <v>61.739999999999995</v>
      </c>
      <c r="G51" s="262" t="s">
        <v>225</v>
      </c>
    </row>
    <row r="52" spans="1:7" x14ac:dyDescent="0.25">
      <c r="A52" s="198" t="s">
        <v>13</v>
      </c>
      <c r="B52" s="262" t="s">
        <v>92</v>
      </c>
      <c r="C52" s="262" t="s">
        <v>44</v>
      </c>
      <c r="D52" s="267" t="s">
        <v>221</v>
      </c>
      <c r="E52" s="255">
        <f>70*'USD to CAD'!$A$1</f>
        <v>88.2</v>
      </c>
      <c r="F52" s="266">
        <f t="shared" si="3"/>
        <v>61.739999999999995</v>
      </c>
      <c r="G52" s="262" t="s">
        <v>225</v>
      </c>
    </row>
    <row r="53" spans="1:7" x14ac:dyDescent="0.25">
      <c r="A53" s="198" t="s">
        <v>13</v>
      </c>
      <c r="B53" s="262" t="s">
        <v>93</v>
      </c>
      <c r="C53" s="262" t="s">
        <v>44</v>
      </c>
      <c r="D53" s="267" t="s">
        <v>221</v>
      </c>
      <c r="E53" s="255">
        <f>70*'USD to CAD'!$A$1</f>
        <v>88.2</v>
      </c>
      <c r="F53" s="266">
        <f t="shared" si="3"/>
        <v>61.739999999999995</v>
      </c>
      <c r="G53" s="262" t="s">
        <v>225</v>
      </c>
    </row>
    <row r="54" spans="1:7" x14ac:dyDescent="0.25">
      <c r="A54" s="198" t="s">
        <v>13</v>
      </c>
      <c r="B54" s="262" t="s">
        <v>147</v>
      </c>
      <c r="C54" s="262" t="s">
        <v>44</v>
      </c>
      <c r="D54" s="267" t="str">
        <f>D35</f>
        <v>$/kW-yr</v>
      </c>
      <c r="E54" s="268">
        <f>E35</f>
        <v>88.2</v>
      </c>
      <c r="F54" s="266">
        <f t="shared" si="3"/>
        <v>61.739999999999995</v>
      </c>
      <c r="G54" s="262"/>
    </row>
    <row r="55" spans="1:7" x14ac:dyDescent="0.25">
      <c r="A55" s="198" t="s">
        <v>13</v>
      </c>
      <c r="B55" s="262" t="s">
        <v>94</v>
      </c>
      <c r="C55" s="262" t="s">
        <v>44</v>
      </c>
      <c r="D55" s="267" t="str">
        <f>D36</f>
        <v>$/kW-yr</v>
      </c>
      <c r="E55" s="268">
        <f>E36</f>
        <v>88.2</v>
      </c>
      <c r="F55" s="266">
        <f t="shared" si="3"/>
        <v>61.739999999999995</v>
      </c>
      <c r="G55" s="262"/>
    </row>
    <row r="56" spans="1:7" x14ac:dyDescent="0.25">
      <c r="A56" s="198" t="s">
        <v>13</v>
      </c>
      <c r="B56" s="262" t="s">
        <v>95</v>
      </c>
      <c r="C56" s="262" t="s">
        <v>41</v>
      </c>
      <c r="D56" s="267" t="s">
        <v>221</v>
      </c>
      <c r="E56" s="255">
        <f>70*'USD to CAD'!$A$1</f>
        <v>88.2</v>
      </c>
      <c r="F56" s="266">
        <f t="shared" si="3"/>
        <v>61.739999999999995</v>
      </c>
      <c r="G56" s="262"/>
    </row>
    <row r="57" spans="1:7" x14ac:dyDescent="0.25">
      <c r="A57" s="198" t="s">
        <v>13</v>
      </c>
      <c r="B57" s="262" t="s">
        <v>96</v>
      </c>
      <c r="C57" s="262" t="s">
        <v>41</v>
      </c>
      <c r="D57" s="267" t="s">
        <v>221</v>
      </c>
      <c r="E57" s="255">
        <f>70*'USD to CAD'!$A$1</f>
        <v>88.2</v>
      </c>
      <c r="F57" s="266">
        <f t="shared" si="3"/>
        <v>61.739999999999995</v>
      </c>
      <c r="G57" s="262"/>
    </row>
    <row r="58" spans="1:7" x14ac:dyDescent="0.25">
      <c r="A58" s="198" t="s">
        <v>13</v>
      </c>
      <c r="B58" s="262" t="s">
        <v>97</v>
      </c>
      <c r="C58" s="262" t="s">
        <v>41</v>
      </c>
      <c r="D58" s="267" t="str">
        <f t="shared" ref="D58:D76" si="4">D37</f>
        <v>$/kW-yr</v>
      </c>
      <c r="E58" s="268">
        <f t="shared" ref="E58:E76" si="5">E37</f>
        <v>88.2</v>
      </c>
      <c r="F58" s="266">
        <f t="shared" si="3"/>
        <v>61.739999999999995</v>
      </c>
      <c r="G58" s="262"/>
    </row>
    <row r="59" spans="1:7" x14ac:dyDescent="0.25">
      <c r="A59" s="198" t="s">
        <v>13</v>
      </c>
      <c r="B59" s="262" t="s">
        <v>98</v>
      </c>
      <c r="C59" s="262" t="s">
        <v>41</v>
      </c>
      <c r="D59" s="267" t="str">
        <f t="shared" si="4"/>
        <v>$/kW-yr</v>
      </c>
      <c r="E59" s="268">
        <f t="shared" si="5"/>
        <v>88.2</v>
      </c>
      <c r="F59" s="266">
        <f t="shared" si="3"/>
        <v>61.739999999999995</v>
      </c>
      <c r="G59" s="262"/>
    </row>
    <row r="60" spans="1:7" x14ac:dyDescent="0.25">
      <c r="A60" s="198" t="s">
        <v>13</v>
      </c>
      <c r="B60" s="262" t="s">
        <v>99</v>
      </c>
      <c r="C60" s="262" t="s">
        <v>41</v>
      </c>
      <c r="D60" s="267" t="str">
        <f t="shared" si="4"/>
        <v>$/kW-yr</v>
      </c>
      <c r="E60" s="268">
        <f t="shared" si="5"/>
        <v>88.2</v>
      </c>
      <c r="F60" s="266">
        <f t="shared" si="3"/>
        <v>61.739999999999995</v>
      </c>
      <c r="G60" s="262"/>
    </row>
    <row r="61" spans="1:7" x14ac:dyDescent="0.25">
      <c r="A61" s="198" t="s">
        <v>13</v>
      </c>
      <c r="B61" s="262" t="s">
        <v>129</v>
      </c>
      <c r="C61" s="262" t="s">
        <v>41</v>
      </c>
      <c r="D61" s="267" t="str">
        <f t="shared" si="4"/>
        <v>$/kW-yr</v>
      </c>
      <c r="E61" s="268">
        <f t="shared" si="5"/>
        <v>88.2</v>
      </c>
      <c r="F61" s="266">
        <f t="shared" si="3"/>
        <v>61.739999999999995</v>
      </c>
      <c r="G61" s="262"/>
    </row>
    <row r="62" spans="1:7" x14ac:dyDescent="0.25">
      <c r="A62" s="198" t="s">
        <v>13</v>
      </c>
      <c r="B62" s="262" t="s">
        <v>100</v>
      </c>
      <c r="C62" s="262" t="s">
        <v>41</v>
      </c>
      <c r="D62" s="267" t="str">
        <f t="shared" si="4"/>
        <v>$/kW-yr</v>
      </c>
      <c r="E62" s="268">
        <f t="shared" si="5"/>
        <v>88.2</v>
      </c>
      <c r="F62" s="266">
        <f t="shared" si="3"/>
        <v>61.739999999999995</v>
      </c>
      <c r="G62" s="262"/>
    </row>
    <row r="63" spans="1:7" x14ac:dyDescent="0.25">
      <c r="A63" s="198" t="s">
        <v>13</v>
      </c>
      <c r="B63" s="262" t="s">
        <v>95</v>
      </c>
      <c r="C63" s="262" t="s">
        <v>43</v>
      </c>
      <c r="D63" s="267" t="str">
        <f t="shared" si="4"/>
        <v>$/kW-yr</v>
      </c>
      <c r="E63" s="268">
        <f t="shared" si="5"/>
        <v>88.2</v>
      </c>
      <c r="F63" s="266">
        <f t="shared" si="3"/>
        <v>61.739999999999995</v>
      </c>
      <c r="G63" s="262"/>
    </row>
    <row r="64" spans="1:7" x14ac:dyDescent="0.25">
      <c r="A64" s="198" t="s">
        <v>13</v>
      </c>
      <c r="B64" s="262" t="s">
        <v>96</v>
      </c>
      <c r="C64" s="262" t="s">
        <v>43</v>
      </c>
      <c r="D64" s="267" t="str">
        <f t="shared" si="4"/>
        <v>$/kW-yr</v>
      </c>
      <c r="E64" s="268">
        <f t="shared" si="5"/>
        <v>88.2</v>
      </c>
      <c r="F64" s="266">
        <f t="shared" si="3"/>
        <v>61.739999999999995</v>
      </c>
      <c r="G64" s="262"/>
    </row>
    <row r="65" spans="1:7" x14ac:dyDescent="0.25">
      <c r="A65" s="198" t="s">
        <v>13</v>
      </c>
      <c r="B65" s="262" t="s">
        <v>97</v>
      </c>
      <c r="C65" s="262" t="s">
        <v>43</v>
      </c>
      <c r="D65" s="267" t="str">
        <f t="shared" si="4"/>
        <v>$/kW-yr</v>
      </c>
      <c r="E65" s="268">
        <f t="shared" si="5"/>
        <v>88.2</v>
      </c>
      <c r="F65" s="266">
        <f t="shared" si="3"/>
        <v>61.739999999999995</v>
      </c>
      <c r="G65" s="262"/>
    </row>
    <row r="66" spans="1:7" x14ac:dyDescent="0.25">
      <c r="A66" s="198" t="s">
        <v>13</v>
      </c>
      <c r="B66" s="262" t="s">
        <v>98</v>
      </c>
      <c r="C66" s="262" t="s">
        <v>43</v>
      </c>
      <c r="D66" s="267" t="str">
        <f t="shared" si="4"/>
        <v>$/kW-yr</v>
      </c>
      <c r="E66" s="268">
        <f t="shared" si="5"/>
        <v>88.2</v>
      </c>
      <c r="F66" s="266">
        <f t="shared" si="3"/>
        <v>61.739999999999995</v>
      </c>
      <c r="G66" s="262"/>
    </row>
    <row r="67" spans="1:7" x14ac:dyDescent="0.25">
      <c r="A67" s="198" t="s">
        <v>13</v>
      </c>
      <c r="B67" s="262" t="s">
        <v>99</v>
      </c>
      <c r="C67" s="262" t="s">
        <v>43</v>
      </c>
      <c r="D67" s="267" t="str">
        <f t="shared" si="4"/>
        <v>$/kW-yr</v>
      </c>
      <c r="E67" s="268">
        <f t="shared" si="5"/>
        <v>88.2</v>
      </c>
      <c r="F67" s="266">
        <f t="shared" si="3"/>
        <v>61.739999999999995</v>
      </c>
      <c r="G67" s="262"/>
    </row>
    <row r="68" spans="1:7" x14ac:dyDescent="0.25">
      <c r="A68" s="198" t="s">
        <v>13</v>
      </c>
      <c r="B68" s="262" t="s">
        <v>129</v>
      </c>
      <c r="C68" s="262" t="s">
        <v>43</v>
      </c>
      <c r="D68" s="267" t="str">
        <f t="shared" si="4"/>
        <v>$/kW-yr</v>
      </c>
      <c r="E68" s="268">
        <f t="shared" si="5"/>
        <v>88.2</v>
      </c>
      <c r="F68" s="266">
        <f t="shared" ref="F68:F99" si="6">E68*0.7</f>
        <v>61.739999999999995</v>
      </c>
      <c r="G68" s="262"/>
    </row>
    <row r="69" spans="1:7" x14ac:dyDescent="0.25">
      <c r="A69" s="198" t="s">
        <v>13</v>
      </c>
      <c r="B69" s="262" t="s">
        <v>100</v>
      </c>
      <c r="C69" s="262" t="s">
        <v>43</v>
      </c>
      <c r="D69" s="267" t="str">
        <f t="shared" si="4"/>
        <v>$/kW-yr</v>
      </c>
      <c r="E69" s="268">
        <f t="shared" si="5"/>
        <v>88.2</v>
      </c>
      <c r="F69" s="266">
        <f t="shared" si="6"/>
        <v>61.739999999999995</v>
      </c>
      <c r="G69" s="262"/>
    </row>
    <row r="70" spans="1:7" x14ac:dyDescent="0.25">
      <c r="A70" s="198" t="s">
        <v>13</v>
      </c>
      <c r="B70" s="262" t="s">
        <v>95</v>
      </c>
      <c r="C70" s="262" t="s">
        <v>44</v>
      </c>
      <c r="D70" s="267" t="str">
        <f t="shared" si="4"/>
        <v>$/kW-yr</v>
      </c>
      <c r="E70" s="268">
        <f t="shared" si="5"/>
        <v>88.2</v>
      </c>
      <c r="F70" s="266">
        <f t="shared" si="6"/>
        <v>61.739999999999995</v>
      </c>
      <c r="G70" s="262"/>
    </row>
    <row r="71" spans="1:7" x14ac:dyDescent="0.25">
      <c r="A71" s="198" t="s">
        <v>13</v>
      </c>
      <c r="B71" s="262" t="s">
        <v>96</v>
      </c>
      <c r="C71" s="262" t="s">
        <v>44</v>
      </c>
      <c r="D71" s="267" t="str">
        <f t="shared" si="4"/>
        <v>$/kW-yr</v>
      </c>
      <c r="E71" s="268">
        <f t="shared" si="5"/>
        <v>88.2</v>
      </c>
      <c r="F71" s="266">
        <f t="shared" si="6"/>
        <v>61.739999999999995</v>
      </c>
      <c r="G71" s="262"/>
    </row>
    <row r="72" spans="1:7" x14ac:dyDescent="0.25">
      <c r="A72" s="198" t="s">
        <v>13</v>
      </c>
      <c r="B72" s="262" t="s">
        <v>97</v>
      </c>
      <c r="C72" s="262" t="s">
        <v>44</v>
      </c>
      <c r="D72" s="267" t="str">
        <f t="shared" si="4"/>
        <v>$/kW-yr</v>
      </c>
      <c r="E72" s="268">
        <f t="shared" si="5"/>
        <v>88.2</v>
      </c>
      <c r="F72" s="266">
        <f t="shared" si="6"/>
        <v>61.739999999999995</v>
      </c>
      <c r="G72" s="262"/>
    </row>
    <row r="73" spans="1:7" x14ac:dyDescent="0.25">
      <c r="A73" s="198" t="s">
        <v>13</v>
      </c>
      <c r="B73" s="262" t="s">
        <v>98</v>
      </c>
      <c r="C73" s="262" t="s">
        <v>44</v>
      </c>
      <c r="D73" s="267" t="str">
        <f t="shared" si="4"/>
        <v>$/kW-yr</v>
      </c>
      <c r="E73" s="268">
        <f t="shared" si="5"/>
        <v>88.2</v>
      </c>
      <c r="F73" s="266">
        <f t="shared" si="6"/>
        <v>61.739999999999995</v>
      </c>
      <c r="G73" s="262"/>
    </row>
    <row r="74" spans="1:7" x14ac:dyDescent="0.25">
      <c r="A74" s="198" t="s">
        <v>13</v>
      </c>
      <c r="B74" s="262" t="s">
        <v>99</v>
      </c>
      <c r="C74" s="262" t="s">
        <v>44</v>
      </c>
      <c r="D74" s="267" t="str">
        <f t="shared" si="4"/>
        <v>$/kW-yr</v>
      </c>
      <c r="E74" s="268">
        <f t="shared" si="5"/>
        <v>88.2</v>
      </c>
      <c r="F74" s="266">
        <f t="shared" si="6"/>
        <v>61.739999999999995</v>
      </c>
      <c r="G74" s="262"/>
    </row>
    <row r="75" spans="1:7" x14ac:dyDescent="0.25">
      <c r="A75" s="198" t="s">
        <v>13</v>
      </c>
      <c r="B75" s="262" t="s">
        <v>129</v>
      </c>
      <c r="C75" s="262" t="s">
        <v>44</v>
      </c>
      <c r="D75" s="267" t="str">
        <f t="shared" si="4"/>
        <v>$/kW-yr</v>
      </c>
      <c r="E75" s="268">
        <f t="shared" si="5"/>
        <v>88.2</v>
      </c>
      <c r="F75" s="266">
        <f t="shared" si="6"/>
        <v>61.739999999999995</v>
      </c>
      <c r="G75" s="262"/>
    </row>
    <row r="76" spans="1:7" x14ac:dyDescent="0.25">
      <c r="A76" s="198" t="s">
        <v>13</v>
      </c>
      <c r="B76" s="262" t="s">
        <v>100</v>
      </c>
      <c r="C76" s="262" t="s">
        <v>44</v>
      </c>
      <c r="D76" s="267" t="str">
        <f t="shared" si="4"/>
        <v>$/kW-yr</v>
      </c>
      <c r="E76" s="268">
        <f t="shared" si="5"/>
        <v>88.2</v>
      </c>
      <c r="F76" s="266">
        <f t="shared" si="6"/>
        <v>61.739999999999995</v>
      </c>
      <c r="G76" s="262"/>
    </row>
    <row r="77" spans="1:7" x14ac:dyDescent="0.25">
      <c r="A77" s="198" t="s">
        <v>13</v>
      </c>
      <c r="B77" s="262" t="s">
        <v>101</v>
      </c>
      <c r="C77" s="262" t="s">
        <v>40</v>
      </c>
      <c r="D77" s="267" t="s">
        <v>221</v>
      </c>
      <c r="E77" s="258">
        <v>0</v>
      </c>
      <c r="F77" s="266">
        <f t="shared" si="6"/>
        <v>0</v>
      </c>
      <c r="G77" s="269"/>
    </row>
    <row r="78" spans="1:7" x14ac:dyDescent="0.25">
      <c r="A78" s="198" t="s">
        <v>13</v>
      </c>
      <c r="B78" s="262" t="s">
        <v>101</v>
      </c>
      <c r="C78" s="262" t="s">
        <v>41</v>
      </c>
      <c r="D78" s="267" t="s">
        <v>221</v>
      </c>
      <c r="E78" s="258">
        <v>0</v>
      </c>
      <c r="F78" s="266">
        <f t="shared" si="6"/>
        <v>0</v>
      </c>
      <c r="G78" s="269"/>
    </row>
    <row r="79" spans="1:7" x14ac:dyDescent="0.25">
      <c r="A79" s="198" t="s">
        <v>13</v>
      </c>
      <c r="B79" s="262" t="s">
        <v>101</v>
      </c>
      <c r="C79" s="262" t="s">
        <v>42</v>
      </c>
      <c r="D79" s="267" t="s">
        <v>221</v>
      </c>
      <c r="E79" s="258">
        <v>0</v>
      </c>
      <c r="F79" s="266">
        <f t="shared" si="6"/>
        <v>0</v>
      </c>
      <c r="G79" s="269"/>
    </row>
    <row r="80" spans="1:7" x14ac:dyDescent="0.25">
      <c r="A80" s="198" t="s">
        <v>13</v>
      </c>
      <c r="B80" s="262" t="s">
        <v>101</v>
      </c>
      <c r="C80" s="262" t="s">
        <v>43</v>
      </c>
      <c r="D80" s="267" t="s">
        <v>221</v>
      </c>
      <c r="E80" s="258">
        <v>0</v>
      </c>
      <c r="F80" s="266">
        <f t="shared" si="6"/>
        <v>0</v>
      </c>
      <c r="G80" s="269"/>
    </row>
    <row r="81" spans="1:7" x14ac:dyDescent="0.25">
      <c r="A81" s="198" t="s">
        <v>13</v>
      </c>
      <c r="B81" s="262" t="s">
        <v>101</v>
      </c>
      <c r="C81" s="262" t="s">
        <v>44</v>
      </c>
      <c r="D81" s="267" t="s">
        <v>221</v>
      </c>
      <c r="E81" s="258">
        <v>0</v>
      </c>
      <c r="F81" s="266">
        <f t="shared" si="6"/>
        <v>0</v>
      </c>
      <c r="G81" s="269"/>
    </row>
    <row r="82" spans="1:7" x14ac:dyDescent="0.25">
      <c r="A82" s="198" t="s">
        <v>13</v>
      </c>
      <c r="B82" s="262" t="s">
        <v>101</v>
      </c>
      <c r="C82" s="262" t="s">
        <v>45</v>
      </c>
      <c r="D82" s="267" t="s">
        <v>221</v>
      </c>
      <c r="E82" s="258">
        <v>0</v>
      </c>
      <c r="F82" s="266">
        <f t="shared" si="6"/>
        <v>0</v>
      </c>
      <c r="G82" s="269"/>
    </row>
    <row r="83" spans="1:7" x14ac:dyDescent="0.25">
      <c r="A83" s="198" t="s">
        <v>13</v>
      </c>
      <c r="B83" s="262" t="s">
        <v>102</v>
      </c>
      <c r="C83" s="262" t="s">
        <v>40</v>
      </c>
      <c r="D83" s="267" t="s">
        <v>221</v>
      </c>
      <c r="E83" s="258">
        <v>0</v>
      </c>
      <c r="F83" s="266">
        <f t="shared" si="6"/>
        <v>0</v>
      </c>
      <c r="G83" s="269"/>
    </row>
    <row r="84" spans="1:7" x14ac:dyDescent="0.25">
      <c r="A84" s="198" t="s">
        <v>13</v>
      </c>
      <c r="B84" s="262" t="s">
        <v>102</v>
      </c>
      <c r="C84" s="262" t="s">
        <v>41</v>
      </c>
      <c r="D84" s="267" t="s">
        <v>221</v>
      </c>
      <c r="E84" s="258">
        <v>0</v>
      </c>
      <c r="F84" s="266">
        <f t="shared" si="6"/>
        <v>0</v>
      </c>
      <c r="G84" s="269"/>
    </row>
    <row r="85" spans="1:7" x14ac:dyDescent="0.25">
      <c r="A85" s="198" t="s">
        <v>13</v>
      </c>
      <c r="B85" s="262" t="s">
        <v>102</v>
      </c>
      <c r="C85" s="262" t="s">
        <v>42</v>
      </c>
      <c r="D85" s="267" t="s">
        <v>221</v>
      </c>
      <c r="E85" s="258">
        <v>0</v>
      </c>
      <c r="F85" s="266">
        <f t="shared" si="6"/>
        <v>0</v>
      </c>
      <c r="G85" s="269"/>
    </row>
    <row r="86" spans="1:7" x14ac:dyDescent="0.25">
      <c r="A86" s="198" t="s">
        <v>13</v>
      </c>
      <c r="B86" s="262" t="s">
        <v>102</v>
      </c>
      <c r="C86" s="262" t="s">
        <v>43</v>
      </c>
      <c r="D86" s="267" t="s">
        <v>221</v>
      </c>
      <c r="E86" s="258">
        <v>0</v>
      </c>
      <c r="F86" s="266">
        <f t="shared" si="6"/>
        <v>0</v>
      </c>
      <c r="G86" s="269"/>
    </row>
    <row r="87" spans="1:7" x14ac:dyDescent="0.25">
      <c r="A87" s="198" t="s">
        <v>13</v>
      </c>
      <c r="B87" s="262" t="s">
        <v>102</v>
      </c>
      <c r="C87" s="262" t="s">
        <v>44</v>
      </c>
      <c r="D87" s="267" t="s">
        <v>221</v>
      </c>
      <c r="E87" s="258">
        <v>0</v>
      </c>
      <c r="F87" s="266">
        <f t="shared" si="6"/>
        <v>0</v>
      </c>
      <c r="G87" s="269"/>
    </row>
    <row r="88" spans="1:7" x14ac:dyDescent="0.25">
      <c r="A88" s="198" t="s">
        <v>13</v>
      </c>
      <c r="B88" s="262" t="s">
        <v>102</v>
      </c>
      <c r="C88" s="262" t="s">
        <v>45</v>
      </c>
      <c r="D88" s="267" t="s">
        <v>221</v>
      </c>
      <c r="E88" s="258">
        <v>0</v>
      </c>
      <c r="F88" s="266">
        <f t="shared" si="6"/>
        <v>0</v>
      </c>
      <c r="G88" s="269"/>
    </row>
    <row r="89" spans="1:7" x14ac:dyDescent="0.25">
      <c r="A89" s="198" t="s">
        <v>13</v>
      </c>
      <c r="B89" s="262" t="s">
        <v>56</v>
      </c>
      <c r="C89" s="262" t="s">
        <v>40</v>
      </c>
      <c r="D89" s="267" t="s">
        <v>221</v>
      </c>
      <c r="E89" s="258">
        <v>0</v>
      </c>
      <c r="F89" s="266">
        <f t="shared" si="6"/>
        <v>0</v>
      </c>
      <c r="G89" s="269"/>
    </row>
    <row r="90" spans="1:7" x14ac:dyDescent="0.25">
      <c r="A90" s="198" t="s">
        <v>13</v>
      </c>
      <c r="B90" s="262" t="s">
        <v>56</v>
      </c>
      <c r="C90" s="262" t="s">
        <v>41</v>
      </c>
      <c r="D90" s="267" t="s">
        <v>221</v>
      </c>
      <c r="E90" s="258">
        <v>0</v>
      </c>
      <c r="F90" s="266">
        <f t="shared" si="6"/>
        <v>0</v>
      </c>
      <c r="G90" s="269"/>
    </row>
    <row r="91" spans="1:7" x14ac:dyDescent="0.25">
      <c r="A91" s="198" t="s">
        <v>13</v>
      </c>
      <c r="B91" s="262" t="s">
        <v>56</v>
      </c>
      <c r="C91" s="262" t="s">
        <v>42</v>
      </c>
      <c r="D91" s="267" t="s">
        <v>221</v>
      </c>
      <c r="E91" s="258">
        <v>0</v>
      </c>
      <c r="F91" s="266">
        <f t="shared" si="6"/>
        <v>0</v>
      </c>
      <c r="G91" s="269"/>
    </row>
    <row r="92" spans="1:7" x14ac:dyDescent="0.25">
      <c r="A92" s="198" t="s">
        <v>13</v>
      </c>
      <c r="B92" s="262" t="s">
        <v>56</v>
      </c>
      <c r="C92" s="262" t="s">
        <v>43</v>
      </c>
      <c r="D92" s="267" t="s">
        <v>221</v>
      </c>
      <c r="E92" s="258">
        <v>0</v>
      </c>
      <c r="F92" s="266">
        <f t="shared" si="6"/>
        <v>0</v>
      </c>
      <c r="G92" s="269"/>
    </row>
    <row r="93" spans="1:7" x14ac:dyDescent="0.25">
      <c r="A93" s="198" t="s">
        <v>13</v>
      </c>
      <c r="B93" s="262" t="s">
        <v>56</v>
      </c>
      <c r="C93" s="262" t="s">
        <v>44</v>
      </c>
      <c r="D93" s="267" t="s">
        <v>221</v>
      </c>
      <c r="E93" s="258">
        <v>0</v>
      </c>
      <c r="F93" s="266">
        <f t="shared" si="6"/>
        <v>0</v>
      </c>
      <c r="G93" s="269"/>
    </row>
    <row r="94" spans="1:7" x14ac:dyDescent="0.25">
      <c r="A94" s="198" t="s">
        <v>13</v>
      </c>
      <c r="B94" s="262" t="s">
        <v>56</v>
      </c>
      <c r="C94" s="262" t="s">
        <v>45</v>
      </c>
      <c r="D94" s="267" t="s">
        <v>221</v>
      </c>
      <c r="E94" s="258">
        <v>0</v>
      </c>
      <c r="F94" s="266">
        <f t="shared" si="6"/>
        <v>0</v>
      </c>
      <c r="G94" s="269"/>
    </row>
    <row r="95" spans="1:7" ht="17.55" customHeight="1" x14ac:dyDescent="0.25">
      <c r="A95" s="198" t="s">
        <v>13</v>
      </c>
      <c r="B95" s="262" t="s">
        <v>55</v>
      </c>
      <c r="C95" s="262" t="s">
        <v>46</v>
      </c>
      <c r="D95" s="264" t="s">
        <v>221</v>
      </c>
      <c r="E95" s="263">
        <f>'USD to CAD'!$A$1*25</f>
        <v>31.5</v>
      </c>
      <c r="F95" s="266">
        <f t="shared" si="6"/>
        <v>22.049999999999997</v>
      </c>
      <c r="G95" s="269"/>
    </row>
    <row r="96" spans="1:7" x14ac:dyDescent="0.25">
      <c r="A96" s="198" t="s">
        <v>20</v>
      </c>
      <c r="B96" s="262" t="s">
        <v>80</v>
      </c>
      <c r="C96" s="262" t="s">
        <v>45</v>
      </c>
      <c r="D96" s="267" t="s">
        <v>226</v>
      </c>
      <c r="E96" s="265">
        <v>0</v>
      </c>
      <c r="F96" s="266">
        <f t="shared" si="6"/>
        <v>0</v>
      </c>
      <c r="G96" s="269"/>
    </row>
    <row r="97" spans="1:7" x14ac:dyDescent="0.25">
      <c r="A97" s="198" t="s">
        <v>20</v>
      </c>
      <c r="B97" s="262" t="s">
        <v>81</v>
      </c>
      <c r="C97" s="262" t="s">
        <v>45</v>
      </c>
      <c r="D97" s="267" t="s">
        <v>226</v>
      </c>
      <c r="E97" s="265">
        <v>0</v>
      </c>
      <c r="F97" s="266">
        <f t="shared" si="6"/>
        <v>0</v>
      </c>
      <c r="G97" s="269"/>
    </row>
    <row r="98" spans="1:7" x14ac:dyDescent="0.25">
      <c r="A98" s="198" t="s">
        <v>20</v>
      </c>
      <c r="B98" s="262" t="s">
        <v>82</v>
      </c>
      <c r="C98" s="262" t="s">
        <v>45</v>
      </c>
      <c r="D98" s="267" t="s">
        <v>226</v>
      </c>
      <c r="E98" s="265">
        <v>0</v>
      </c>
      <c r="F98" s="266">
        <f t="shared" si="6"/>
        <v>0</v>
      </c>
      <c r="G98" s="269"/>
    </row>
    <row r="99" spans="1:7" x14ac:dyDescent="0.25">
      <c r="A99" s="198" t="s">
        <v>20</v>
      </c>
      <c r="B99" s="262" t="s">
        <v>83</v>
      </c>
      <c r="C99" s="262" t="s">
        <v>45</v>
      </c>
      <c r="D99" s="267" t="s">
        <v>226</v>
      </c>
      <c r="E99" s="265">
        <v>0</v>
      </c>
      <c r="F99" s="266">
        <f t="shared" si="6"/>
        <v>0</v>
      </c>
      <c r="G99" s="269"/>
    </row>
    <row r="100" spans="1:7" x14ac:dyDescent="0.25">
      <c r="A100" s="198" t="s">
        <v>20</v>
      </c>
      <c r="B100" s="262" t="s">
        <v>84</v>
      </c>
      <c r="C100" s="262" t="s">
        <v>45</v>
      </c>
      <c r="D100" s="267" t="s">
        <v>226</v>
      </c>
      <c r="E100" s="265">
        <v>0</v>
      </c>
      <c r="F100" s="266">
        <f t="shared" ref="F100:F131" si="7">E100*0.7</f>
        <v>0</v>
      </c>
      <c r="G100" s="269"/>
    </row>
    <row r="101" spans="1:7" x14ac:dyDescent="0.25">
      <c r="A101" s="198" t="s">
        <v>20</v>
      </c>
      <c r="B101" s="262" t="s">
        <v>85</v>
      </c>
      <c r="C101" s="262" t="s">
        <v>45</v>
      </c>
      <c r="D101" s="267" t="s">
        <v>226</v>
      </c>
      <c r="E101" s="265">
        <v>0</v>
      </c>
      <c r="F101" s="266">
        <f t="shared" si="7"/>
        <v>0</v>
      </c>
      <c r="G101" s="269"/>
    </row>
    <row r="102" spans="1:7" x14ac:dyDescent="0.25">
      <c r="A102" s="198" t="s">
        <v>20</v>
      </c>
      <c r="B102" s="262" t="s">
        <v>86</v>
      </c>
      <c r="C102" s="262" t="s">
        <v>45</v>
      </c>
      <c r="D102" s="267" t="s">
        <v>226</v>
      </c>
      <c r="E102" s="265">
        <v>0</v>
      </c>
      <c r="F102" s="266">
        <f t="shared" si="7"/>
        <v>0</v>
      </c>
      <c r="G102" s="269"/>
    </row>
    <row r="103" spans="1:7" x14ac:dyDescent="0.25">
      <c r="A103" s="198" t="s">
        <v>20</v>
      </c>
      <c r="B103" s="262" t="s">
        <v>87</v>
      </c>
      <c r="C103" s="262" t="s">
        <v>45</v>
      </c>
      <c r="D103" s="267" t="s">
        <v>226</v>
      </c>
      <c r="E103" s="265">
        <v>0</v>
      </c>
      <c r="F103" s="266">
        <f t="shared" si="7"/>
        <v>0</v>
      </c>
      <c r="G103" s="269"/>
    </row>
    <row r="104" spans="1:7" x14ac:dyDescent="0.25">
      <c r="A104" s="198" t="s">
        <v>20</v>
      </c>
      <c r="B104" s="262" t="s">
        <v>80</v>
      </c>
      <c r="C104" s="262" t="s">
        <v>40</v>
      </c>
      <c r="D104" s="267" t="s">
        <v>226</v>
      </c>
      <c r="E104" s="265">
        <v>0</v>
      </c>
      <c r="F104" s="266">
        <f t="shared" si="7"/>
        <v>0</v>
      </c>
      <c r="G104" s="269"/>
    </row>
    <row r="105" spans="1:7" x14ac:dyDescent="0.25">
      <c r="A105" s="198" t="s">
        <v>20</v>
      </c>
      <c r="B105" s="262" t="s">
        <v>80</v>
      </c>
      <c r="C105" s="262" t="s">
        <v>42</v>
      </c>
      <c r="D105" s="267" t="s">
        <v>226</v>
      </c>
      <c r="E105" s="265">
        <v>0</v>
      </c>
      <c r="F105" s="266">
        <f t="shared" si="7"/>
        <v>0</v>
      </c>
      <c r="G105" s="269"/>
    </row>
    <row r="106" spans="1:7" x14ac:dyDescent="0.25">
      <c r="A106" s="198" t="s">
        <v>20</v>
      </c>
      <c r="B106" s="262" t="s">
        <v>81</v>
      </c>
      <c r="C106" s="262" t="s">
        <v>40</v>
      </c>
      <c r="D106" s="267" t="s">
        <v>226</v>
      </c>
      <c r="E106" s="265">
        <v>0</v>
      </c>
      <c r="F106" s="266">
        <f t="shared" si="7"/>
        <v>0</v>
      </c>
      <c r="G106" s="269"/>
    </row>
    <row r="107" spans="1:7" x14ac:dyDescent="0.25">
      <c r="A107" s="198" t="s">
        <v>20</v>
      </c>
      <c r="B107" s="262" t="s">
        <v>81</v>
      </c>
      <c r="C107" s="262" t="s">
        <v>42</v>
      </c>
      <c r="D107" s="267" t="s">
        <v>226</v>
      </c>
      <c r="E107" s="265">
        <v>0</v>
      </c>
      <c r="F107" s="266">
        <f t="shared" si="7"/>
        <v>0</v>
      </c>
      <c r="G107" s="269"/>
    </row>
    <row r="108" spans="1:7" x14ac:dyDescent="0.25">
      <c r="A108" s="198" t="s">
        <v>20</v>
      </c>
      <c r="B108" s="262" t="s">
        <v>88</v>
      </c>
      <c r="C108" s="262" t="s">
        <v>40</v>
      </c>
      <c r="D108" s="267" t="s">
        <v>226</v>
      </c>
      <c r="E108" s="265">
        <v>0</v>
      </c>
      <c r="F108" s="266">
        <f t="shared" si="7"/>
        <v>0</v>
      </c>
      <c r="G108" s="269"/>
    </row>
    <row r="109" spans="1:7" x14ac:dyDescent="0.25">
      <c r="A109" s="198" t="s">
        <v>20</v>
      </c>
      <c r="B109" s="262" t="s">
        <v>88</v>
      </c>
      <c r="C109" s="262" t="s">
        <v>42</v>
      </c>
      <c r="D109" s="267" t="s">
        <v>226</v>
      </c>
      <c r="E109" s="265">
        <v>0</v>
      </c>
      <c r="F109" s="266">
        <f t="shared" si="7"/>
        <v>0</v>
      </c>
      <c r="G109" s="269"/>
    </row>
    <row r="110" spans="1:7" x14ac:dyDescent="0.25">
      <c r="A110" s="198" t="s">
        <v>20</v>
      </c>
      <c r="B110" s="262" t="s">
        <v>54</v>
      </c>
      <c r="C110" s="262" t="s">
        <v>40</v>
      </c>
      <c r="D110" s="267" t="s">
        <v>226</v>
      </c>
      <c r="E110" s="265">
        <v>0</v>
      </c>
      <c r="F110" s="266">
        <f t="shared" si="7"/>
        <v>0</v>
      </c>
      <c r="G110" s="269"/>
    </row>
    <row r="111" spans="1:7" x14ac:dyDescent="0.25">
      <c r="A111" s="198" t="s">
        <v>20</v>
      </c>
      <c r="B111" s="262" t="s">
        <v>54</v>
      </c>
      <c r="C111" s="262" t="s">
        <v>41</v>
      </c>
      <c r="D111" s="267" t="s">
        <v>226</v>
      </c>
      <c r="E111" s="265">
        <v>0</v>
      </c>
      <c r="F111" s="266">
        <f t="shared" si="7"/>
        <v>0</v>
      </c>
      <c r="G111" s="269"/>
    </row>
    <row r="112" spans="1:7" x14ac:dyDescent="0.25">
      <c r="A112" s="198" t="s">
        <v>20</v>
      </c>
      <c r="B112" s="262" t="s">
        <v>54</v>
      </c>
      <c r="C112" s="262" t="s">
        <v>42</v>
      </c>
      <c r="D112" s="267" t="s">
        <v>226</v>
      </c>
      <c r="E112" s="265">
        <v>0</v>
      </c>
      <c r="F112" s="266">
        <f t="shared" si="7"/>
        <v>0</v>
      </c>
      <c r="G112" s="269"/>
    </row>
    <row r="113" spans="1:7" x14ac:dyDescent="0.25">
      <c r="A113" s="198" t="s">
        <v>20</v>
      </c>
      <c r="B113" s="262" t="s">
        <v>54</v>
      </c>
      <c r="C113" s="262" t="s">
        <v>43</v>
      </c>
      <c r="D113" s="267" t="s">
        <v>226</v>
      </c>
      <c r="E113" s="265">
        <v>0</v>
      </c>
      <c r="F113" s="266">
        <f t="shared" si="7"/>
        <v>0</v>
      </c>
      <c r="G113" s="269"/>
    </row>
    <row r="114" spans="1:7" x14ac:dyDescent="0.25">
      <c r="A114" s="198" t="s">
        <v>20</v>
      </c>
      <c r="B114" s="262" t="s">
        <v>54</v>
      </c>
      <c r="C114" s="262" t="s">
        <v>44</v>
      </c>
      <c r="D114" s="267" t="s">
        <v>226</v>
      </c>
      <c r="E114" s="265">
        <v>0</v>
      </c>
      <c r="F114" s="266">
        <f t="shared" si="7"/>
        <v>0</v>
      </c>
      <c r="G114" s="269"/>
    </row>
    <row r="115" spans="1:7" x14ac:dyDescent="0.25">
      <c r="A115" s="198" t="s">
        <v>20</v>
      </c>
      <c r="B115" s="262" t="s">
        <v>89</v>
      </c>
      <c r="C115" s="262" t="s">
        <v>41</v>
      </c>
      <c r="D115" s="267" t="s">
        <v>226</v>
      </c>
      <c r="E115" s="265">
        <v>0</v>
      </c>
      <c r="F115" s="266">
        <f t="shared" si="7"/>
        <v>0</v>
      </c>
      <c r="G115" s="269"/>
    </row>
    <row r="116" spans="1:7" x14ac:dyDescent="0.25">
      <c r="A116" s="198" t="s">
        <v>20</v>
      </c>
      <c r="B116" s="262" t="s">
        <v>90</v>
      </c>
      <c r="C116" s="262" t="s">
        <v>41</v>
      </c>
      <c r="D116" s="267" t="s">
        <v>226</v>
      </c>
      <c r="E116" s="265">
        <v>0</v>
      </c>
      <c r="F116" s="266">
        <f t="shared" si="7"/>
        <v>0</v>
      </c>
      <c r="G116" s="269"/>
    </row>
    <row r="117" spans="1:7" x14ac:dyDescent="0.25">
      <c r="A117" s="198" t="s">
        <v>20</v>
      </c>
      <c r="B117" s="262" t="s">
        <v>91</v>
      </c>
      <c r="C117" s="262" t="s">
        <v>41</v>
      </c>
      <c r="D117" s="267" t="s">
        <v>226</v>
      </c>
      <c r="E117" s="265">
        <v>0</v>
      </c>
      <c r="F117" s="266">
        <f t="shared" si="7"/>
        <v>0</v>
      </c>
      <c r="G117" s="269"/>
    </row>
    <row r="118" spans="1:7" x14ac:dyDescent="0.25">
      <c r="A118" s="198" t="s">
        <v>20</v>
      </c>
      <c r="B118" s="262" t="s">
        <v>92</v>
      </c>
      <c r="C118" s="262" t="s">
        <v>41</v>
      </c>
      <c r="D118" s="267" t="s">
        <v>226</v>
      </c>
      <c r="E118" s="265">
        <v>0</v>
      </c>
      <c r="F118" s="266">
        <f t="shared" si="7"/>
        <v>0</v>
      </c>
      <c r="G118" s="269"/>
    </row>
    <row r="119" spans="1:7" x14ac:dyDescent="0.25">
      <c r="A119" s="198" t="s">
        <v>20</v>
      </c>
      <c r="B119" s="262" t="s">
        <v>93</v>
      </c>
      <c r="C119" s="262" t="s">
        <v>41</v>
      </c>
      <c r="D119" s="267" t="s">
        <v>226</v>
      </c>
      <c r="E119" s="265">
        <v>0</v>
      </c>
      <c r="F119" s="266">
        <f t="shared" si="7"/>
        <v>0</v>
      </c>
      <c r="G119" s="269"/>
    </row>
    <row r="120" spans="1:7" x14ac:dyDescent="0.25">
      <c r="A120" s="198" t="s">
        <v>20</v>
      </c>
      <c r="B120" s="262" t="s">
        <v>92</v>
      </c>
      <c r="C120" s="262" t="s">
        <v>41</v>
      </c>
      <c r="D120" s="267" t="s">
        <v>226</v>
      </c>
      <c r="E120" s="265">
        <v>0</v>
      </c>
      <c r="F120" s="266">
        <f t="shared" si="7"/>
        <v>0</v>
      </c>
      <c r="G120" s="269"/>
    </row>
    <row r="121" spans="1:7" x14ac:dyDescent="0.25">
      <c r="A121" s="198" t="s">
        <v>20</v>
      </c>
      <c r="B121" s="262" t="s">
        <v>94</v>
      </c>
      <c r="C121" s="262" t="s">
        <v>41</v>
      </c>
      <c r="D121" s="267" t="s">
        <v>226</v>
      </c>
      <c r="E121" s="265">
        <v>0</v>
      </c>
      <c r="F121" s="266">
        <f t="shared" si="7"/>
        <v>0</v>
      </c>
      <c r="G121" s="269"/>
    </row>
    <row r="122" spans="1:7" x14ac:dyDescent="0.25">
      <c r="A122" s="198" t="s">
        <v>20</v>
      </c>
      <c r="B122" s="262" t="s">
        <v>89</v>
      </c>
      <c r="C122" s="262" t="s">
        <v>43</v>
      </c>
      <c r="D122" s="267" t="s">
        <v>226</v>
      </c>
      <c r="E122" s="265">
        <v>0</v>
      </c>
      <c r="F122" s="266">
        <f t="shared" si="7"/>
        <v>0</v>
      </c>
      <c r="G122" s="269"/>
    </row>
    <row r="123" spans="1:7" x14ac:dyDescent="0.25">
      <c r="A123" s="198" t="s">
        <v>20</v>
      </c>
      <c r="B123" s="262" t="s">
        <v>90</v>
      </c>
      <c r="C123" s="262" t="s">
        <v>43</v>
      </c>
      <c r="D123" s="267" t="s">
        <v>226</v>
      </c>
      <c r="E123" s="265">
        <v>0</v>
      </c>
      <c r="F123" s="266">
        <f t="shared" si="7"/>
        <v>0</v>
      </c>
      <c r="G123" s="269"/>
    </row>
    <row r="124" spans="1:7" x14ac:dyDescent="0.25">
      <c r="A124" s="198" t="s">
        <v>20</v>
      </c>
      <c r="B124" s="262" t="s">
        <v>91</v>
      </c>
      <c r="C124" s="262" t="s">
        <v>43</v>
      </c>
      <c r="D124" s="267" t="s">
        <v>226</v>
      </c>
      <c r="E124" s="265">
        <v>0</v>
      </c>
      <c r="F124" s="266">
        <f t="shared" si="7"/>
        <v>0</v>
      </c>
      <c r="G124" s="269"/>
    </row>
    <row r="125" spans="1:7" x14ac:dyDescent="0.25">
      <c r="A125" s="198" t="s">
        <v>20</v>
      </c>
      <c r="B125" s="262" t="s">
        <v>92</v>
      </c>
      <c r="C125" s="262" t="s">
        <v>43</v>
      </c>
      <c r="D125" s="267" t="s">
        <v>226</v>
      </c>
      <c r="E125" s="265">
        <v>0</v>
      </c>
      <c r="F125" s="266">
        <f t="shared" si="7"/>
        <v>0</v>
      </c>
      <c r="G125" s="269"/>
    </row>
    <row r="126" spans="1:7" x14ac:dyDescent="0.25">
      <c r="A126" s="198" t="s">
        <v>20</v>
      </c>
      <c r="B126" s="262" t="s">
        <v>93</v>
      </c>
      <c r="C126" s="262" t="s">
        <v>43</v>
      </c>
      <c r="D126" s="267" t="s">
        <v>226</v>
      </c>
      <c r="E126" s="265">
        <v>0</v>
      </c>
      <c r="F126" s="266">
        <f t="shared" si="7"/>
        <v>0</v>
      </c>
      <c r="G126" s="269"/>
    </row>
    <row r="127" spans="1:7" x14ac:dyDescent="0.25">
      <c r="A127" s="198" t="s">
        <v>20</v>
      </c>
      <c r="B127" s="262" t="s">
        <v>92</v>
      </c>
      <c r="C127" s="262" t="s">
        <v>43</v>
      </c>
      <c r="D127" s="267" t="s">
        <v>226</v>
      </c>
      <c r="E127" s="265">
        <v>0</v>
      </c>
      <c r="F127" s="266">
        <f t="shared" si="7"/>
        <v>0</v>
      </c>
      <c r="G127" s="269"/>
    </row>
    <row r="128" spans="1:7" x14ac:dyDescent="0.25">
      <c r="A128" s="198" t="s">
        <v>20</v>
      </c>
      <c r="B128" s="262" t="s">
        <v>94</v>
      </c>
      <c r="C128" s="262" t="s">
        <v>43</v>
      </c>
      <c r="D128" s="267" t="s">
        <v>226</v>
      </c>
      <c r="E128" s="265">
        <v>0</v>
      </c>
      <c r="F128" s="266">
        <f t="shared" si="7"/>
        <v>0</v>
      </c>
      <c r="G128" s="269"/>
    </row>
    <row r="129" spans="1:7" x14ac:dyDescent="0.25">
      <c r="A129" s="198" t="s">
        <v>20</v>
      </c>
      <c r="B129" s="262" t="s">
        <v>89</v>
      </c>
      <c r="C129" s="262" t="s">
        <v>44</v>
      </c>
      <c r="D129" s="267" t="s">
        <v>226</v>
      </c>
      <c r="E129" s="265">
        <v>0</v>
      </c>
      <c r="F129" s="266">
        <f t="shared" si="7"/>
        <v>0</v>
      </c>
      <c r="G129" s="269"/>
    </row>
    <row r="130" spans="1:7" x14ac:dyDescent="0.25">
      <c r="A130" s="198" t="s">
        <v>20</v>
      </c>
      <c r="B130" s="262" t="s">
        <v>90</v>
      </c>
      <c r="C130" s="262" t="s">
        <v>44</v>
      </c>
      <c r="D130" s="267" t="s">
        <v>226</v>
      </c>
      <c r="E130" s="265">
        <v>0</v>
      </c>
      <c r="F130" s="266">
        <f t="shared" si="7"/>
        <v>0</v>
      </c>
      <c r="G130" s="269"/>
    </row>
    <row r="131" spans="1:7" x14ac:dyDescent="0.25">
      <c r="A131" s="198" t="s">
        <v>20</v>
      </c>
      <c r="B131" s="262" t="s">
        <v>91</v>
      </c>
      <c r="C131" s="262" t="s">
        <v>44</v>
      </c>
      <c r="D131" s="267" t="s">
        <v>226</v>
      </c>
      <c r="E131" s="265">
        <v>0</v>
      </c>
      <c r="F131" s="266">
        <f t="shared" si="7"/>
        <v>0</v>
      </c>
      <c r="G131" s="269"/>
    </row>
    <row r="132" spans="1:7" x14ac:dyDescent="0.25">
      <c r="A132" s="198" t="s">
        <v>20</v>
      </c>
      <c r="B132" s="262" t="s">
        <v>92</v>
      </c>
      <c r="C132" s="262" t="s">
        <v>44</v>
      </c>
      <c r="D132" s="267" t="s">
        <v>226</v>
      </c>
      <c r="E132" s="265">
        <v>0</v>
      </c>
      <c r="F132" s="266">
        <f t="shared" ref="F132:F163" si="8">E132*0.7</f>
        <v>0</v>
      </c>
      <c r="G132" s="269"/>
    </row>
    <row r="133" spans="1:7" x14ac:dyDescent="0.25">
      <c r="A133" s="198" t="s">
        <v>20</v>
      </c>
      <c r="B133" s="262" t="s">
        <v>93</v>
      </c>
      <c r="C133" s="262" t="s">
        <v>44</v>
      </c>
      <c r="D133" s="267" t="s">
        <v>226</v>
      </c>
      <c r="E133" s="265">
        <v>0</v>
      </c>
      <c r="F133" s="266">
        <f t="shared" si="8"/>
        <v>0</v>
      </c>
      <c r="G133" s="269"/>
    </row>
    <row r="134" spans="1:7" x14ac:dyDescent="0.25">
      <c r="A134" s="198" t="s">
        <v>20</v>
      </c>
      <c r="B134" s="262" t="s">
        <v>92</v>
      </c>
      <c r="C134" s="262" t="s">
        <v>44</v>
      </c>
      <c r="D134" s="267" t="s">
        <v>226</v>
      </c>
      <c r="E134" s="265">
        <v>0</v>
      </c>
      <c r="F134" s="266">
        <f t="shared" si="8"/>
        <v>0</v>
      </c>
      <c r="G134" s="269"/>
    </row>
    <row r="135" spans="1:7" x14ac:dyDescent="0.25">
      <c r="A135" s="198" t="s">
        <v>20</v>
      </c>
      <c r="B135" s="262" t="s">
        <v>94</v>
      </c>
      <c r="C135" s="262" t="s">
        <v>44</v>
      </c>
      <c r="D135" s="267" t="s">
        <v>226</v>
      </c>
      <c r="E135" s="265">
        <v>0</v>
      </c>
      <c r="F135" s="266">
        <f t="shared" si="8"/>
        <v>0</v>
      </c>
      <c r="G135" s="269"/>
    </row>
    <row r="136" spans="1:7" x14ac:dyDescent="0.25">
      <c r="A136" s="198" t="s">
        <v>20</v>
      </c>
      <c r="B136" s="262" t="s">
        <v>95</v>
      </c>
      <c r="C136" s="262" t="s">
        <v>41</v>
      </c>
      <c r="D136" s="267" t="str">
        <f t="shared" ref="D136:E136" si="9">D115</f>
        <v>$/kWh</v>
      </c>
      <c r="E136" s="268">
        <f t="shared" si="9"/>
        <v>0</v>
      </c>
      <c r="F136" s="266">
        <f t="shared" si="8"/>
        <v>0</v>
      </c>
      <c r="G136" s="269"/>
    </row>
    <row r="137" spans="1:7" x14ac:dyDescent="0.25">
      <c r="A137" s="198" t="s">
        <v>20</v>
      </c>
      <c r="B137" s="262" t="s">
        <v>96</v>
      </c>
      <c r="C137" s="262" t="s">
        <v>41</v>
      </c>
      <c r="D137" s="267" t="str">
        <f t="shared" ref="D137:E137" si="10">D116</f>
        <v>$/kWh</v>
      </c>
      <c r="E137" s="268">
        <f t="shared" si="10"/>
        <v>0</v>
      </c>
      <c r="F137" s="266">
        <f t="shared" si="8"/>
        <v>0</v>
      </c>
      <c r="G137" s="269"/>
    </row>
    <row r="138" spans="1:7" x14ac:dyDescent="0.25">
      <c r="A138" s="198" t="s">
        <v>20</v>
      </c>
      <c r="B138" s="262" t="s">
        <v>97</v>
      </c>
      <c r="C138" s="262" t="s">
        <v>41</v>
      </c>
      <c r="D138" s="267" t="str">
        <f t="shared" ref="D138:E138" si="11">D117</f>
        <v>$/kWh</v>
      </c>
      <c r="E138" s="268">
        <f t="shared" si="11"/>
        <v>0</v>
      </c>
      <c r="F138" s="266">
        <f t="shared" si="8"/>
        <v>0</v>
      </c>
      <c r="G138" s="269"/>
    </row>
    <row r="139" spans="1:7" x14ac:dyDescent="0.25">
      <c r="A139" s="198" t="s">
        <v>20</v>
      </c>
      <c r="B139" s="262" t="s">
        <v>98</v>
      </c>
      <c r="C139" s="262" t="s">
        <v>41</v>
      </c>
      <c r="D139" s="267" t="str">
        <f t="shared" ref="D139:E139" si="12">D118</f>
        <v>$/kWh</v>
      </c>
      <c r="E139" s="268">
        <f t="shared" si="12"/>
        <v>0</v>
      </c>
      <c r="F139" s="266">
        <f t="shared" si="8"/>
        <v>0</v>
      </c>
      <c r="G139" s="269"/>
    </row>
    <row r="140" spans="1:7" x14ac:dyDescent="0.25">
      <c r="A140" s="198" t="s">
        <v>20</v>
      </c>
      <c r="B140" s="262" t="s">
        <v>99</v>
      </c>
      <c r="C140" s="262" t="s">
        <v>41</v>
      </c>
      <c r="D140" s="267" t="str">
        <f t="shared" ref="D140:E140" si="13">D119</f>
        <v>$/kWh</v>
      </c>
      <c r="E140" s="268">
        <f t="shared" si="13"/>
        <v>0</v>
      </c>
      <c r="F140" s="266">
        <f t="shared" si="8"/>
        <v>0</v>
      </c>
      <c r="G140" s="269"/>
    </row>
    <row r="141" spans="1:7" x14ac:dyDescent="0.25">
      <c r="A141" s="198" t="s">
        <v>20</v>
      </c>
      <c r="B141" s="262" t="s">
        <v>98</v>
      </c>
      <c r="C141" s="262" t="s">
        <v>41</v>
      </c>
      <c r="D141" s="267" t="str">
        <f t="shared" ref="D141:E141" si="14">D120</f>
        <v>$/kWh</v>
      </c>
      <c r="E141" s="268">
        <f t="shared" si="14"/>
        <v>0</v>
      </c>
      <c r="F141" s="266">
        <f t="shared" si="8"/>
        <v>0</v>
      </c>
      <c r="G141" s="269"/>
    </row>
    <row r="142" spans="1:7" x14ac:dyDescent="0.25">
      <c r="A142" s="198" t="s">
        <v>20</v>
      </c>
      <c r="B142" s="262" t="s">
        <v>100</v>
      </c>
      <c r="C142" s="262" t="s">
        <v>41</v>
      </c>
      <c r="D142" s="267" t="str">
        <f t="shared" ref="D142:E142" si="15">D121</f>
        <v>$/kWh</v>
      </c>
      <c r="E142" s="268">
        <f t="shared" si="15"/>
        <v>0</v>
      </c>
      <c r="F142" s="266">
        <f t="shared" si="8"/>
        <v>0</v>
      </c>
      <c r="G142" s="269"/>
    </row>
    <row r="143" spans="1:7" x14ac:dyDescent="0.25">
      <c r="A143" s="198" t="s">
        <v>20</v>
      </c>
      <c r="B143" s="262" t="s">
        <v>95</v>
      </c>
      <c r="C143" s="262" t="s">
        <v>43</v>
      </c>
      <c r="D143" s="267" t="str">
        <f t="shared" ref="D143:E143" si="16">D122</f>
        <v>$/kWh</v>
      </c>
      <c r="E143" s="268">
        <f t="shared" si="16"/>
        <v>0</v>
      </c>
      <c r="F143" s="266">
        <f t="shared" si="8"/>
        <v>0</v>
      </c>
      <c r="G143" s="269"/>
    </row>
    <row r="144" spans="1:7" x14ac:dyDescent="0.25">
      <c r="A144" s="198" t="s">
        <v>20</v>
      </c>
      <c r="B144" s="262" t="s">
        <v>96</v>
      </c>
      <c r="C144" s="262" t="s">
        <v>43</v>
      </c>
      <c r="D144" s="267" t="str">
        <f t="shared" ref="D144:E144" si="17">D123</f>
        <v>$/kWh</v>
      </c>
      <c r="E144" s="268">
        <f t="shared" si="17"/>
        <v>0</v>
      </c>
      <c r="F144" s="266">
        <f t="shared" si="8"/>
        <v>0</v>
      </c>
      <c r="G144" s="269"/>
    </row>
    <row r="145" spans="1:7" x14ac:dyDescent="0.25">
      <c r="A145" s="198" t="s">
        <v>20</v>
      </c>
      <c r="B145" s="262" t="s">
        <v>97</v>
      </c>
      <c r="C145" s="262" t="s">
        <v>43</v>
      </c>
      <c r="D145" s="267" t="str">
        <f t="shared" ref="D145:E145" si="18">D124</f>
        <v>$/kWh</v>
      </c>
      <c r="E145" s="268">
        <f t="shared" si="18"/>
        <v>0</v>
      </c>
      <c r="F145" s="266">
        <f t="shared" si="8"/>
        <v>0</v>
      </c>
      <c r="G145" s="269"/>
    </row>
    <row r="146" spans="1:7" x14ac:dyDescent="0.25">
      <c r="A146" s="198" t="s">
        <v>20</v>
      </c>
      <c r="B146" s="262" t="s">
        <v>98</v>
      </c>
      <c r="C146" s="262" t="s">
        <v>43</v>
      </c>
      <c r="D146" s="267" t="str">
        <f t="shared" ref="D146:E146" si="19">D125</f>
        <v>$/kWh</v>
      </c>
      <c r="E146" s="268">
        <f t="shared" si="19"/>
        <v>0</v>
      </c>
      <c r="F146" s="266">
        <f t="shared" si="8"/>
        <v>0</v>
      </c>
      <c r="G146" s="269"/>
    </row>
    <row r="147" spans="1:7" x14ac:dyDescent="0.25">
      <c r="A147" s="198" t="s">
        <v>20</v>
      </c>
      <c r="B147" s="262" t="s">
        <v>99</v>
      </c>
      <c r="C147" s="262" t="s">
        <v>43</v>
      </c>
      <c r="D147" s="267" t="str">
        <f t="shared" ref="D147:E147" si="20">D126</f>
        <v>$/kWh</v>
      </c>
      <c r="E147" s="268">
        <f t="shared" si="20"/>
        <v>0</v>
      </c>
      <c r="F147" s="266">
        <f t="shared" si="8"/>
        <v>0</v>
      </c>
      <c r="G147" s="269"/>
    </row>
    <row r="148" spans="1:7" x14ac:dyDescent="0.25">
      <c r="A148" s="198" t="s">
        <v>20</v>
      </c>
      <c r="B148" s="262" t="s">
        <v>98</v>
      </c>
      <c r="C148" s="262" t="s">
        <v>43</v>
      </c>
      <c r="D148" s="267" t="str">
        <f t="shared" ref="D148:E148" si="21">D127</f>
        <v>$/kWh</v>
      </c>
      <c r="E148" s="268">
        <f t="shared" si="21"/>
        <v>0</v>
      </c>
      <c r="F148" s="266">
        <f t="shared" si="8"/>
        <v>0</v>
      </c>
      <c r="G148" s="269"/>
    </row>
    <row r="149" spans="1:7" x14ac:dyDescent="0.25">
      <c r="A149" s="198" t="s">
        <v>20</v>
      </c>
      <c r="B149" s="262" t="s">
        <v>100</v>
      </c>
      <c r="C149" s="262" t="s">
        <v>43</v>
      </c>
      <c r="D149" s="267" t="str">
        <f t="shared" ref="D149:E149" si="22">D128</f>
        <v>$/kWh</v>
      </c>
      <c r="E149" s="268">
        <f t="shared" si="22"/>
        <v>0</v>
      </c>
      <c r="F149" s="266">
        <f t="shared" si="8"/>
        <v>0</v>
      </c>
      <c r="G149" s="269"/>
    </row>
    <row r="150" spans="1:7" x14ac:dyDescent="0.25">
      <c r="A150" s="198" t="s">
        <v>20</v>
      </c>
      <c r="B150" s="262" t="s">
        <v>95</v>
      </c>
      <c r="C150" s="262" t="s">
        <v>44</v>
      </c>
      <c r="D150" s="267" t="str">
        <f t="shared" ref="D150:E150" si="23">D129</f>
        <v>$/kWh</v>
      </c>
      <c r="E150" s="268">
        <f t="shared" si="23"/>
        <v>0</v>
      </c>
      <c r="F150" s="266">
        <f t="shared" si="8"/>
        <v>0</v>
      </c>
      <c r="G150" s="269"/>
    </row>
    <row r="151" spans="1:7" x14ac:dyDescent="0.25">
      <c r="A151" s="198" t="s">
        <v>20</v>
      </c>
      <c r="B151" s="262" t="s">
        <v>96</v>
      </c>
      <c r="C151" s="262" t="s">
        <v>44</v>
      </c>
      <c r="D151" s="267" t="str">
        <f t="shared" ref="D151:E151" si="24">D130</f>
        <v>$/kWh</v>
      </c>
      <c r="E151" s="268">
        <f t="shared" si="24"/>
        <v>0</v>
      </c>
      <c r="F151" s="266">
        <f t="shared" si="8"/>
        <v>0</v>
      </c>
      <c r="G151" s="269"/>
    </row>
    <row r="152" spans="1:7" x14ac:dyDescent="0.25">
      <c r="A152" s="198" t="s">
        <v>20</v>
      </c>
      <c r="B152" s="262" t="s">
        <v>97</v>
      </c>
      <c r="C152" s="262" t="s">
        <v>44</v>
      </c>
      <c r="D152" s="267" t="str">
        <f t="shared" ref="D152:E152" si="25">D131</f>
        <v>$/kWh</v>
      </c>
      <c r="E152" s="268">
        <f t="shared" si="25"/>
        <v>0</v>
      </c>
      <c r="F152" s="266">
        <f t="shared" si="8"/>
        <v>0</v>
      </c>
      <c r="G152" s="269"/>
    </row>
    <row r="153" spans="1:7" x14ac:dyDescent="0.25">
      <c r="A153" s="198" t="s">
        <v>20</v>
      </c>
      <c r="B153" s="262" t="s">
        <v>98</v>
      </c>
      <c r="C153" s="262" t="s">
        <v>44</v>
      </c>
      <c r="D153" s="267" t="str">
        <f t="shared" ref="D153:E153" si="26">D132</f>
        <v>$/kWh</v>
      </c>
      <c r="E153" s="268">
        <f t="shared" si="26"/>
        <v>0</v>
      </c>
      <c r="F153" s="266">
        <f t="shared" si="8"/>
        <v>0</v>
      </c>
      <c r="G153" s="269"/>
    </row>
    <row r="154" spans="1:7" x14ac:dyDescent="0.25">
      <c r="A154" s="198" t="s">
        <v>20</v>
      </c>
      <c r="B154" s="262" t="s">
        <v>99</v>
      </c>
      <c r="C154" s="262" t="s">
        <v>44</v>
      </c>
      <c r="D154" s="267" t="str">
        <f t="shared" ref="D154:E154" si="27">D133</f>
        <v>$/kWh</v>
      </c>
      <c r="E154" s="268">
        <f t="shared" si="27"/>
        <v>0</v>
      </c>
      <c r="F154" s="266">
        <f t="shared" si="8"/>
        <v>0</v>
      </c>
      <c r="G154" s="269"/>
    </row>
    <row r="155" spans="1:7" x14ac:dyDescent="0.25">
      <c r="A155" s="198" t="s">
        <v>20</v>
      </c>
      <c r="B155" s="262" t="s">
        <v>98</v>
      </c>
      <c r="C155" s="262" t="s">
        <v>44</v>
      </c>
      <c r="D155" s="267" t="str">
        <f t="shared" ref="D155:E155" si="28">D134</f>
        <v>$/kWh</v>
      </c>
      <c r="E155" s="268">
        <f t="shared" si="28"/>
        <v>0</v>
      </c>
      <c r="F155" s="266">
        <f t="shared" si="8"/>
        <v>0</v>
      </c>
      <c r="G155" s="269"/>
    </row>
    <row r="156" spans="1:7" x14ac:dyDescent="0.25">
      <c r="A156" s="198" t="s">
        <v>20</v>
      </c>
      <c r="B156" s="262" t="s">
        <v>100</v>
      </c>
      <c r="C156" s="262" t="s">
        <v>44</v>
      </c>
      <c r="D156" s="267" t="str">
        <f t="shared" ref="D156:E156" si="29">D135</f>
        <v>$/kWh</v>
      </c>
      <c r="E156" s="268">
        <f t="shared" si="29"/>
        <v>0</v>
      </c>
      <c r="F156" s="266">
        <f t="shared" si="8"/>
        <v>0</v>
      </c>
      <c r="G156" s="269"/>
    </row>
    <row r="157" spans="1:7" x14ac:dyDescent="0.25">
      <c r="A157" s="198" t="s">
        <v>20</v>
      </c>
      <c r="B157" s="262" t="s">
        <v>101</v>
      </c>
      <c r="C157" s="262" t="s">
        <v>40</v>
      </c>
      <c r="D157" s="267" t="s">
        <v>226</v>
      </c>
      <c r="E157" s="265">
        <v>0</v>
      </c>
      <c r="F157" s="266">
        <f t="shared" si="8"/>
        <v>0</v>
      </c>
      <c r="G157" s="269"/>
    </row>
    <row r="158" spans="1:7" x14ac:dyDescent="0.25">
      <c r="A158" s="198" t="s">
        <v>20</v>
      </c>
      <c r="B158" s="262" t="s">
        <v>101</v>
      </c>
      <c r="C158" s="262" t="s">
        <v>41</v>
      </c>
      <c r="D158" s="267" t="s">
        <v>226</v>
      </c>
      <c r="E158" s="265">
        <v>0</v>
      </c>
      <c r="F158" s="266">
        <f t="shared" si="8"/>
        <v>0</v>
      </c>
      <c r="G158" s="269"/>
    </row>
    <row r="159" spans="1:7" x14ac:dyDescent="0.25">
      <c r="A159" s="198" t="s">
        <v>20</v>
      </c>
      <c r="B159" s="262" t="s">
        <v>101</v>
      </c>
      <c r="C159" s="262" t="s">
        <v>42</v>
      </c>
      <c r="D159" s="267" t="s">
        <v>226</v>
      </c>
      <c r="E159" s="265">
        <v>0</v>
      </c>
      <c r="F159" s="266">
        <f t="shared" si="8"/>
        <v>0</v>
      </c>
      <c r="G159" s="269"/>
    </row>
    <row r="160" spans="1:7" x14ac:dyDescent="0.25">
      <c r="A160" s="198" t="s">
        <v>20</v>
      </c>
      <c r="B160" s="262" t="s">
        <v>101</v>
      </c>
      <c r="C160" s="262" t="s">
        <v>43</v>
      </c>
      <c r="D160" s="267" t="s">
        <v>226</v>
      </c>
      <c r="E160" s="265">
        <v>0</v>
      </c>
      <c r="F160" s="266">
        <f t="shared" si="8"/>
        <v>0</v>
      </c>
      <c r="G160" s="269"/>
    </row>
    <row r="161" spans="1:7" x14ac:dyDescent="0.25">
      <c r="A161" s="198" t="s">
        <v>20</v>
      </c>
      <c r="B161" s="262" t="s">
        <v>101</v>
      </c>
      <c r="C161" s="262" t="s">
        <v>44</v>
      </c>
      <c r="D161" s="267" t="s">
        <v>226</v>
      </c>
      <c r="E161" s="265">
        <v>0</v>
      </c>
      <c r="F161" s="266">
        <f t="shared" si="8"/>
        <v>0</v>
      </c>
      <c r="G161" s="269"/>
    </row>
    <row r="162" spans="1:7" x14ac:dyDescent="0.25">
      <c r="A162" s="198" t="s">
        <v>20</v>
      </c>
      <c r="B162" s="262" t="s">
        <v>101</v>
      </c>
      <c r="C162" s="262" t="s">
        <v>45</v>
      </c>
      <c r="D162" s="267" t="s">
        <v>226</v>
      </c>
      <c r="E162" s="265">
        <v>0</v>
      </c>
      <c r="F162" s="266">
        <f t="shared" si="8"/>
        <v>0</v>
      </c>
      <c r="G162" s="269"/>
    </row>
    <row r="163" spans="1:7" x14ac:dyDescent="0.25">
      <c r="A163" s="198" t="s">
        <v>20</v>
      </c>
      <c r="B163" s="262" t="s">
        <v>102</v>
      </c>
      <c r="C163" s="262" t="s">
        <v>40</v>
      </c>
      <c r="D163" s="267" t="s">
        <v>226</v>
      </c>
      <c r="E163" s="265">
        <v>0</v>
      </c>
      <c r="F163" s="266">
        <f t="shared" si="8"/>
        <v>0</v>
      </c>
      <c r="G163" s="269"/>
    </row>
    <row r="164" spans="1:7" x14ac:dyDescent="0.25">
      <c r="A164" s="198" t="s">
        <v>20</v>
      </c>
      <c r="B164" s="262" t="s">
        <v>102</v>
      </c>
      <c r="C164" s="262" t="s">
        <v>41</v>
      </c>
      <c r="D164" s="267" t="s">
        <v>226</v>
      </c>
      <c r="E164" s="265">
        <v>0</v>
      </c>
      <c r="F164" s="266">
        <f t="shared" ref="F164:F195" si="30">E164*0.7</f>
        <v>0</v>
      </c>
      <c r="G164" s="269"/>
    </row>
    <row r="165" spans="1:7" x14ac:dyDescent="0.25">
      <c r="A165" s="198" t="s">
        <v>20</v>
      </c>
      <c r="B165" s="262" t="s">
        <v>102</v>
      </c>
      <c r="C165" s="262" t="s">
        <v>42</v>
      </c>
      <c r="D165" s="267" t="s">
        <v>226</v>
      </c>
      <c r="E165" s="265">
        <v>0</v>
      </c>
      <c r="F165" s="266">
        <f t="shared" si="30"/>
        <v>0</v>
      </c>
      <c r="G165" s="269"/>
    </row>
    <row r="166" spans="1:7" x14ac:dyDescent="0.25">
      <c r="A166" s="198" t="s">
        <v>20</v>
      </c>
      <c r="B166" s="262" t="s">
        <v>102</v>
      </c>
      <c r="C166" s="262" t="s">
        <v>43</v>
      </c>
      <c r="D166" s="267" t="s">
        <v>226</v>
      </c>
      <c r="E166" s="265">
        <v>0</v>
      </c>
      <c r="F166" s="266">
        <f t="shared" si="30"/>
        <v>0</v>
      </c>
      <c r="G166" s="269"/>
    </row>
    <row r="167" spans="1:7" x14ac:dyDescent="0.25">
      <c r="A167" s="198" t="s">
        <v>20</v>
      </c>
      <c r="B167" s="262" t="s">
        <v>102</v>
      </c>
      <c r="C167" s="262" t="s">
        <v>44</v>
      </c>
      <c r="D167" s="267" t="s">
        <v>226</v>
      </c>
      <c r="E167" s="265">
        <v>0</v>
      </c>
      <c r="F167" s="266">
        <f t="shared" si="30"/>
        <v>0</v>
      </c>
      <c r="G167" s="269"/>
    </row>
    <row r="168" spans="1:7" x14ac:dyDescent="0.25">
      <c r="A168" s="198" t="s">
        <v>20</v>
      </c>
      <c r="B168" s="262" t="s">
        <v>102</v>
      </c>
      <c r="C168" s="262" t="s">
        <v>45</v>
      </c>
      <c r="D168" s="267" t="s">
        <v>226</v>
      </c>
      <c r="E168" s="265">
        <v>0</v>
      </c>
      <c r="F168" s="266">
        <f t="shared" si="30"/>
        <v>0</v>
      </c>
      <c r="G168" s="269"/>
    </row>
    <row r="169" spans="1:7" x14ac:dyDescent="0.25">
      <c r="A169" s="198" t="s">
        <v>20</v>
      </c>
      <c r="B169" s="262" t="s">
        <v>56</v>
      </c>
      <c r="C169" s="262" t="s">
        <v>40</v>
      </c>
      <c r="D169" s="224" t="s">
        <v>215</v>
      </c>
      <c r="E169" s="265">
        <v>0</v>
      </c>
      <c r="F169" s="266">
        <f t="shared" si="30"/>
        <v>0</v>
      </c>
      <c r="G169" s="269"/>
    </row>
    <row r="170" spans="1:7" x14ac:dyDescent="0.25">
      <c r="A170" s="198" t="s">
        <v>20</v>
      </c>
      <c r="B170" s="262" t="s">
        <v>56</v>
      </c>
      <c r="C170" s="262" t="s">
        <v>41</v>
      </c>
      <c r="D170" s="224" t="s">
        <v>215</v>
      </c>
      <c r="E170" s="265">
        <v>0</v>
      </c>
      <c r="F170" s="266">
        <f t="shared" si="30"/>
        <v>0</v>
      </c>
      <c r="G170" s="269"/>
    </row>
    <row r="171" spans="1:7" x14ac:dyDescent="0.25">
      <c r="A171" s="198" t="s">
        <v>20</v>
      </c>
      <c r="B171" s="262" t="s">
        <v>56</v>
      </c>
      <c r="C171" s="262" t="s">
        <v>42</v>
      </c>
      <c r="D171" s="224" t="s">
        <v>215</v>
      </c>
      <c r="E171" s="265">
        <v>0</v>
      </c>
      <c r="F171" s="266">
        <f t="shared" si="30"/>
        <v>0</v>
      </c>
      <c r="G171" s="269"/>
    </row>
    <row r="172" spans="1:7" x14ac:dyDescent="0.25">
      <c r="A172" s="198" t="s">
        <v>20</v>
      </c>
      <c r="B172" s="262" t="s">
        <v>56</v>
      </c>
      <c r="C172" s="262" t="s">
        <v>43</v>
      </c>
      <c r="D172" s="224" t="s">
        <v>215</v>
      </c>
      <c r="E172" s="265">
        <v>0</v>
      </c>
      <c r="F172" s="266">
        <f t="shared" si="30"/>
        <v>0</v>
      </c>
      <c r="G172" s="269"/>
    </row>
    <row r="173" spans="1:7" x14ac:dyDescent="0.25">
      <c r="A173" s="198" t="s">
        <v>20</v>
      </c>
      <c r="B173" s="262" t="s">
        <v>56</v>
      </c>
      <c r="C173" s="262" t="s">
        <v>44</v>
      </c>
      <c r="D173" s="224" t="s">
        <v>215</v>
      </c>
      <c r="E173" s="265">
        <v>0</v>
      </c>
      <c r="F173" s="266">
        <f t="shared" si="30"/>
        <v>0</v>
      </c>
      <c r="G173" s="269"/>
    </row>
    <row r="174" spans="1:7" x14ac:dyDescent="0.25">
      <c r="A174" s="198" t="s">
        <v>20</v>
      </c>
      <c r="B174" s="262" t="s">
        <v>56</v>
      </c>
      <c r="C174" s="262" t="s">
        <v>45</v>
      </c>
      <c r="D174" s="224" t="s">
        <v>215</v>
      </c>
      <c r="E174" s="265">
        <v>0</v>
      </c>
      <c r="F174" s="266">
        <f t="shared" si="30"/>
        <v>0</v>
      </c>
      <c r="G174" s="269"/>
    </row>
    <row r="175" spans="1:7" x14ac:dyDescent="0.25">
      <c r="A175" s="198" t="s">
        <v>20</v>
      </c>
      <c r="B175" s="262" t="s">
        <v>55</v>
      </c>
      <c r="C175" s="262" t="s">
        <v>46</v>
      </c>
      <c r="D175" s="264" t="s">
        <v>221</v>
      </c>
      <c r="E175" s="265">
        <v>0</v>
      </c>
      <c r="F175" s="266">
        <f t="shared" si="30"/>
        <v>0</v>
      </c>
      <c r="G175" s="269"/>
    </row>
    <row r="176" spans="1:7" ht="18" customHeight="1" x14ac:dyDescent="0.25">
      <c r="A176" s="198" t="s">
        <v>20</v>
      </c>
      <c r="B176" s="262" t="s">
        <v>54</v>
      </c>
      <c r="C176" s="262" t="s">
        <v>45</v>
      </c>
      <c r="D176" s="264" t="s">
        <v>221</v>
      </c>
      <c r="E176" s="265">
        <v>0</v>
      </c>
      <c r="F176" s="266">
        <f t="shared" si="30"/>
        <v>0</v>
      </c>
      <c r="G176" s="269"/>
    </row>
    <row r="177" spans="1:7" x14ac:dyDescent="0.25">
      <c r="A177" s="262" t="s">
        <v>13</v>
      </c>
      <c r="B177" s="262" t="s">
        <v>81</v>
      </c>
      <c r="C177" s="262" t="s">
        <v>45</v>
      </c>
      <c r="D177" s="262" t="s">
        <v>77</v>
      </c>
      <c r="E177" s="270">
        <v>5</v>
      </c>
      <c r="F177" s="266">
        <f t="shared" si="30"/>
        <v>3.5</v>
      </c>
      <c r="G177" s="260" t="s">
        <v>228</v>
      </c>
    </row>
    <row r="178" spans="1:7" x14ac:dyDescent="0.25">
      <c r="A178" s="262" t="s">
        <v>13</v>
      </c>
      <c r="B178" s="262" t="s">
        <v>83</v>
      </c>
      <c r="C178" s="262" t="s">
        <v>45</v>
      </c>
      <c r="D178" s="262" t="s">
        <v>77</v>
      </c>
      <c r="E178" s="270">
        <v>25</v>
      </c>
      <c r="F178" s="266">
        <f t="shared" si="30"/>
        <v>17.5</v>
      </c>
      <c r="G178" s="260" t="s">
        <v>229</v>
      </c>
    </row>
    <row r="179" spans="1:7" x14ac:dyDescent="0.25">
      <c r="A179" s="262" t="s">
        <v>13</v>
      </c>
      <c r="B179" s="262" t="s">
        <v>81</v>
      </c>
      <c r="C179" s="262" t="s">
        <v>40</v>
      </c>
      <c r="D179" s="262" t="s">
        <v>77</v>
      </c>
      <c r="E179" s="270">
        <f>E177*1.08</f>
        <v>5.4</v>
      </c>
      <c r="F179" s="266">
        <f t="shared" si="30"/>
        <v>3.78</v>
      </c>
      <c r="G179" s="262" t="s">
        <v>220</v>
      </c>
    </row>
    <row r="180" spans="1:7" x14ac:dyDescent="0.25">
      <c r="A180" s="262" t="s">
        <v>13</v>
      </c>
      <c r="B180" s="262" t="s">
        <v>81</v>
      </c>
      <c r="C180" s="262" t="s">
        <v>42</v>
      </c>
      <c r="D180" s="262" t="s">
        <v>77</v>
      </c>
      <c r="E180" s="270">
        <f>E179</f>
        <v>5.4</v>
      </c>
      <c r="F180" s="266">
        <f t="shared" si="30"/>
        <v>3.78</v>
      </c>
      <c r="G180" s="262" t="s">
        <v>220</v>
      </c>
    </row>
    <row r="181" spans="1:7" x14ac:dyDescent="0.25">
      <c r="A181" s="262" t="s">
        <v>13</v>
      </c>
      <c r="B181" s="262" t="s">
        <v>83</v>
      </c>
      <c r="C181" s="262" t="s">
        <v>40</v>
      </c>
      <c r="D181" s="262" t="s">
        <v>77</v>
      </c>
      <c r="E181" s="271">
        <v>50</v>
      </c>
      <c r="F181" s="266">
        <f t="shared" si="30"/>
        <v>35</v>
      </c>
      <c r="G181" s="260" t="s">
        <v>223</v>
      </c>
    </row>
    <row r="182" spans="1:7" x14ac:dyDescent="0.25">
      <c r="A182" s="262" t="s">
        <v>13</v>
      </c>
      <c r="B182" s="262" t="s">
        <v>85</v>
      </c>
      <c r="C182" s="262" t="s">
        <v>45</v>
      </c>
      <c r="D182" s="262" t="s">
        <v>77</v>
      </c>
      <c r="E182" s="258">
        <v>5</v>
      </c>
      <c r="F182" s="266">
        <f t="shared" si="30"/>
        <v>3.5</v>
      </c>
      <c r="G182" s="260" t="s">
        <v>229</v>
      </c>
    </row>
    <row r="183" spans="1:7" x14ac:dyDescent="0.25">
      <c r="A183" s="262" t="s">
        <v>13</v>
      </c>
      <c r="B183" s="262" t="s">
        <v>85</v>
      </c>
      <c r="C183" s="262" t="s">
        <v>40</v>
      </c>
      <c r="D183" s="262" t="s">
        <v>77</v>
      </c>
      <c r="E183" s="258">
        <v>10</v>
      </c>
      <c r="F183" s="266">
        <f t="shared" si="30"/>
        <v>7</v>
      </c>
      <c r="G183" s="260" t="s">
        <v>230</v>
      </c>
    </row>
    <row r="184" spans="1:7" x14ac:dyDescent="0.25">
      <c r="A184" s="262" t="s">
        <v>13</v>
      </c>
      <c r="B184" s="262" t="s">
        <v>87</v>
      </c>
      <c r="C184" s="262" t="s">
        <v>45</v>
      </c>
      <c r="D184" s="262" t="s">
        <v>77</v>
      </c>
      <c r="E184" s="258">
        <v>5</v>
      </c>
      <c r="F184" s="266">
        <f t="shared" si="30"/>
        <v>3.5</v>
      </c>
      <c r="G184" s="260" t="s">
        <v>231</v>
      </c>
    </row>
    <row r="185" spans="1:7" x14ac:dyDescent="0.25">
      <c r="A185" s="262" t="s">
        <v>13</v>
      </c>
      <c r="B185" s="262" t="s">
        <v>87</v>
      </c>
      <c r="C185" s="262" t="s">
        <v>40</v>
      </c>
      <c r="D185" s="262" t="s">
        <v>77</v>
      </c>
      <c r="E185" s="258">
        <v>10</v>
      </c>
      <c r="F185" s="266">
        <f t="shared" si="30"/>
        <v>7</v>
      </c>
      <c r="G185" s="260" t="s">
        <v>223</v>
      </c>
    </row>
    <row r="186" spans="1:7" x14ac:dyDescent="0.25">
      <c r="A186" s="262" t="s">
        <v>13</v>
      </c>
      <c r="B186" s="262" t="s">
        <v>83</v>
      </c>
      <c r="C186" s="262" t="s">
        <v>42</v>
      </c>
      <c r="D186" s="262" t="s">
        <v>77</v>
      </c>
      <c r="E186" s="271">
        <v>50</v>
      </c>
      <c r="F186" s="266">
        <f t="shared" si="30"/>
        <v>35</v>
      </c>
      <c r="G186" s="260" t="s">
        <v>223</v>
      </c>
    </row>
    <row r="187" spans="1:7" x14ac:dyDescent="0.25">
      <c r="A187" s="262" t="s">
        <v>13</v>
      </c>
      <c r="B187" s="262" t="s">
        <v>87</v>
      </c>
      <c r="C187" s="262" t="s">
        <v>42</v>
      </c>
      <c r="D187" s="262" t="s">
        <v>77</v>
      </c>
      <c r="E187" s="258">
        <v>10</v>
      </c>
      <c r="F187" s="266">
        <f t="shared" si="30"/>
        <v>7</v>
      </c>
      <c r="G187" s="260" t="s">
        <v>223</v>
      </c>
    </row>
    <row r="188" spans="1:7" ht="27.6" x14ac:dyDescent="0.25">
      <c r="A188" s="198" t="s">
        <v>13</v>
      </c>
      <c r="B188" s="262" t="s">
        <v>54</v>
      </c>
      <c r="C188" s="262" t="s">
        <v>45</v>
      </c>
      <c r="D188" s="198" t="s">
        <v>137</v>
      </c>
      <c r="E188" s="230">
        <f>10%*2200*'USD to CAD'!$A$1</f>
        <v>277.2</v>
      </c>
      <c r="F188" s="266">
        <f t="shared" si="30"/>
        <v>194.04</v>
      </c>
      <c r="G188" s="260" t="s">
        <v>468</v>
      </c>
    </row>
    <row r="189" spans="1:7" ht="27.6" x14ac:dyDescent="0.25">
      <c r="A189" s="198" t="s">
        <v>13</v>
      </c>
      <c r="B189" s="262" t="s">
        <v>54</v>
      </c>
      <c r="C189" s="262" t="s">
        <v>40</v>
      </c>
      <c r="D189" s="198" t="s">
        <v>137</v>
      </c>
      <c r="E189" s="230">
        <f>10%*2200*'USD to CAD'!$A$1</f>
        <v>277.2</v>
      </c>
      <c r="F189" s="266">
        <f t="shared" si="30"/>
        <v>194.04</v>
      </c>
      <c r="G189" s="260" t="s">
        <v>468</v>
      </c>
    </row>
    <row r="190" spans="1:7" ht="27.6" x14ac:dyDescent="0.25">
      <c r="A190" s="198" t="s">
        <v>13</v>
      </c>
      <c r="B190" s="262" t="s">
        <v>54</v>
      </c>
      <c r="C190" s="262" t="s">
        <v>41</v>
      </c>
      <c r="D190" s="198" t="s">
        <v>137</v>
      </c>
      <c r="E190" s="230">
        <f>10%*2200*'USD to CAD'!$A$1</f>
        <v>277.2</v>
      </c>
      <c r="F190" s="266">
        <f t="shared" si="30"/>
        <v>194.04</v>
      </c>
      <c r="G190" s="260" t="s">
        <v>468</v>
      </c>
    </row>
    <row r="191" spans="1:7" ht="27.6" x14ac:dyDescent="0.25">
      <c r="A191" s="198" t="s">
        <v>13</v>
      </c>
      <c r="B191" s="262" t="s">
        <v>54</v>
      </c>
      <c r="C191" s="262" t="s">
        <v>42</v>
      </c>
      <c r="D191" s="198" t="s">
        <v>137</v>
      </c>
      <c r="E191" s="230">
        <f>10%*2200*'USD to CAD'!$A$1</f>
        <v>277.2</v>
      </c>
      <c r="F191" s="266">
        <f t="shared" si="30"/>
        <v>194.04</v>
      </c>
      <c r="G191" s="260" t="s">
        <v>468</v>
      </c>
    </row>
    <row r="192" spans="1:7" ht="27.6" x14ac:dyDescent="0.25">
      <c r="A192" s="198" t="s">
        <v>13</v>
      </c>
      <c r="B192" s="262" t="s">
        <v>54</v>
      </c>
      <c r="C192" s="262" t="s">
        <v>43</v>
      </c>
      <c r="D192" s="198" t="s">
        <v>137</v>
      </c>
      <c r="E192" s="230">
        <f>10%*2200*'USD to CAD'!$A$1</f>
        <v>277.2</v>
      </c>
      <c r="F192" s="266">
        <f t="shared" si="30"/>
        <v>194.04</v>
      </c>
      <c r="G192" s="260" t="s">
        <v>468</v>
      </c>
    </row>
    <row r="193" spans="1:7" ht="27.6" x14ac:dyDescent="0.25">
      <c r="A193" s="198" t="s">
        <v>13</v>
      </c>
      <c r="B193" s="262" t="s">
        <v>54</v>
      </c>
      <c r="C193" s="262" t="s">
        <v>44</v>
      </c>
      <c r="D193" s="198" t="s">
        <v>137</v>
      </c>
      <c r="E193" s="230">
        <f>10%*2200*'USD to CAD'!$A$1</f>
        <v>277.2</v>
      </c>
      <c r="F193" s="266">
        <f t="shared" si="30"/>
        <v>194.04</v>
      </c>
      <c r="G193" s="260" t="s">
        <v>468</v>
      </c>
    </row>
    <row r="194" spans="1:7" x14ac:dyDescent="0.25">
      <c r="A194" s="198" t="s">
        <v>13</v>
      </c>
      <c r="B194" s="262" t="s">
        <v>54</v>
      </c>
      <c r="C194" s="262" t="s">
        <v>45</v>
      </c>
      <c r="D194" s="267" t="s">
        <v>221</v>
      </c>
      <c r="E194" s="255">
        <f>50*'USD to CAD'!$A$1</f>
        <v>63</v>
      </c>
      <c r="F194" s="266">
        <f t="shared" si="30"/>
        <v>44.099999999999994</v>
      </c>
      <c r="G194" s="260" t="s">
        <v>224</v>
      </c>
    </row>
    <row r="195" spans="1:7" x14ac:dyDescent="0.25">
      <c r="A195" s="262" t="s">
        <v>13</v>
      </c>
      <c r="B195" s="262" t="s">
        <v>85</v>
      </c>
      <c r="C195" s="262" t="s">
        <v>42</v>
      </c>
      <c r="D195" s="262" t="s">
        <v>77</v>
      </c>
      <c r="E195" s="258">
        <v>10</v>
      </c>
      <c r="F195" s="266">
        <f t="shared" si="30"/>
        <v>7</v>
      </c>
      <c r="G195" s="260" t="s">
        <v>230</v>
      </c>
    </row>
    <row r="196" spans="1:7" x14ac:dyDescent="0.25">
      <c r="A196" s="29"/>
      <c r="B196" s="29"/>
      <c r="C196" s="29"/>
    </row>
    <row r="197" spans="1:7" x14ac:dyDescent="0.25">
      <c r="A197" s="29"/>
      <c r="B197" s="29"/>
      <c r="C197" s="29"/>
    </row>
    <row r="198" spans="1:7" x14ac:dyDescent="0.25">
      <c r="A198" s="29"/>
      <c r="B198" s="29"/>
      <c r="C198" s="29"/>
    </row>
    <row r="199" spans="1:7" x14ac:dyDescent="0.25">
      <c r="A199" s="29"/>
      <c r="B199" s="29"/>
      <c r="C199" s="29"/>
    </row>
    <row r="200" spans="1:7" x14ac:dyDescent="0.25">
      <c r="A200" s="29"/>
      <c r="B200" s="29"/>
      <c r="C200" s="29"/>
    </row>
    <row r="201" spans="1:7" x14ac:dyDescent="0.25">
      <c r="A201" s="29"/>
      <c r="B201" s="29"/>
      <c r="C201" s="29"/>
    </row>
    <row r="202" spans="1:7" x14ac:dyDescent="0.25">
      <c r="A202" s="29"/>
      <c r="B202" s="29"/>
      <c r="C202" s="29"/>
    </row>
    <row r="203" spans="1:7" x14ac:dyDescent="0.25">
      <c r="A203" s="29"/>
      <c r="B203" s="29"/>
      <c r="C203" s="29"/>
    </row>
    <row r="204" spans="1:7" x14ac:dyDescent="0.25">
      <c r="A204" s="29"/>
      <c r="B204" s="29"/>
      <c r="C204" s="29"/>
    </row>
    <row r="205" spans="1:7" x14ac:dyDescent="0.25">
      <c r="A205" s="29"/>
      <c r="B205" s="29"/>
      <c r="C205" s="29"/>
    </row>
    <row r="206" spans="1:7" x14ac:dyDescent="0.25">
      <c r="A206" s="29"/>
      <c r="B206" s="29"/>
      <c r="C206" s="29"/>
    </row>
    <row r="207" spans="1:7" x14ac:dyDescent="0.25">
      <c r="A207" s="29"/>
      <c r="B207" s="29"/>
      <c r="C207" s="29"/>
    </row>
    <row r="208" spans="1:7" x14ac:dyDescent="0.25">
      <c r="A208" s="29"/>
      <c r="B208" s="29"/>
      <c r="C208" s="29"/>
    </row>
    <row r="209" spans="1:3" x14ac:dyDescent="0.25">
      <c r="A209" s="29"/>
      <c r="B209" s="29"/>
      <c r="C209" s="29"/>
    </row>
    <row r="210" spans="1:3" x14ac:dyDescent="0.25">
      <c r="A210" s="29"/>
      <c r="B210" s="29"/>
      <c r="C210" s="29"/>
    </row>
    <row r="211" spans="1:3" x14ac:dyDescent="0.25">
      <c r="A211" s="29"/>
      <c r="B211" s="29"/>
      <c r="C211" s="29"/>
    </row>
    <row r="212" spans="1:3" x14ac:dyDescent="0.25">
      <c r="A212" s="29"/>
      <c r="B212" s="29"/>
      <c r="C212" s="29"/>
    </row>
    <row r="213" spans="1:3" x14ac:dyDescent="0.25">
      <c r="A213" s="29"/>
      <c r="B213" s="29"/>
      <c r="C213" s="29"/>
    </row>
    <row r="214" spans="1:3" x14ac:dyDescent="0.25">
      <c r="A214" s="29"/>
      <c r="B214" s="29"/>
      <c r="C214" s="29"/>
    </row>
    <row r="215" spans="1:3" x14ac:dyDescent="0.25">
      <c r="A215" s="29"/>
      <c r="B215" s="29"/>
      <c r="C215" s="29"/>
    </row>
    <row r="216" spans="1:3" x14ac:dyDescent="0.25">
      <c r="A216" s="29"/>
      <c r="B216" s="29"/>
      <c r="C216" s="29"/>
    </row>
    <row r="217" spans="1:3" x14ac:dyDescent="0.25">
      <c r="A217" s="29"/>
      <c r="B217" s="29"/>
      <c r="C217" s="29"/>
    </row>
    <row r="218" spans="1:3" x14ac:dyDescent="0.25">
      <c r="A218" s="29"/>
      <c r="B218" s="29"/>
      <c r="C218" s="29"/>
    </row>
    <row r="219" spans="1:3" x14ac:dyDescent="0.25">
      <c r="A219" s="29"/>
      <c r="B219" s="29"/>
      <c r="C219" s="29"/>
    </row>
    <row r="220" spans="1:3" x14ac:dyDescent="0.25">
      <c r="A220" s="29"/>
      <c r="B220" s="29"/>
      <c r="C220" s="29"/>
    </row>
    <row r="221" spans="1:3" x14ac:dyDescent="0.25">
      <c r="A221" s="29"/>
      <c r="B221" s="29"/>
      <c r="C221" s="29"/>
    </row>
    <row r="222" spans="1:3" x14ac:dyDescent="0.25">
      <c r="A222" s="29"/>
      <c r="B222" s="29"/>
      <c r="C222" s="29"/>
    </row>
    <row r="223" spans="1:3" x14ac:dyDescent="0.25">
      <c r="A223" s="29"/>
      <c r="B223" s="29"/>
      <c r="C223" s="29"/>
    </row>
    <row r="224" spans="1:3" x14ac:dyDescent="0.25">
      <c r="A224" s="29"/>
      <c r="B224" s="29"/>
      <c r="C224" s="29"/>
    </row>
    <row r="225" spans="1:3" x14ac:dyDescent="0.25">
      <c r="A225" s="29"/>
      <c r="B225" s="29"/>
      <c r="C225" s="29"/>
    </row>
    <row r="226" spans="1:3" x14ac:dyDescent="0.25">
      <c r="A226" s="29"/>
      <c r="B226" s="29"/>
      <c r="C226" s="29"/>
    </row>
    <row r="227" spans="1:3" x14ac:dyDescent="0.25">
      <c r="A227" s="29"/>
      <c r="B227" s="29"/>
      <c r="C227" s="29"/>
    </row>
    <row r="228" spans="1:3" x14ac:dyDescent="0.25">
      <c r="A228" s="29"/>
      <c r="B228" s="29"/>
      <c r="C228" s="29"/>
    </row>
    <row r="229" spans="1:3" x14ac:dyDescent="0.25">
      <c r="A229" s="29"/>
      <c r="B229" s="29"/>
      <c r="C229" s="29"/>
    </row>
    <row r="230" spans="1:3" x14ac:dyDescent="0.25">
      <c r="A230" s="29"/>
      <c r="B230" s="29"/>
      <c r="C230" s="29"/>
    </row>
    <row r="231" spans="1:3" x14ac:dyDescent="0.25">
      <c r="A231" s="29"/>
      <c r="B231" s="29"/>
      <c r="C231" s="29"/>
    </row>
    <row r="232" spans="1:3" x14ac:dyDescent="0.25">
      <c r="A232" s="29"/>
      <c r="B232" s="29"/>
      <c r="C232" s="29"/>
    </row>
    <row r="233" spans="1:3" x14ac:dyDescent="0.25">
      <c r="A233" s="29"/>
      <c r="B233" s="29"/>
      <c r="C233" s="29"/>
    </row>
    <row r="234" spans="1:3" x14ac:dyDescent="0.25">
      <c r="A234" s="29"/>
      <c r="B234" s="29"/>
      <c r="C234" s="29"/>
    </row>
    <row r="235" spans="1:3" x14ac:dyDescent="0.25">
      <c r="A235" s="29"/>
      <c r="B235" s="29"/>
      <c r="C235" s="29"/>
    </row>
    <row r="236" spans="1:3" x14ac:dyDescent="0.25">
      <c r="A236" s="29"/>
      <c r="B236" s="29"/>
      <c r="C236" s="29"/>
    </row>
    <row r="237" spans="1:3" x14ac:dyDescent="0.25">
      <c r="A237" s="29"/>
      <c r="B237" s="29"/>
      <c r="C237" s="29"/>
    </row>
    <row r="238" spans="1:3" x14ac:dyDescent="0.25">
      <c r="A238" s="29"/>
      <c r="B238" s="29"/>
      <c r="C238" s="29"/>
    </row>
    <row r="239" spans="1:3" x14ac:dyDescent="0.25">
      <c r="A239" s="29"/>
      <c r="B239" s="29"/>
      <c r="C239" s="29"/>
    </row>
    <row r="240" spans="1:3" x14ac:dyDescent="0.25">
      <c r="A240" s="29"/>
      <c r="B240" s="29"/>
      <c r="C240" s="29"/>
    </row>
    <row r="241" spans="1:3" x14ac:dyDescent="0.25">
      <c r="A241" s="29"/>
      <c r="B241" s="29"/>
      <c r="C241" s="29"/>
    </row>
    <row r="242" spans="1:3" x14ac:dyDescent="0.25">
      <c r="A242" s="29"/>
      <c r="B242" s="29"/>
      <c r="C242" s="29"/>
    </row>
    <row r="243" spans="1:3" x14ac:dyDescent="0.25">
      <c r="A243" s="29"/>
      <c r="B243" s="29"/>
      <c r="C243" s="29"/>
    </row>
    <row r="244" spans="1:3" x14ac:dyDescent="0.25">
      <c r="A244" s="29"/>
      <c r="B244" s="29"/>
      <c r="C244" s="29"/>
    </row>
    <row r="245" spans="1:3" x14ac:dyDescent="0.25">
      <c r="A245" s="29"/>
      <c r="B245" s="29"/>
      <c r="C245" s="29"/>
    </row>
    <row r="246" spans="1:3" x14ac:dyDescent="0.25">
      <c r="A246" s="29"/>
      <c r="B246" s="29"/>
      <c r="C246" s="29"/>
    </row>
    <row r="247" spans="1:3" x14ac:dyDescent="0.25">
      <c r="A247" s="29"/>
      <c r="B247" s="29"/>
      <c r="C247" s="29"/>
    </row>
    <row r="248" spans="1:3" x14ac:dyDescent="0.25">
      <c r="A248" s="29"/>
      <c r="B248" s="29"/>
      <c r="C248" s="29"/>
    </row>
    <row r="249" spans="1:3" x14ac:dyDescent="0.25">
      <c r="A249" s="29"/>
      <c r="B249" s="29"/>
      <c r="C249" s="29"/>
    </row>
    <row r="250" spans="1:3" x14ac:dyDescent="0.25">
      <c r="A250" s="29"/>
      <c r="B250" s="29"/>
      <c r="C250" s="29"/>
    </row>
    <row r="251" spans="1:3" x14ac:dyDescent="0.25">
      <c r="A251" s="29"/>
      <c r="B251" s="29"/>
      <c r="C251" s="29"/>
    </row>
    <row r="252" spans="1:3" x14ac:dyDescent="0.25">
      <c r="A252" s="29"/>
      <c r="B252" s="29"/>
      <c r="C252" s="29"/>
    </row>
    <row r="253" spans="1:3" x14ac:dyDescent="0.25">
      <c r="A253" s="29"/>
      <c r="B253" s="29"/>
      <c r="C253" s="29"/>
    </row>
    <row r="254" spans="1:3" x14ac:dyDescent="0.25">
      <c r="A254" s="29"/>
      <c r="B254" s="29"/>
      <c r="C254" s="29"/>
    </row>
    <row r="255" spans="1:3" x14ac:dyDescent="0.25">
      <c r="A255" s="29"/>
      <c r="B255" s="29"/>
      <c r="C255" s="29"/>
    </row>
    <row r="256" spans="1:3" x14ac:dyDescent="0.25">
      <c r="A256" s="29"/>
      <c r="B256" s="29"/>
      <c r="C256" s="29"/>
    </row>
    <row r="257" spans="1:3" x14ac:dyDescent="0.25">
      <c r="A257" s="29"/>
      <c r="B257" s="29"/>
      <c r="C257" s="29"/>
    </row>
    <row r="258" spans="1:3" x14ac:dyDescent="0.25">
      <c r="A258" s="29"/>
      <c r="B258" s="29"/>
      <c r="C258" s="29"/>
    </row>
    <row r="259" spans="1:3" x14ac:dyDescent="0.25">
      <c r="A259" s="29"/>
      <c r="B259" s="29"/>
      <c r="C259" s="29"/>
    </row>
    <row r="260" spans="1:3" x14ac:dyDescent="0.25">
      <c r="A260" s="29"/>
      <c r="B260" s="29"/>
      <c r="C260" s="29"/>
    </row>
    <row r="261" spans="1:3" x14ac:dyDescent="0.25">
      <c r="A261" s="29"/>
      <c r="B261" s="29"/>
      <c r="C261" s="29"/>
    </row>
    <row r="262" spans="1:3" x14ac:dyDescent="0.25">
      <c r="A262" s="29"/>
      <c r="B262" s="29"/>
      <c r="C262" s="29"/>
    </row>
    <row r="263" spans="1:3" x14ac:dyDescent="0.25">
      <c r="A263" s="29"/>
      <c r="B263" s="29"/>
      <c r="C263" s="29"/>
    </row>
    <row r="264" spans="1:3" x14ac:dyDescent="0.25">
      <c r="A264" s="29"/>
      <c r="B264" s="29"/>
      <c r="C264" s="29"/>
    </row>
    <row r="265" spans="1:3" x14ac:dyDescent="0.25">
      <c r="A265" s="29"/>
      <c r="B265" s="29"/>
      <c r="C265" s="29"/>
    </row>
    <row r="266" spans="1:3" x14ac:dyDescent="0.25">
      <c r="A266" s="29"/>
      <c r="B266" s="29"/>
      <c r="C266" s="29"/>
    </row>
    <row r="267" spans="1:3" x14ac:dyDescent="0.25">
      <c r="A267" s="29"/>
      <c r="B267" s="29"/>
      <c r="C267" s="29"/>
    </row>
    <row r="268" spans="1:3" x14ac:dyDescent="0.25">
      <c r="A268" s="29"/>
      <c r="B268" s="29"/>
      <c r="C268" s="29"/>
    </row>
    <row r="269" spans="1:3" x14ac:dyDescent="0.25">
      <c r="A269" s="29"/>
      <c r="B269" s="29"/>
      <c r="C269" s="29"/>
    </row>
    <row r="270" spans="1:3" x14ac:dyDescent="0.25">
      <c r="A270" s="29"/>
      <c r="B270" s="29"/>
      <c r="C270" s="29"/>
    </row>
    <row r="271" spans="1:3" x14ac:dyDescent="0.25">
      <c r="A271" s="29"/>
      <c r="B271" s="29"/>
      <c r="C271" s="29"/>
    </row>
    <row r="272" spans="1:3" x14ac:dyDescent="0.25">
      <c r="A272" s="29"/>
      <c r="B272" s="29"/>
      <c r="C272" s="29"/>
    </row>
    <row r="273" spans="1:3" x14ac:dyDescent="0.25">
      <c r="A273" s="29"/>
      <c r="B273" s="29"/>
      <c r="C273" s="29"/>
    </row>
    <row r="274" spans="1:3" x14ac:dyDescent="0.25">
      <c r="A274" s="29"/>
      <c r="B274" s="29"/>
      <c r="C274" s="29"/>
    </row>
    <row r="275" spans="1:3" x14ac:dyDescent="0.25">
      <c r="A275" s="29"/>
      <c r="B275" s="29"/>
      <c r="C275" s="29"/>
    </row>
    <row r="276" spans="1:3" x14ac:dyDescent="0.25">
      <c r="A276" s="29"/>
      <c r="B276" s="29"/>
      <c r="C276" s="29"/>
    </row>
    <row r="277" spans="1:3" x14ac:dyDescent="0.25">
      <c r="A277" s="29"/>
      <c r="B277" s="29"/>
      <c r="C277" s="29"/>
    </row>
    <row r="278" spans="1:3" x14ac:dyDescent="0.25">
      <c r="A278" s="29"/>
      <c r="B278" s="29"/>
      <c r="C278" s="29"/>
    </row>
    <row r="279" spans="1:3" x14ac:dyDescent="0.25">
      <c r="A279" s="29"/>
      <c r="B279" s="29"/>
      <c r="C279" s="29"/>
    </row>
    <row r="280" spans="1:3" x14ac:dyDescent="0.25">
      <c r="A280" s="29"/>
      <c r="B280" s="29"/>
      <c r="C280" s="29"/>
    </row>
    <row r="281" spans="1:3" x14ac:dyDescent="0.25">
      <c r="A281" s="29"/>
      <c r="B281" s="29"/>
      <c r="C281" s="29"/>
    </row>
    <row r="282" spans="1:3" x14ac:dyDescent="0.25">
      <c r="A282" s="29"/>
      <c r="B282" s="29"/>
      <c r="C282" s="29"/>
    </row>
    <row r="283" spans="1:3" x14ac:dyDescent="0.25">
      <c r="A283" s="29"/>
      <c r="B283" s="29"/>
      <c r="C283" s="29"/>
    </row>
    <row r="284" spans="1:3" x14ac:dyDescent="0.25">
      <c r="A284" s="29"/>
      <c r="B284" s="29"/>
      <c r="C284" s="29"/>
    </row>
    <row r="285" spans="1:3" x14ac:dyDescent="0.25">
      <c r="A285" s="29"/>
      <c r="B285" s="29"/>
      <c r="C285" s="29"/>
    </row>
    <row r="286" spans="1:3" x14ac:dyDescent="0.25">
      <c r="A286" s="29"/>
      <c r="B286" s="29"/>
      <c r="C286" s="29"/>
    </row>
    <row r="287" spans="1:3" x14ac:dyDescent="0.25">
      <c r="A287" s="29"/>
      <c r="B287" s="29"/>
      <c r="C287" s="29"/>
    </row>
    <row r="288" spans="1:3" x14ac:dyDescent="0.25">
      <c r="A288" s="29"/>
      <c r="B288" s="29"/>
      <c r="C288" s="29"/>
    </row>
    <row r="289" spans="1:3" x14ac:dyDescent="0.25">
      <c r="A289" s="29"/>
      <c r="B289" s="29"/>
      <c r="C289" s="29"/>
    </row>
    <row r="290" spans="1:3" x14ac:dyDescent="0.25">
      <c r="A290" s="29"/>
      <c r="B290" s="29"/>
      <c r="C290" s="29"/>
    </row>
    <row r="291" spans="1:3" x14ac:dyDescent="0.25">
      <c r="A291" s="29"/>
      <c r="B291" s="29"/>
      <c r="C291" s="29"/>
    </row>
    <row r="292" spans="1:3" x14ac:dyDescent="0.25">
      <c r="A292" s="29"/>
      <c r="B292" s="29"/>
      <c r="C292" s="29"/>
    </row>
    <row r="293" spans="1:3" x14ac:dyDescent="0.25">
      <c r="A293" s="29"/>
      <c r="B293" s="29"/>
      <c r="C293" s="29"/>
    </row>
    <row r="294" spans="1:3" x14ac:dyDescent="0.25">
      <c r="A294" s="29"/>
      <c r="B294" s="29"/>
      <c r="C294" s="29"/>
    </row>
    <row r="295" spans="1:3" x14ac:dyDescent="0.25">
      <c r="A295" s="29"/>
      <c r="B295" s="29"/>
      <c r="C295" s="29"/>
    </row>
    <row r="296" spans="1:3" x14ac:dyDescent="0.25">
      <c r="A296" s="29"/>
      <c r="B296" s="29"/>
      <c r="C296" s="29"/>
    </row>
    <row r="297" spans="1:3" x14ac:dyDescent="0.25">
      <c r="A297" s="29"/>
      <c r="B297" s="29"/>
      <c r="C297" s="29"/>
    </row>
    <row r="298" spans="1:3" x14ac:dyDescent="0.25">
      <c r="A298" s="29"/>
      <c r="B298" s="29"/>
      <c r="C298" s="29"/>
    </row>
    <row r="299" spans="1:3" x14ac:dyDescent="0.25">
      <c r="A299" s="29"/>
      <c r="B299" s="29"/>
      <c r="C299" s="29"/>
    </row>
    <row r="300" spans="1:3" x14ac:dyDescent="0.25">
      <c r="A300" s="29"/>
      <c r="B300" s="29"/>
      <c r="C300" s="29"/>
    </row>
    <row r="301" spans="1:3" x14ac:dyDescent="0.25">
      <c r="A301" s="29"/>
      <c r="B301" s="29"/>
      <c r="C301" s="29"/>
    </row>
    <row r="302" spans="1:3" x14ac:dyDescent="0.25">
      <c r="A302" s="29"/>
      <c r="B302" s="29"/>
      <c r="C302" s="29"/>
    </row>
    <row r="303" spans="1:3" x14ac:dyDescent="0.25">
      <c r="A303" s="29"/>
      <c r="B303" s="29"/>
      <c r="C303" s="29"/>
    </row>
    <row r="304" spans="1:3" x14ac:dyDescent="0.25">
      <c r="A304" s="29"/>
      <c r="B304" s="29"/>
      <c r="C304" s="29"/>
    </row>
    <row r="305" spans="1:3" x14ac:dyDescent="0.25">
      <c r="A305" s="29"/>
      <c r="B305" s="29"/>
      <c r="C305" s="29"/>
    </row>
    <row r="306" spans="1:3" x14ac:dyDescent="0.25">
      <c r="A306" s="29"/>
      <c r="B306" s="29"/>
      <c r="C306" s="29"/>
    </row>
    <row r="307" spans="1:3" x14ac:dyDescent="0.25">
      <c r="A307" s="29"/>
      <c r="B307" s="29"/>
      <c r="C307" s="29"/>
    </row>
    <row r="308" spans="1:3" x14ac:dyDescent="0.25">
      <c r="A308" s="29"/>
      <c r="B308" s="29"/>
      <c r="C308" s="29"/>
    </row>
    <row r="309" spans="1:3" x14ac:dyDescent="0.25">
      <c r="A309" s="29"/>
      <c r="B309" s="29"/>
      <c r="C309" s="29"/>
    </row>
    <row r="310" spans="1:3" x14ac:dyDescent="0.25">
      <c r="A310" s="29"/>
      <c r="B310" s="29"/>
      <c r="C310" s="29"/>
    </row>
    <row r="311" spans="1:3" x14ac:dyDescent="0.25">
      <c r="A311" s="29"/>
      <c r="B311" s="29"/>
      <c r="C311" s="29"/>
    </row>
    <row r="312" spans="1:3" x14ac:dyDescent="0.25">
      <c r="A312" s="29"/>
      <c r="B312" s="29"/>
      <c r="C312" s="29"/>
    </row>
    <row r="313" spans="1:3" x14ac:dyDescent="0.25">
      <c r="A313" s="29"/>
      <c r="B313" s="29"/>
      <c r="C313" s="29"/>
    </row>
    <row r="314" spans="1:3" x14ac:dyDescent="0.25">
      <c r="A314" s="29"/>
      <c r="B314" s="29"/>
      <c r="C314" s="29"/>
    </row>
    <row r="315" spans="1:3" x14ac:dyDescent="0.25">
      <c r="A315" s="29"/>
      <c r="B315" s="29"/>
      <c r="C315" s="29"/>
    </row>
    <row r="316" spans="1:3" x14ac:dyDescent="0.25">
      <c r="A316" s="29"/>
      <c r="B316" s="29"/>
      <c r="C316" s="29"/>
    </row>
    <row r="317" spans="1:3" x14ac:dyDescent="0.25">
      <c r="A317" s="29"/>
      <c r="B317" s="29"/>
      <c r="C317" s="29"/>
    </row>
    <row r="318" spans="1:3" x14ac:dyDescent="0.25">
      <c r="A318" s="29"/>
      <c r="B318" s="29"/>
      <c r="C318" s="29"/>
    </row>
    <row r="319" spans="1:3" x14ac:dyDescent="0.25">
      <c r="A319" s="29"/>
      <c r="B319" s="29"/>
      <c r="C319" s="29"/>
    </row>
    <row r="320" spans="1:3" x14ac:dyDescent="0.25">
      <c r="A320" s="29"/>
      <c r="B320" s="29"/>
      <c r="C320" s="29"/>
    </row>
    <row r="321" spans="1:3" x14ac:dyDescent="0.25">
      <c r="A321" s="29"/>
      <c r="B321" s="29"/>
      <c r="C321" s="29"/>
    </row>
    <row r="322" spans="1:3" x14ac:dyDescent="0.25">
      <c r="A322" s="29"/>
      <c r="B322" s="29"/>
      <c r="C322" s="29"/>
    </row>
    <row r="323" spans="1:3" x14ac:dyDescent="0.25">
      <c r="A323" s="29"/>
      <c r="B323" s="29"/>
      <c r="C323" s="29"/>
    </row>
    <row r="324" spans="1:3" x14ac:dyDescent="0.25">
      <c r="A324" s="29"/>
      <c r="B324" s="29"/>
      <c r="C324" s="29"/>
    </row>
    <row r="325" spans="1:3" x14ac:dyDescent="0.25">
      <c r="A325" s="29"/>
      <c r="B325" s="29"/>
      <c r="C325" s="29"/>
    </row>
    <row r="326" spans="1:3" x14ac:dyDescent="0.25">
      <c r="A326" s="29"/>
      <c r="B326" s="29"/>
      <c r="C326" s="29"/>
    </row>
    <row r="327" spans="1:3" x14ac:dyDescent="0.25">
      <c r="A327" s="29"/>
      <c r="B327" s="29"/>
      <c r="C327" s="29"/>
    </row>
    <row r="328" spans="1:3" x14ac:dyDescent="0.25">
      <c r="A328" s="29"/>
      <c r="B328" s="29"/>
      <c r="C328" s="29"/>
    </row>
    <row r="329" spans="1:3" x14ac:dyDescent="0.25">
      <c r="A329" s="29"/>
      <c r="B329" s="29"/>
      <c r="C329" s="29"/>
    </row>
    <row r="330" spans="1:3" x14ac:dyDescent="0.25">
      <c r="A330" s="29"/>
      <c r="B330" s="29"/>
      <c r="C330" s="29"/>
    </row>
    <row r="331" spans="1:3" x14ac:dyDescent="0.25">
      <c r="A331" s="29"/>
      <c r="B331" s="29"/>
      <c r="C331" s="29"/>
    </row>
    <row r="332" spans="1:3" x14ac:dyDescent="0.25">
      <c r="A332" s="29"/>
      <c r="B332" s="29"/>
      <c r="C332" s="29"/>
    </row>
    <row r="333" spans="1:3" x14ac:dyDescent="0.25">
      <c r="A333" s="29"/>
      <c r="B333" s="29"/>
      <c r="C333" s="29"/>
    </row>
    <row r="334" spans="1:3" x14ac:dyDescent="0.25">
      <c r="A334" s="29"/>
      <c r="B334" s="29"/>
      <c r="C334" s="29"/>
    </row>
    <row r="335" spans="1:3" x14ac:dyDescent="0.25">
      <c r="A335" s="29"/>
      <c r="B335" s="29"/>
      <c r="C335" s="29"/>
    </row>
    <row r="336" spans="1:3" x14ac:dyDescent="0.25">
      <c r="A336" s="29"/>
      <c r="B336" s="29"/>
      <c r="C336" s="29"/>
    </row>
    <row r="337" spans="1:3" x14ac:dyDescent="0.25">
      <c r="A337" s="29"/>
      <c r="B337" s="29"/>
      <c r="C337" s="29"/>
    </row>
    <row r="338" spans="1:3" x14ac:dyDescent="0.25">
      <c r="A338" s="29"/>
      <c r="B338" s="29"/>
      <c r="C338" s="29"/>
    </row>
    <row r="339" spans="1:3" x14ac:dyDescent="0.25">
      <c r="A339" s="29"/>
      <c r="B339" s="29"/>
      <c r="C339" s="29"/>
    </row>
    <row r="340" spans="1:3" x14ac:dyDescent="0.25">
      <c r="A340" s="29"/>
      <c r="B340" s="29"/>
      <c r="C340" s="29"/>
    </row>
    <row r="341" spans="1:3" x14ac:dyDescent="0.25">
      <c r="A341" s="29"/>
      <c r="B341" s="29"/>
      <c r="C341" s="29"/>
    </row>
    <row r="342" spans="1:3" x14ac:dyDescent="0.25">
      <c r="A342" s="29"/>
      <c r="B342" s="29"/>
      <c r="C342" s="29"/>
    </row>
    <row r="343" spans="1:3" x14ac:dyDescent="0.25">
      <c r="A343" s="29"/>
      <c r="B343" s="29"/>
      <c r="C343" s="29"/>
    </row>
    <row r="344" spans="1:3" x14ac:dyDescent="0.25">
      <c r="A344" s="29"/>
      <c r="B344" s="29"/>
      <c r="C344" s="29"/>
    </row>
    <row r="345" spans="1:3" x14ac:dyDescent="0.25">
      <c r="A345" s="29"/>
      <c r="B345" s="29"/>
      <c r="C345" s="29"/>
    </row>
    <row r="346" spans="1:3" x14ac:dyDescent="0.25">
      <c r="A346" s="29"/>
      <c r="B346" s="29"/>
      <c r="C346" s="29"/>
    </row>
    <row r="347" spans="1:3" x14ac:dyDescent="0.25">
      <c r="A347" s="29"/>
      <c r="B347" s="29"/>
      <c r="C347" s="29"/>
    </row>
    <row r="348" spans="1:3" x14ac:dyDescent="0.25">
      <c r="A348" s="29"/>
      <c r="B348" s="29"/>
      <c r="C348" s="29"/>
    </row>
    <row r="349" spans="1:3" x14ac:dyDescent="0.25">
      <c r="A349" s="29"/>
      <c r="B349" s="29"/>
      <c r="C349" s="29"/>
    </row>
    <row r="350" spans="1:3" x14ac:dyDescent="0.25">
      <c r="A350" s="29"/>
      <c r="B350" s="29"/>
      <c r="C350" s="29"/>
    </row>
    <row r="351" spans="1:3" x14ac:dyDescent="0.25">
      <c r="A351" s="29"/>
      <c r="B351" s="29"/>
      <c r="C351" s="29"/>
    </row>
    <row r="352" spans="1:3" x14ac:dyDescent="0.25">
      <c r="A352" s="29"/>
      <c r="B352" s="29"/>
      <c r="C352" s="29"/>
    </row>
    <row r="353" spans="1:3" x14ac:dyDescent="0.25">
      <c r="A353" s="29"/>
      <c r="B353" s="29"/>
      <c r="C353" s="29"/>
    </row>
    <row r="354" spans="1:3" x14ac:dyDescent="0.25">
      <c r="A354" s="29"/>
      <c r="B354" s="29"/>
      <c r="C354" s="29"/>
    </row>
    <row r="355" spans="1:3" x14ac:dyDescent="0.25">
      <c r="A355" s="29"/>
      <c r="B355" s="29"/>
      <c r="C355" s="29"/>
    </row>
    <row r="356" spans="1:3" x14ac:dyDescent="0.25">
      <c r="A356" s="29"/>
      <c r="B356" s="29"/>
      <c r="C356" s="29"/>
    </row>
    <row r="357" spans="1:3" x14ac:dyDescent="0.25">
      <c r="A357" s="29"/>
      <c r="B357" s="29"/>
      <c r="C357" s="29"/>
    </row>
    <row r="358" spans="1:3" x14ac:dyDescent="0.25">
      <c r="A358" s="29"/>
      <c r="B358" s="29"/>
      <c r="C358" s="29"/>
    </row>
    <row r="359" spans="1:3" x14ac:dyDescent="0.25">
      <c r="A359" s="29"/>
      <c r="B359" s="29"/>
      <c r="C359" s="29"/>
    </row>
    <row r="360" spans="1:3" x14ac:dyDescent="0.25">
      <c r="A360" s="29"/>
      <c r="B360" s="29"/>
      <c r="C360" s="29"/>
    </row>
    <row r="361" spans="1:3" x14ac:dyDescent="0.25">
      <c r="A361" s="29"/>
      <c r="B361" s="29"/>
      <c r="C361" s="29"/>
    </row>
    <row r="362" spans="1:3" x14ac:dyDescent="0.25">
      <c r="A362" s="29"/>
      <c r="B362" s="29"/>
      <c r="C362" s="29"/>
    </row>
    <row r="363" spans="1:3" x14ac:dyDescent="0.25">
      <c r="A363" s="29"/>
      <c r="B363" s="29"/>
      <c r="C363" s="29"/>
    </row>
    <row r="364" spans="1:3" x14ac:dyDescent="0.25">
      <c r="A364" s="29"/>
      <c r="B364" s="29"/>
      <c r="C364" s="29"/>
    </row>
    <row r="365" spans="1:3" x14ac:dyDescent="0.25">
      <c r="A365" s="29"/>
      <c r="B365" s="29"/>
      <c r="C365" s="29"/>
    </row>
    <row r="366" spans="1:3" x14ac:dyDescent="0.25">
      <c r="A366" s="29"/>
      <c r="B366" s="29"/>
      <c r="C366" s="29"/>
    </row>
    <row r="367" spans="1:3" x14ac:dyDescent="0.25">
      <c r="A367" s="29"/>
      <c r="B367" s="29"/>
      <c r="C367" s="29"/>
    </row>
    <row r="368" spans="1:3" x14ac:dyDescent="0.25">
      <c r="A368" s="29"/>
      <c r="B368" s="29"/>
      <c r="C368" s="29"/>
    </row>
    <row r="369" spans="1:3" x14ac:dyDescent="0.25">
      <c r="A369" s="29"/>
      <c r="B369" s="29"/>
      <c r="C369" s="29"/>
    </row>
    <row r="370" spans="1:3" x14ac:dyDescent="0.25">
      <c r="A370" s="29"/>
      <c r="B370" s="29"/>
      <c r="C370" s="29"/>
    </row>
    <row r="371" spans="1:3" x14ac:dyDescent="0.25">
      <c r="A371" s="29"/>
      <c r="B371" s="29"/>
      <c r="C371" s="29"/>
    </row>
    <row r="372" spans="1:3" x14ac:dyDescent="0.25">
      <c r="A372" s="29"/>
      <c r="B372" s="29"/>
      <c r="C372" s="29"/>
    </row>
    <row r="373" spans="1:3" x14ac:dyDescent="0.25">
      <c r="A373" s="29"/>
      <c r="B373" s="29"/>
      <c r="C373" s="29"/>
    </row>
    <row r="374" spans="1:3" x14ac:dyDescent="0.25">
      <c r="A374" s="29"/>
      <c r="B374" s="29"/>
      <c r="C374" s="29"/>
    </row>
    <row r="375" spans="1:3" x14ac:dyDescent="0.25">
      <c r="A375" s="29"/>
      <c r="B375" s="29"/>
      <c r="C375" s="29"/>
    </row>
    <row r="376" spans="1:3" x14ac:dyDescent="0.25">
      <c r="A376" s="29"/>
      <c r="B376" s="29"/>
      <c r="C376" s="29"/>
    </row>
    <row r="377" spans="1:3" x14ac:dyDescent="0.25">
      <c r="A377" s="29"/>
      <c r="B377" s="29"/>
      <c r="C377" s="29"/>
    </row>
    <row r="378" spans="1:3" x14ac:dyDescent="0.25">
      <c r="A378" s="29"/>
      <c r="B378" s="29"/>
      <c r="C378" s="29"/>
    </row>
    <row r="379" spans="1:3" x14ac:dyDescent="0.25">
      <c r="A379" s="29"/>
      <c r="B379" s="29"/>
      <c r="C379" s="29"/>
    </row>
    <row r="380" spans="1:3" x14ac:dyDescent="0.25">
      <c r="A380" s="29"/>
      <c r="B380" s="29"/>
      <c r="C380" s="29"/>
    </row>
    <row r="381" spans="1:3" x14ac:dyDescent="0.25">
      <c r="A381" s="29"/>
      <c r="B381" s="29"/>
      <c r="C381" s="29"/>
    </row>
  </sheetData>
  <autoFilter ref="A3:G195" xr:uid="{32350CFC-B8AB-4D1F-B878-A0C52DE8CA7D}"/>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F253622-CFBA-4376-AC87-92A091429A2A}">
          <x14:formula1>
            <xm:f>EditableIndexes!$E$5:$E$33</xm:f>
          </x14:formula1>
          <xm:sqref>B115:B156 B35:B36 B37:C76</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tabColor theme="7" tint="0.39997558519241921"/>
  </sheetPr>
  <dimension ref="A1:F54"/>
  <sheetViews>
    <sheetView zoomScale="90" zoomScaleNormal="90" workbookViewId="0">
      <selection activeCell="F7" sqref="F7"/>
    </sheetView>
  </sheetViews>
  <sheetFormatPr defaultColWidth="9.09765625" defaultRowHeight="13.8" outlineLevelRow="1" x14ac:dyDescent="0.25"/>
  <cols>
    <col min="1" max="1" width="12.09765625" customWidth="1"/>
    <col min="2" max="2" width="43.796875" style="2" customWidth="1"/>
    <col min="3" max="3" width="21.69921875" style="2" customWidth="1"/>
    <col min="4" max="4" width="15.59765625" customWidth="1"/>
    <col min="5" max="5" width="20.296875" customWidth="1"/>
    <col min="6" max="6" width="116.5" customWidth="1"/>
    <col min="7" max="7" width="11.19921875" customWidth="1"/>
    <col min="8" max="10" width="10.296875" customWidth="1"/>
  </cols>
  <sheetData>
    <row r="1" spans="1:6" ht="50.1" customHeight="1" outlineLevel="1" x14ac:dyDescent="0.25">
      <c r="B1" s="7"/>
      <c r="C1" s="7"/>
    </row>
    <row r="2" spans="1:6" ht="17.25" customHeight="1" outlineLevel="1" x14ac:dyDescent="0.25">
      <c r="A2" s="65" t="s">
        <v>7</v>
      </c>
      <c r="B2" s="63" t="s">
        <v>130</v>
      </c>
      <c r="C2"/>
    </row>
    <row r="3" spans="1:6" s="9" customFormat="1" ht="28.8" x14ac:dyDescent="0.25">
      <c r="A3" s="147" t="s">
        <v>23</v>
      </c>
      <c r="B3" s="147" t="s">
        <v>233</v>
      </c>
      <c r="C3" s="147" t="s">
        <v>234</v>
      </c>
      <c r="D3" s="147" t="s">
        <v>4</v>
      </c>
      <c r="E3" s="147" t="s">
        <v>132</v>
      </c>
      <c r="F3" s="147" t="s">
        <v>26</v>
      </c>
    </row>
    <row r="4" spans="1:6" s="9" customFormat="1" ht="30" customHeight="1" x14ac:dyDescent="0.25">
      <c r="A4" s="190" t="s">
        <v>13</v>
      </c>
      <c r="B4" s="139" t="s">
        <v>50</v>
      </c>
      <c r="C4" s="139" t="s">
        <v>45</v>
      </c>
      <c r="D4" s="272">
        <v>0</v>
      </c>
      <c r="E4" s="190" t="s">
        <v>221</v>
      </c>
      <c r="F4" s="204" t="s">
        <v>235</v>
      </c>
    </row>
    <row r="5" spans="1:6" s="9" customFormat="1" ht="30" customHeight="1" x14ac:dyDescent="0.25">
      <c r="A5" s="190" t="s">
        <v>13</v>
      </c>
      <c r="B5" s="139" t="s">
        <v>50</v>
      </c>
      <c r="C5" s="139" t="s">
        <v>40</v>
      </c>
      <c r="D5" s="272">
        <v>0</v>
      </c>
      <c r="E5" s="190" t="s">
        <v>221</v>
      </c>
      <c r="F5" s="204" t="s">
        <v>235</v>
      </c>
    </row>
    <row r="6" spans="1:6" s="9" customFormat="1" ht="30" customHeight="1" x14ac:dyDescent="0.25">
      <c r="A6" s="190" t="s">
        <v>13</v>
      </c>
      <c r="B6" s="139" t="s">
        <v>50</v>
      </c>
      <c r="C6" s="139" t="s">
        <v>42</v>
      </c>
      <c r="D6" s="272">
        <v>0</v>
      </c>
      <c r="E6" s="190" t="s">
        <v>221</v>
      </c>
      <c r="F6" s="204" t="s">
        <v>235</v>
      </c>
    </row>
    <row r="7" spans="1:6" s="2" customFormat="1" ht="59.55" customHeight="1" x14ac:dyDescent="0.25">
      <c r="A7" s="190" t="s">
        <v>13</v>
      </c>
      <c r="B7" s="138" t="s">
        <v>52</v>
      </c>
      <c r="C7" s="161" t="s">
        <v>41</v>
      </c>
      <c r="D7" s="273">
        <f>(50*0.5)*'USD to CAD'!$A$1</f>
        <v>31.5</v>
      </c>
      <c r="E7" s="190" t="s">
        <v>221</v>
      </c>
      <c r="F7" s="193" t="s">
        <v>545</v>
      </c>
    </row>
    <row r="8" spans="1:6" ht="41.4" x14ac:dyDescent="0.25">
      <c r="A8" s="190" t="s">
        <v>13</v>
      </c>
      <c r="B8" s="138" t="s">
        <v>52</v>
      </c>
      <c r="C8" s="161" t="s">
        <v>43</v>
      </c>
      <c r="D8" s="273">
        <f>(50*0.5)*'USD to CAD'!$A$1</f>
        <v>31.5</v>
      </c>
      <c r="E8" s="190" t="s">
        <v>221</v>
      </c>
      <c r="F8" s="193" t="s">
        <v>545</v>
      </c>
    </row>
    <row r="9" spans="1:6" ht="41.4" x14ac:dyDescent="0.25">
      <c r="A9" s="190" t="s">
        <v>13</v>
      </c>
      <c r="B9" s="138" t="s">
        <v>52</v>
      </c>
      <c r="C9" s="161" t="s">
        <v>44</v>
      </c>
      <c r="D9" s="273">
        <f>(50*0.5)*'USD to CAD'!$A$1</f>
        <v>31.5</v>
      </c>
      <c r="E9" s="190" t="s">
        <v>221</v>
      </c>
      <c r="F9" s="193" t="s">
        <v>545</v>
      </c>
    </row>
    <row r="10" spans="1:6" ht="29.1" customHeight="1" x14ac:dyDescent="0.25">
      <c r="A10" s="190" t="s">
        <v>13</v>
      </c>
      <c r="B10" s="138" t="s">
        <v>54</v>
      </c>
      <c r="C10" s="138" t="s">
        <v>40</v>
      </c>
      <c r="D10" s="256">
        <f>3*'USD to CAD'!$A$1</f>
        <v>3.7800000000000002</v>
      </c>
      <c r="E10" s="190" t="s">
        <v>221</v>
      </c>
      <c r="F10" s="427" t="s">
        <v>236</v>
      </c>
    </row>
    <row r="11" spans="1:6" ht="29.1" customHeight="1" x14ac:dyDescent="0.25">
      <c r="A11" s="190" t="s">
        <v>13</v>
      </c>
      <c r="B11" s="138" t="s">
        <v>54</v>
      </c>
      <c r="C11" s="138" t="s">
        <v>41</v>
      </c>
      <c r="D11" s="256">
        <f>3*'USD to CAD'!A1</f>
        <v>3.7800000000000002</v>
      </c>
      <c r="E11" s="190" t="s">
        <v>221</v>
      </c>
      <c r="F11" s="427"/>
    </row>
    <row r="12" spans="1:6" ht="29.1" customHeight="1" x14ac:dyDescent="0.25">
      <c r="A12" s="190" t="s">
        <v>13</v>
      </c>
      <c r="B12" s="138" t="s">
        <v>54</v>
      </c>
      <c r="C12" s="138" t="s">
        <v>42</v>
      </c>
      <c r="D12" s="256">
        <f>3*'USD to CAD'!A1</f>
        <v>3.7800000000000002</v>
      </c>
      <c r="E12" s="190" t="s">
        <v>221</v>
      </c>
      <c r="F12" s="427"/>
    </row>
    <row r="13" spans="1:6" ht="29.1" customHeight="1" x14ac:dyDescent="0.25">
      <c r="A13" s="190" t="s">
        <v>13</v>
      </c>
      <c r="B13" s="138" t="s">
        <v>54</v>
      </c>
      <c r="C13" s="138" t="s">
        <v>43</v>
      </c>
      <c r="D13" s="256">
        <f>3*'USD to CAD'!A1</f>
        <v>3.7800000000000002</v>
      </c>
      <c r="E13" s="190" t="s">
        <v>221</v>
      </c>
      <c r="F13" s="427"/>
    </row>
    <row r="14" spans="1:6" ht="29.1" customHeight="1" x14ac:dyDescent="0.25">
      <c r="A14" s="190" t="s">
        <v>13</v>
      </c>
      <c r="B14" s="138" t="s">
        <v>54</v>
      </c>
      <c r="C14" s="138" t="s">
        <v>44</v>
      </c>
      <c r="D14" s="256">
        <f>3*'USD to CAD'!A1</f>
        <v>3.7800000000000002</v>
      </c>
      <c r="E14" s="190" t="s">
        <v>221</v>
      </c>
      <c r="F14" s="427"/>
    </row>
    <row r="15" spans="1:6" ht="29.1" customHeight="1" x14ac:dyDescent="0.25">
      <c r="A15" s="190" t="s">
        <v>13</v>
      </c>
      <c r="B15" s="138" t="s">
        <v>54</v>
      </c>
      <c r="C15" s="138" t="s">
        <v>45</v>
      </c>
      <c r="D15" s="256">
        <f>3*'USD to CAD'!A1</f>
        <v>3.7800000000000002</v>
      </c>
      <c r="E15" s="190" t="s">
        <v>221</v>
      </c>
      <c r="F15" s="427"/>
    </row>
    <row r="16" spans="1:6" x14ac:dyDescent="0.25">
      <c r="A16" s="190" t="s">
        <v>20</v>
      </c>
      <c r="B16" s="139" t="s">
        <v>50</v>
      </c>
      <c r="C16" s="139" t="s">
        <v>45</v>
      </c>
      <c r="D16" s="272">
        <v>0</v>
      </c>
      <c r="E16" s="190" t="s">
        <v>221</v>
      </c>
      <c r="F16" s="187" t="s">
        <v>543</v>
      </c>
    </row>
    <row r="17" spans="1:6" x14ac:dyDescent="0.25">
      <c r="A17" s="190" t="s">
        <v>20</v>
      </c>
      <c r="B17" s="139" t="s">
        <v>50</v>
      </c>
      <c r="C17" s="139" t="s">
        <v>40</v>
      </c>
      <c r="D17" s="272">
        <v>0</v>
      </c>
      <c r="E17" s="190" t="s">
        <v>221</v>
      </c>
      <c r="F17" s="187" t="s">
        <v>543</v>
      </c>
    </row>
    <row r="18" spans="1:6" x14ac:dyDescent="0.25">
      <c r="A18" s="190" t="s">
        <v>20</v>
      </c>
      <c r="B18" s="139" t="s">
        <v>50</v>
      </c>
      <c r="C18" s="139" t="s">
        <v>42</v>
      </c>
      <c r="D18" s="272">
        <v>0</v>
      </c>
      <c r="E18" s="190" t="s">
        <v>221</v>
      </c>
      <c r="F18" s="187" t="s">
        <v>543</v>
      </c>
    </row>
    <row r="19" spans="1:6" ht="14.55" customHeight="1" x14ac:dyDescent="0.25">
      <c r="A19" s="190" t="s">
        <v>20</v>
      </c>
      <c r="B19" s="138" t="s">
        <v>52</v>
      </c>
      <c r="C19" s="161" t="s">
        <v>41</v>
      </c>
      <c r="D19" s="272">
        <v>0</v>
      </c>
      <c r="E19" s="190" t="s">
        <v>221</v>
      </c>
      <c r="F19" s="187" t="s">
        <v>543</v>
      </c>
    </row>
    <row r="20" spans="1:6" x14ac:dyDescent="0.25">
      <c r="A20" s="190" t="s">
        <v>20</v>
      </c>
      <c r="B20" s="138" t="s">
        <v>52</v>
      </c>
      <c r="C20" s="161" t="s">
        <v>43</v>
      </c>
      <c r="D20" s="272">
        <v>0</v>
      </c>
      <c r="E20" s="190" t="s">
        <v>221</v>
      </c>
      <c r="F20" s="187" t="s">
        <v>543</v>
      </c>
    </row>
    <row r="21" spans="1:6" x14ac:dyDescent="0.25">
      <c r="A21" s="190" t="s">
        <v>20</v>
      </c>
      <c r="B21" s="138" t="s">
        <v>52</v>
      </c>
      <c r="C21" s="161" t="s">
        <v>44</v>
      </c>
      <c r="D21" s="272">
        <v>0</v>
      </c>
      <c r="E21" s="190" t="s">
        <v>221</v>
      </c>
      <c r="F21" s="187" t="s">
        <v>543</v>
      </c>
    </row>
    <row r="22" spans="1:6" x14ac:dyDescent="0.25">
      <c r="A22" s="190" t="s">
        <v>20</v>
      </c>
      <c r="B22" s="138" t="s">
        <v>54</v>
      </c>
      <c r="C22" s="138" t="s">
        <v>40</v>
      </c>
      <c r="D22" s="272">
        <v>0</v>
      </c>
      <c r="E22" s="190" t="s">
        <v>221</v>
      </c>
      <c r="F22" s="187" t="s">
        <v>543</v>
      </c>
    </row>
    <row r="23" spans="1:6" x14ac:dyDescent="0.25">
      <c r="A23" s="190" t="s">
        <v>20</v>
      </c>
      <c r="B23" s="138" t="s">
        <v>54</v>
      </c>
      <c r="C23" s="138" t="s">
        <v>41</v>
      </c>
      <c r="D23" s="272">
        <v>0</v>
      </c>
      <c r="E23" s="190" t="s">
        <v>221</v>
      </c>
      <c r="F23" s="187" t="s">
        <v>543</v>
      </c>
    </row>
    <row r="24" spans="1:6" x14ac:dyDescent="0.25">
      <c r="A24" s="190" t="s">
        <v>20</v>
      </c>
      <c r="B24" s="138" t="s">
        <v>54</v>
      </c>
      <c r="C24" s="138" t="s">
        <v>42</v>
      </c>
      <c r="D24" s="272">
        <v>0</v>
      </c>
      <c r="E24" s="190" t="s">
        <v>221</v>
      </c>
      <c r="F24" s="187" t="s">
        <v>543</v>
      </c>
    </row>
    <row r="25" spans="1:6" x14ac:dyDescent="0.25">
      <c r="A25" s="190" t="s">
        <v>20</v>
      </c>
      <c r="B25" s="138" t="s">
        <v>54</v>
      </c>
      <c r="C25" s="138" t="s">
        <v>43</v>
      </c>
      <c r="D25" s="272">
        <v>0</v>
      </c>
      <c r="E25" s="190" t="s">
        <v>221</v>
      </c>
      <c r="F25" s="187" t="s">
        <v>543</v>
      </c>
    </row>
    <row r="26" spans="1:6" x14ac:dyDescent="0.25">
      <c r="A26" s="190" t="s">
        <v>20</v>
      </c>
      <c r="B26" s="138" t="s">
        <v>54</v>
      </c>
      <c r="C26" s="138" t="s">
        <v>44</v>
      </c>
      <c r="D26" s="272">
        <v>0</v>
      </c>
      <c r="E26" s="190" t="s">
        <v>221</v>
      </c>
      <c r="F26" s="187"/>
    </row>
    <row r="27" spans="1:6" x14ac:dyDescent="0.25">
      <c r="A27" s="190" t="s">
        <v>20</v>
      </c>
      <c r="B27" s="138" t="s">
        <v>54</v>
      </c>
      <c r="C27" s="138" t="s">
        <v>45</v>
      </c>
      <c r="D27" s="272">
        <v>0</v>
      </c>
      <c r="E27" s="190" t="s">
        <v>221</v>
      </c>
      <c r="F27" s="187"/>
    </row>
    <row r="28" spans="1:6" ht="27.6" x14ac:dyDescent="0.25">
      <c r="A28" s="190" t="s">
        <v>13</v>
      </c>
      <c r="B28" s="161" t="s">
        <v>55</v>
      </c>
      <c r="C28" s="138" t="s">
        <v>46</v>
      </c>
      <c r="D28" s="272">
        <v>50</v>
      </c>
      <c r="E28" s="190" t="s">
        <v>221</v>
      </c>
      <c r="F28" s="187" t="s">
        <v>544</v>
      </c>
    </row>
    <row r="29" spans="1:6" ht="66" customHeight="1" x14ac:dyDescent="0.25">
      <c r="A29" s="190" t="s">
        <v>13</v>
      </c>
      <c r="B29" s="161" t="s">
        <v>57</v>
      </c>
      <c r="C29" s="247" t="s">
        <v>45</v>
      </c>
      <c r="D29" s="274">
        <f>4*1.29/2</f>
        <v>2.58</v>
      </c>
      <c r="E29" s="235" t="s">
        <v>215</v>
      </c>
      <c r="F29" s="187" t="s">
        <v>237</v>
      </c>
    </row>
    <row r="30" spans="1:6" x14ac:dyDescent="0.25">
      <c r="A30" s="72"/>
      <c r="B30" s="67"/>
      <c r="C30" s="67"/>
      <c r="D30" s="128"/>
      <c r="E30" s="72"/>
      <c r="F30" s="80"/>
    </row>
    <row r="31" spans="1:6" x14ac:dyDescent="0.25">
      <c r="A31" s="72"/>
      <c r="B31" s="67"/>
      <c r="C31" s="67"/>
      <c r="D31" s="128"/>
      <c r="E31" s="72"/>
      <c r="F31" s="80"/>
    </row>
    <row r="32" spans="1:6" x14ac:dyDescent="0.25">
      <c r="A32" s="72"/>
      <c r="B32" s="67"/>
      <c r="C32" s="67"/>
      <c r="D32" s="128"/>
      <c r="E32" s="72"/>
      <c r="F32" s="80"/>
    </row>
    <row r="33" spans="1:6" x14ac:dyDescent="0.25">
      <c r="A33" s="72"/>
      <c r="B33" s="67"/>
      <c r="C33" s="67"/>
      <c r="D33" s="128"/>
      <c r="E33" s="72"/>
      <c r="F33" s="80"/>
    </row>
    <row r="34" spans="1:6" x14ac:dyDescent="0.25">
      <c r="A34" s="72"/>
      <c r="B34" s="67"/>
      <c r="C34" s="67"/>
      <c r="D34" s="128"/>
      <c r="E34" s="72"/>
      <c r="F34" s="80"/>
    </row>
    <row r="35" spans="1:6" x14ac:dyDescent="0.25">
      <c r="A35" s="72"/>
      <c r="B35" s="67"/>
      <c r="C35" s="67"/>
      <c r="D35" s="128"/>
      <c r="E35" s="72"/>
      <c r="F35" s="80"/>
    </row>
    <row r="36" spans="1:6" x14ac:dyDescent="0.25">
      <c r="A36" s="72"/>
      <c r="B36" s="67"/>
      <c r="C36" s="67"/>
      <c r="D36" s="128"/>
      <c r="E36" s="72"/>
      <c r="F36" s="80"/>
    </row>
    <row r="37" spans="1:6" x14ac:dyDescent="0.25">
      <c r="A37" s="72"/>
      <c r="B37" s="67"/>
      <c r="C37" s="67"/>
      <c r="D37" s="128"/>
      <c r="E37" s="72"/>
      <c r="F37" s="80"/>
    </row>
    <row r="38" spans="1:6" x14ac:dyDescent="0.25">
      <c r="A38" s="72"/>
      <c r="B38" s="67"/>
      <c r="C38" s="67"/>
      <c r="D38" s="128"/>
      <c r="E38" s="72"/>
      <c r="F38" s="80"/>
    </row>
    <row r="39" spans="1:6" x14ac:dyDescent="0.25">
      <c r="A39" s="72"/>
      <c r="B39" s="67"/>
      <c r="C39" s="67"/>
      <c r="D39" s="128"/>
      <c r="E39" s="72"/>
      <c r="F39" s="80"/>
    </row>
    <row r="40" spans="1:6" x14ac:dyDescent="0.25">
      <c r="A40" s="72"/>
      <c r="B40" s="67"/>
      <c r="C40" s="67"/>
      <c r="D40" s="128"/>
      <c r="E40" s="72"/>
      <c r="F40" s="80"/>
    </row>
    <row r="41" spans="1:6" x14ac:dyDescent="0.25">
      <c r="A41" s="72"/>
      <c r="B41" s="67"/>
      <c r="C41" s="67"/>
      <c r="D41" s="128"/>
      <c r="E41" s="72"/>
      <c r="F41" s="80"/>
    </row>
    <row r="42" spans="1:6" x14ac:dyDescent="0.25">
      <c r="A42" s="72"/>
      <c r="B42" s="67"/>
      <c r="C42" s="67"/>
      <c r="D42" s="128"/>
      <c r="E42" s="72"/>
      <c r="F42" s="80"/>
    </row>
    <row r="43" spans="1:6" x14ac:dyDescent="0.25">
      <c r="A43" s="72"/>
      <c r="B43" s="67"/>
      <c r="C43" s="67"/>
      <c r="D43" s="128"/>
      <c r="E43" s="72"/>
      <c r="F43" s="80"/>
    </row>
    <row r="44" spans="1:6" x14ac:dyDescent="0.25">
      <c r="A44" s="72"/>
      <c r="B44" s="67"/>
      <c r="C44" s="67"/>
      <c r="D44" s="128"/>
      <c r="E44" s="72"/>
      <c r="F44" s="80"/>
    </row>
    <row r="45" spans="1:6" x14ac:dyDescent="0.25">
      <c r="A45" s="72"/>
      <c r="B45" s="67"/>
      <c r="C45" s="67"/>
      <c r="D45" s="128"/>
      <c r="E45" s="72"/>
      <c r="F45" s="80"/>
    </row>
    <row r="46" spans="1:6" x14ac:dyDescent="0.25">
      <c r="A46" s="72"/>
      <c r="B46" s="67"/>
      <c r="C46" s="67"/>
      <c r="D46" s="128"/>
      <c r="E46" s="72"/>
      <c r="F46" s="80"/>
    </row>
    <row r="47" spans="1:6" x14ac:dyDescent="0.25">
      <c r="A47" s="72"/>
      <c r="B47" s="67"/>
      <c r="C47" s="67"/>
      <c r="D47" s="128"/>
      <c r="E47" s="72"/>
      <c r="F47" s="80"/>
    </row>
    <row r="48" spans="1:6" x14ac:dyDescent="0.25">
      <c r="A48" s="72"/>
      <c r="B48" s="67"/>
      <c r="C48" s="67"/>
      <c r="D48" s="128"/>
      <c r="E48" s="72"/>
      <c r="F48" s="80"/>
    </row>
    <row r="49" spans="1:6" x14ac:dyDescent="0.25">
      <c r="A49" s="72"/>
      <c r="B49" s="67"/>
      <c r="C49" s="67"/>
      <c r="D49" s="128"/>
      <c r="E49" s="72"/>
      <c r="F49" s="80"/>
    </row>
    <row r="50" spans="1:6" x14ac:dyDescent="0.25">
      <c r="A50" s="72"/>
      <c r="B50" s="67"/>
      <c r="C50" s="67"/>
      <c r="D50" s="128"/>
      <c r="E50" s="72"/>
      <c r="F50" s="80"/>
    </row>
    <row r="51" spans="1:6" x14ac:dyDescent="0.25">
      <c r="A51" s="72"/>
      <c r="B51" s="67"/>
      <c r="C51" s="67"/>
      <c r="D51" s="128"/>
      <c r="E51" s="72"/>
      <c r="F51" s="80"/>
    </row>
    <row r="52" spans="1:6" x14ac:dyDescent="0.25">
      <c r="A52" s="72"/>
      <c r="B52" s="67"/>
      <c r="C52" s="67"/>
      <c r="D52" s="128"/>
      <c r="E52" s="72"/>
      <c r="F52" s="80"/>
    </row>
    <row r="53" spans="1:6" x14ac:dyDescent="0.25">
      <c r="A53" s="72"/>
      <c r="B53" s="67"/>
      <c r="C53" s="67"/>
      <c r="D53" s="128"/>
      <c r="E53" s="72"/>
      <c r="F53" s="80"/>
    </row>
    <row r="54" spans="1:6" x14ac:dyDescent="0.25">
      <c r="A54" s="72"/>
      <c r="B54" s="67"/>
      <c r="C54" s="67"/>
      <c r="D54" s="128"/>
      <c r="E54" s="72"/>
      <c r="F54" s="80"/>
    </row>
  </sheetData>
  <autoFilter ref="A3:F29" xr:uid="{00000000-0009-0000-0000-000009000000}"/>
  <mergeCells count="1">
    <mergeCell ref="F10:F15"/>
  </mergeCells>
  <dataValidations count="1">
    <dataValidation type="list" allowBlank="1" showInputMessage="1" showErrorMessage="1" sqref="C4:C6 C16:C18" xr:uid="{AF9C3B54-624C-41EF-AB67-1F1F4EDD632D}">
      <formula1>CustomerClasses</formula1>
    </dataValidation>
  </dataValidations>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theme="7" tint="0.39997558519241921"/>
  </sheetPr>
  <dimension ref="A1:E97"/>
  <sheetViews>
    <sheetView zoomScale="80" zoomScaleNormal="80" workbookViewId="0">
      <selection activeCell="D45" sqref="D45"/>
    </sheetView>
  </sheetViews>
  <sheetFormatPr defaultColWidth="9.09765625" defaultRowHeight="13.8" outlineLevelRow="1" x14ac:dyDescent="0.25"/>
  <cols>
    <col min="1" max="1" width="11.59765625" customWidth="1"/>
    <col min="2" max="2" width="57.59765625" style="2" customWidth="1"/>
    <col min="3" max="3" width="28.5" style="2" customWidth="1"/>
    <col min="4" max="4" width="17.5" style="10" customWidth="1"/>
    <col min="5" max="5" width="108.59765625" style="3" customWidth="1"/>
    <col min="6" max="6" width="11.19921875" customWidth="1"/>
    <col min="7" max="9" width="10.296875" customWidth="1"/>
  </cols>
  <sheetData>
    <row r="1" spans="1:5" ht="50.1" customHeight="1" outlineLevel="1" x14ac:dyDescent="0.25">
      <c r="B1" s="7"/>
      <c r="C1" s="7"/>
    </row>
    <row r="2" spans="1:5" ht="17.25" customHeight="1" outlineLevel="1" x14ac:dyDescent="0.25">
      <c r="A2" s="65" t="s">
        <v>7</v>
      </c>
      <c r="B2" s="63" t="s">
        <v>238</v>
      </c>
      <c r="C2"/>
      <c r="D2"/>
      <c r="E2"/>
    </row>
    <row r="3" spans="1:5" s="9" customFormat="1" ht="28.8" x14ac:dyDescent="0.25">
      <c r="A3" s="179" t="s">
        <v>23</v>
      </c>
      <c r="B3" s="179" t="s">
        <v>78</v>
      </c>
      <c r="C3" s="179" t="s">
        <v>131</v>
      </c>
      <c r="D3" s="179" t="s">
        <v>239</v>
      </c>
      <c r="E3" s="179" t="s">
        <v>26</v>
      </c>
    </row>
    <row r="4" spans="1:5" x14ac:dyDescent="0.25">
      <c r="A4" s="204" t="s">
        <v>13</v>
      </c>
      <c r="B4" s="155" t="s">
        <v>80</v>
      </c>
      <c r="C4" s="155" t="s">
        <v>45</v>
      </c>
      <c r="D4" s="275">
        <f>D6/2</f>
        <v>6.3</v>
      </c>
      <c r="E4" s="276" t="s">
        <v>240</v>
      </c>
    </row>
    <row r="5" spans="1:5" x14ac:dyDescent="0.25">
      <c r="A5" s="204" t="s">
        <v>13</v>
      </c>
      <c r="B5" s="155" t="s">
        <v>81</v>
      </c>
      <c r="C5" s="155" t="s">
        <v>45</v>
      </c>
      <c r="D5" s="275">
        <f>D4</f>
        <v>6.3</v>
      </c>
      <c r="E5" s="276" t="s">
        <v>240</v>
      </c>
    </row>
    <row r="6" spans="1:5" x14ac:dyDescent="0.25">
      <c r="A6" s="204" t="s">
        <v>13</v>
      </c>
      <c r="B6" s="155" t="s">
        <v>82</v>
      </c>
      <c r="C6" s="155" t="s">
        <v>45</v>
      </c>
      <c r="D6" s="275">
        <f>10*'USD to CAD'!$A$1</f>
        <v>12.6</v>
      </c>
      <c r="E6" s="155" t="s">
        <v>241</v>
      </c>
    </row>
    <row r="7" spans="1:5" x14ac:dyDescent="0.25">
      <c r="A7" s="204" t="s">
        <v>13</v>
      </c>
      <c r="B7" s="155" t="s">
        <v>83</v>
      </c>
      <c r="C7" s="155" t="s">
        <v>45</v>
      </c>
      <c r="D7" s="275">
        <f>10*'USD to CAD'!$A$1</f>
        <v>12.6</v>
      </c>
      <c r="E7" s="155" t="s">
        <v>241</v>
      </c>
    </row>
    <row r="8" spans="1:5" x14ac:dyDescent="0.25">
      <c r="A8" s="204" t="s">
        <v>13</v>
      </c>
      <c r="B8" s="155" t="s">
        <v>84</v>
      </c>
      <c r="C8" s="155" t="s">
        <v>45</v>
      </c>
      <c r="D8" s="275">
        <f>10*'USD to CAD'!$A$1</f>
        <v>12.6</v>
      </c>
      <c r="E8" s="155" t="s">
        <v>241</v>
      </c>
    </row>
    <row r="9" spans="1:5" x14ac:dyDescent="0.25">
      <c r="A9" s="204" t="s">
        <v>13</v>
      </c>
      <c r="B9" s="155" t="s">
        <v>85</v>
      </c>
      <c r="C9" s="155" t="s">
        <v>45</v>
      </c>
      <c r="D9" s="275">
        <f>10*'USD to CAD'!$A$1</f>
        <v>12.6</v>
      </c>
      <c r="E9" s="155" t="s">
        <v>241</v>
      </c>
    </row>
    <row r="10" spans="1:5" x14ac:dyDescent="0.25">
      <c r="A10" s="204" t="s">
        <v>13</v>
      </c>
      <c r="B10" s="155" t="s">
        <v>86</v>
      </c>
      <c r="C10" s="155" t="s">
        <v>45</v>
      </c>
      <c r="D10" s="275">
        <f>10*'USD to CAD'!$A$1</f>
        <v>12.6</v>
      </c>
      <c r="E10" s="155" t="s">
        <v>241</v>
      </c>
    </row>
    <row r="11" spans="1:5" x14ac:dyDescent="0.25">
      <c r="A11" s="204" t="s">
        <v>13</v>
      </c>
      <c r="B11" s="155" t="s">
        <v>87</v>
      </c>
      <c r="C11" s="155" t="s">
        <v>45</v>
      </c>
      <c r="D11" s="275">
        <f>10*'USD to CAD'!$A$1</f>
        <v>12.6</v>
      </c>
      <c r="E11" s="155" t="s">
        <v>241</v>
      </c>
    </row>
    <row r="12" spans="1:5" x14ac:dyDescent="0.25">
      <c r="A12" s="204" t="s">
        <v>13</v>
      </c>
      <c r="B12" s="155" t="s">
        <v>80</v>
      </c>
      <c r="C12" s="155" t="s">
        <v>40</v>
      </c>
      <c r="D12" s="275">
        <f>D4*1.08</f>
        <v>6.8040000000000003</v>
      </c>
      <c r="E12" s="155" t="s">
        <v>242</v>
      </c>
    </row>
    <row r="13" spans="1:5" x14ac:dyDescent="0.25">
      <c r="A13" s="204" t="s">
        <v>13</v>
      </c>
      <c r="B13" s="155" t="s">
        <v>80</v>
      </c>
      <c r="C13" s="155" t="s">
        <v>42</v>
      </c>
      <c r="D13" s="275">
        <f>D4*1.08</f>
        <v>6.8040000000000003</v>
      </c>
      <c r="E13" s="155" t="s">
        <v>242</v>
      </c>
    </row>
    <row r="14" spans="1:5" x14ac:dyDescent="0.25">
      <c r="A14" s="204" t="s">
        <v>13</v>
      </c>
      <c r="B14" s="155" t="s">
        <v>81</v>
      </c>
      <c r="C14" s="155" t="s">
        <v>40</v>
      </c>
      <c r="D14" s="275">
        <f>D5*1.08</f>
        <v>6.8040000000000003</v>
      </c>
      <c r="E14" s="155" t="s">
        <v>242</v>
      </c>
    </row>
    <row r="15" spans="1:5" x14ac:dyDescent="0.25">
      <c r="A15" s="204" t="s">
        <v>13</v>
      </c>
      <c r="B15" s="155" t="s">
        <v>81</v>
      </c>
      <c r="C15" s="155" t="s">
        <v>42</v>
      </c>
      <c r="D15" s="275">
        <f>D5*1.08</f>
        <v>6.8040000000000003</v>
      </c>
      <c r="E15" s="155" t="s">
        <v>242</v>
      </c>
    </row>
    <row r="16" spans="1:5" x14ac:dyDescent="0.25">
      <c r="A16" s="204" t="s">
        <v>13</v>
      </c>
      <c r="B16" s="155" t="s">
        <v>88</v>
      </c>
      <c r="C16" s="155" t="s">
        <v>40</v>
      </c>
      <c r="D16" s="275">
        <v>0</v>
      </c>
      <c r="E16" s="277" t="s">
        <v>244</v>
      </c>
    </row>
    <row r="17" spans="1:5" x14ac:dyDescent="0.25">
      <c r="A17" s="204" t="s">
        <v>13</v>
      </c>
      <c r="B17" s="155" t="s">
        <v>88</v>
      </c>
      <c r="C17" s="155" t="s">
        <v>42</v>
      </c>
      <c r="D17" s="275">
        <v>0</v>
      </c>
      <c r="E17" s="277" t="s">
        <v>244</v>
      </c>
    </row>
    <row r="18" spans="1:5" x14ac:dyDescent="0.25">
      <c r="A18" s="204" t="s">
        <v>13</v>
      </c>
      <c r="B18" s="155" t="s">
        <v>54</v>
      </c>
      <c r="C18" s="155" t="s">
        <v>40</v>
      </c>
      <c r="D18" s="254">
        <f>'USD to CAD'!$A$1*34</f>
        <v>42.84</v>
      </c>
      <c r="E18" s="155" t="s">
        <v>243</v>
      </c>
    </row>
    <row r="19" spans="1:5" x14ac:dyDescent="0.25">
      <c r="A19" s="204" t="s">
        <v>13</v>
      </c>
      <c r="B19" s="155" t="s">
        <v>54</v>
      </c>
      <c r="C19" s="155" t="s">
        <v>41</v>
      </c>
      <c r="D19" s="254">
        <f>'USD to CAD'!$A$1*34</f>
        <v>42.84</v>
      </c>
      <c r="E19" s="155" t="s">
        <v>243</v>
      </c>
    </row>
    <row r="20" spans="1:5" x14ac:dyDescent="0.25">
      <c r="A20" s="204" t="s">
        <v>13</v>
      </c>
      <c r="B20" s="155" t="s">
        <v>54</v>
      </c>
      <c r="C20" s="155" t="s">
        <v>42</v>
      </c>
      <c r="D20" s="254">
        <f>'USD to CAD'!$A$1*34</f>
        <v>42.84</v>
      </c>
      <c r="E20" s="155" t="s">
        <v>243</v>
      </c>
    </row>
    <row r="21" spans="1:5" x14ac:dyDescent="0.25">
      <c r="A21" s="204" t="s">
        <v>13</v>
      </c>
      <c r="B21" s="155" t="s">
        <v>54</v>
      </c>
      <c r="C21" s="155" t="s">
        <v>43</v>
      </c>
      <c r="D21" s="254">
        <f>'USD to CAD'!$A$1*34</f>
        <v>42.84</v>
      </c>
      <c r="E21" s="155" t="s">
        <v>243</v>
      </c>
    </row>
    <row r="22" spans="1:5" x14ac:dyDescent="0.25">
      <c r="A22" s="204" t="s">
        <v>13</v>
      </c>
      <c r="B22" s="155" t="s">
        <v>54</v>
      </c>
      <c r="C22" s="155" t="s">
        <v>44</v>
      </c>
      <c r="D22" s="254">
        <f>'USD to CAD'!$A$1*34</f>
        <v>42.84</v>
      </c>
      <c r="E22" s="155" t="s">
        <v>243</v>
      </c>
    </row>
    <row r="23" spans="1:5" x14ac:dyDescent="0.25">
      <c r="A23" s="204" t="s">
        <v>13</v>
      </c>
      <c r="B23" s="155" t="s">
        <v>89</v>
      </c>
      <c r="C23" s="155" t="s">
        <v>41</v>
      </c>
      <c r="D23" s="275">
        <v>0</v>
      </c>
      <c r="E23" s="155"/>
    </row>
    <row r="24" spans="1:5" x14ac:dyDescent="0.25">
      <c r="A24" s="204" t="s">
        <v>13</v>
      </c>
      <c r="B24" s="155" t="s">
        <v>90</v>
      </c>
      <c r="C24" s="155" t="s">
        <v>41</v>
      </c>
      <c r="D24" s="275">
        <v>0</v>
      </c>
      <c r="E24" s="155"/>
    </row>
    <row r="25" spans="1:5" x14ac:dyDescent="0.25">
      <c r="A25" s="204" t="s">
        <v>13</v>
      </c>
      <c r="B25" s="155" t="s">
        <v>91</v>
      </c>
      <c r="C25" s="155" t="s">
        <v>41</v>
      </c>
      <c r="D25" s="275">
        <v>0</v>
      </c>
      <c r="E25" s="155"/>
    </row>
    <row r="26" spans="1:5" x14ac:dyDescent="0.25">
      <c r="A26" s="204" t="s">
        <v>13</v>
      </c>
      <c r="B26" s="155" t="s">
        <v>92</v>
      </c>
      <c r="C26" s="155" t="s">
        <v>41</v>
      </c>
      <c r="D26" s="275">
        <v>0</v>
      </c>
      <c r="E26" s="150"/>
    </row>
    <row r="27" spans="1:5" x14ac:dyDescent="0.25">
      <c r="A27" s="204" t="s">
        <v>13</v>
      </c>
      <c r="B27" s="155" t="s">
        <v>93</v>
      </c>
      <c r="C27" s="155" t="s">
        <v>41</v>
      </c>
      <c r="D27" s="275">
        <v>0</v>
      </c>
      <c r="E27" s="150"/>
    </row>
    <row r="28" spans="1:5" x14ac:dyDescent="0.25">
      <c r="A28" s="204" t="s">
        <v>13</v>
      </c>
      <c r="B28" s="155" t="s">
        <v>147</v>
      </c>
      <c r="C28" s="155" t="s">
        <v>41</v>
      </c>
      <c r="D28" s="275">
        <v>0</v>
      </c>
      <c r="E28" s="150"/>
    </row>
    <row r="29" spans="1:5" x14ac:dyDescent="0.25">
      <c r="A29" s="204" t="s">
        <v>13</v>
      </c>
      <c r="B29" s="155" t="s">
        <v>94</v>
      </c>
      <c r="C29" s="155" t="s">
        <v>41</v>
      </c>
      <c r="D29" s="275">
        <v>0</v>
      </c>
      <c r="E29" s="150"/>
    </row>
    <row r="30" spans="1:5" x14ac:dyDescent="0.25">
      <c r="A30" s="204" t="s">
        <v>13</v>
      </c>
      <c r="B30" s="155" t="s">
        <v>89</v>
      </c>
      <c r="C30" s="155" t="s">
        <v>43</v>
      </c>
      <c r="D30" s="275">
        <v>0</v>
      </c>
      <c r="E30" s="150"/>
    </row>
    <row r="31" spans="1:5" x14ac:dyDescent="0.25">
      <c r="A31" s="204" t="s">
        <v>13</v>
      </c>
      <c r="B31" s="155" t="s">
        <v>90</v>
      </c>
      <c r="C31" s="155" t="s">
        <v>43</v>
      </c>
      <c r="D31" s="275">
        <v>0</v>
      </c>
      <c r="E31" s="150"/>
    </row>
    <row r="32" spans="1:5" x14ac:dyDescent="0.25">
      <c r="A32" s="204" t="s">
        <v>13</v>
      </c>
      <c r="B32" s="155" t="s">
        <v>91</v>
      </c>
      <c r="C32" s="155" t="s">
        <v>43</v>
      </c>
      <c r="D32" s="275">
        <v>0</v>
      </c>
      <c r="E32" s="150"/>
    </row>
    <row r="33" spans="1:5" x14ac:dyDescent="0.25">
      <c r="A33" s="204" t="s">
        <v>13</v>
      </c>
      <c r="B33" s="155" t="s">
        <v>92</v>
      </c>
      <c r="C33" s="155" t="s">
        <v>43</v>
      </c>
      <c r="D33" s="275">
        <v>0</v>
      </c>
      <c r="E33" s="150"/>
    </row>
    <row r="34" spans="1:5" x14ac:dyDescent="0.25">
      <c r="A34" s="204" t="s">
        <v>13</v>
      </c>
      <c r="B34" s="155" t="s">
        <v>93</v>
      </c>
      <c r="C34" s="155" t="s">
        <v>43</v>
      </c>
      <c r="D34" s="275">
        <v>0</v>
      </c>
      <c r="E34" s="150"/>
    </row>
    <row r="35" spans="1:5" x14ac:dyDescent="0.25">
      <c r="A35" s="204" t="s">
        <v>13</v>
      </c>
      <c r="B35" s="155" t="s">
        <v>147</v>
      </c>
      <c r="C35" s="155" t="s">
        <v>43</v>
      </c>
      <c r="D35" s="275">
        <v>0</v>
      </c>
      <c r="E35" s="150"/>
    </row>
    <row r="36" spans="1:5" x14ac:dyDescent="0.25">
      <c r="A36" s="204" t="s">
        <v>13</v>
      </c>
      <c r="B36" s="155" t="s">
        <v>94</v>
      </c>
      <c r="C36" s="155" t="s">
        <v>43</v>
      </c>
      <c r="D36" s="275">
        <v>0</v>
      </c>
      <c r="E36" s="150"/>
    </row>
    <row r="37" spans="1:5" x14ac:dyDescent="0.25">
      <c r="A37" s="204" t="s">
        <v>13</v>
      </c>
      <c r="B37" s="155" t="s">
        <v>89</v>
      </c>
      <c r="C37" s="155" t="s">
        <v>44</v>
      </c>
      <c r="D37" s="275">
        <v>0</v>
      </c>
      <c r="E37" s="150"/>
    </row>
    <row r="38" spans="1:5" x14ac:dyDescent="0.25">
      <c r="A38" s="204" t="s">
        <v>13</v>
      </c>
      <c r="B38" s="155" t="s">
        <v>90</v>
      </c>
      <c r="C38" s="155" t="s">
        <v>44</v>
      </c>
      <c r="D38" s="275">
        <v>0</v>
      </c>
      <c r="E38" s="150"/>
    </row>
    <row r="39" spans="1:5" x14ac:dyDescent="0.25">
      <c r="A39" s="204" t="s">
        <v>13</v>
      </c>
      <c r="B39" s="155" t="s">
        <v>91</v>
      </c>
      <c r="C39" s="155" t="s">
        <v>44</v>
      </c>
      <c r="D39" s="275">
        <v>0</v>
      </c>
      <c r="E39" s="150"/>
    </row>
    <row r="40" spans="1:5" x14ac:dyDescent="0.25">
      <c r="A40" s="204" t="s">
        <v>13</v>
      </c>
      <c r="B40" s="155" t="s">
        <v>92</v>
      </c>
      <c r="C40" s="155" t="s">
        <v>44</v>
      </c>
      <c r="D40" s="275">
        <v>0</v>
      </c>
      <c r="E40" s="150"/>
    </row>
    <row r="41" spans="1:5" x14ac:dyDescent="0.25">
      <c r="A41" s="204" t="s">
        <v>13</v>
      </c>
      <c r="B41" s="155" t="s">
        <v>93</v>
      </c>
      <c r="C41" s="155" t="s">
        <v>44</v>
      </c>
      <c r="D41" s="275">
        <v>0</v>
      </c>
      <c r="E41" s="150"/>
    </row>
    <row r="42" spans="1:5" x14ac:dyDescent="0.25">
      <c r="A42" s="204" t="s">
        <v>13</v>
      </c>
      <c r="B42" s="155" t="s">
        <v>147</v>
      </c>
      <c r="C42" s="155" t="s">
        <v>44</v>
      </c>
      <c r="D42" s="275">
        <v>0</v>
      </c>
      <c r="E42" s="150"/>
    </row>
    <row r="43" spans="1:5" x14ac:dyDescent="0.25">
      <c r="A43" s="204" t="s">
        <v>13</v>
      </c>
      <c r="B43" s="155" t="s">
        <v>94</v>
      </c>
      <c r="C43" s="155" t="s">
        <v>44</v>
      </c>
      <c r="D43" s="275">
        <v>0</v>
      </c>
      <c r="E43" s="150"/>
    </row>
    <row r="44" spans="1:5" x14ac:dyDescent="0.25">
      <c r="A44" s="204" t="s">
        <v>20</v>
      </c>
      <c r="B44" s="155" t="s">
        <v>95</v>
      </c>
      <c r="C44" s="155" t="s">
        <v>41</v>
      </c>
      <c r="D44" s="275">
        <v>0</v>
      </c>
      <c r="E44" s="150"/>
    </row>
    <row r="45" spans="1:5" x14ac:dyDescent="0.25">
      <c r="A45" s="204" t="s">
        <v>20</v>
      </c>
      <c r="B45" s="155" t="s">
        <v>96</v>
      </c>
      <c r="C45" s="155" t="s">
        <v>41</v>
      </c>
      <c r="D45" s="275">
        <v>0</v>
      </c>
      <c r="E45" s="150"/>
    </row>
    <row r="46" spans="1:5" x14ac:dyDescent="0.25">
      <c r="A46" s="204" t="s">
        <v>20</v>
      </c>
      <c r="B46" s="155" t="s">
        <v>97</v>
      </c>
      <c r="C46" s="155" t="s">
        <v>41</v>
      </c>
      <c r="D46" s="275">
        <v>0</v>
      </c>
      <c r="E46" s="150"/>
    </row>
    <row r="47" spans="1:5" x14ac:dyDescent="0.25">
      <c r="A47" s="204" t="s">
        <v>20</v>
      </c>
      <c r="B47" s="155" t="s">
        <v>98</v>
      </c>
      <c r="C47" s="155" t="s">
        <v>41</v>
      </c>
      <c r="D47" s="275">
        <v>0</v>
      </c>
      <c r="E47" s="150"/>
    </row>
    <row r="48" spans="1:5" x14ac:dyDescent="0.25">
      <c r="A48" s="204" t="s">
        <v>20</v>
      </c>
      <c r="B48" s="155" t="s">
        <v>99</v>
      </c>
      <c r="C48" s="155" t="s">
        <v>41</v>
      </c>
      <c r="D48" s="275">
        <v>0</v>
      </c>
      <c r="E48" s="150"/>
    </row>
    <row r="49" spans="1:5" x14ac:dyDescent="0.25">
      <c r="A49" s="204" t="s">
        <v>20</v>
      </c>
      <c r="B49" s="155" t="s">
        <v>129</v>
      </c>
      <c r="C49" s="155" t="s">
        <v>41</v>
      </c>
      <c r="D49" s="275">
        <v>0</v>
      </c>
      <c r="E49" s="150"/>
    </row>
    <row r="50" spans="1:5" x14ac:dyDescent="0.25">
      <c r="A50" s="204" t="s">
        <v>20</v>
      </c>
      <c r="B50" s="155" t="s">
        <v>100</v>
      </c>
      <c r="C50" s="155" t="s">
        <v>41</v>
      </c>
      <c r="D50" s="275">
        <v>0</v>
      </c>
      <c r="E50" s="150"/>
    </row>
    <row r="51" spans="1:5" x14ac:dyDescent="0.25">
      <c r="A51" s="204" t="s">
        <v>13</v>
      </c>
      <c r="B51" s="155" t="s">
        <v>95</v>
      </c>
      <c r="C51" s="155" t="s">
        <v>43</v>
      </c>
      <c r="D51" s="275">
        <v>0</v>
      </c>
      <c r="E51" s="150"/>
    </row>
    <row r="52" spans="1:5" x14ac:dyDescent="0.25">
      <c r="A52" s="204" t="s">
        <v>13</v>
      </c>
      <c r="B52" s="155" t="s">
        <v>96</v>
      </c>
      <c r="C52" s="155" t="s">
        <v>43</v>
      </c>
      <c r="D52" s="275">
        <v>0</v>
      </c>
      <c r="E52" s="150"/>
    </row>
    <row r="53" spans="1:5" x14ac:dyDescent="0.25">
      <c r="A53" s="204" t="s">
        <v>13</v>
      </c>
      <c r="B53" s="155" t="s">
        <v>97</v>
      </c>
      <c r="C53" s="155" t="s">
        <v>43</v>
      </c>
      <c r="D53" s="275">
        <v>0</v>
      </c>
      <c r="E53" s="150"/>
    </row>
    <row r="54" spans="1:5" x14ac:dyDescent="0.25">
      <c r="A54" s="204" t="s">
        <v>13</v>
      </c>
      <c r="B54" s="155" t="s">
        <v>98</v>
      </c>
      <c r="C54" s="155" t="s">
        <v>43</v>
      </c>
      <c r="D54" s="275">
        <v>0</v>
      </c>
      <c r="E54" s="150"/>
    </row>
    <row r="55" spans="1:5" x14ac:dyDescent="0.25">
      <c r="A55" s="204" t="s">
        <v>13</v>
      </c>
      <c r="B55" s="155" t="s">
        <v>99</v>
      </c>
      <c r="C55" s="155" t="s">
        <v>43</v>
      </c>
      <c r="D55" s="275">
        <v>0</v>
      </c>
      <c r="E55" s="150"/>
    </row>
    <row r="56" spans="1:5" x14ac:dyDescent="0.25">
      <c r="A56" s="204" t="s">
        <v>13</v>
      </c>
      <c r="B56" s="155" t="s">
        <v>129</v>
      </c>
      <c r="C56" s="155" t="s">
        <v>43</v>
      </c>
      <c r="D56" s="275">
        <v>0</v>
      </c>
      <c r="E56" s="150"/>
    </row>
    <row r="57" spans="1:5" x14ac:dyDescent="0.25">
      <c r="A57" s="204" t="s">
        <v>13</v>
      </c>
      <c r="B57" s="155" t="s">
        <v>100</v>
      </c>
      <c r="C57" s="155" t="s">
        <v>43</v>
      </c>
      <c r="D57" s="275">
        <v>0</v>
      </c>
      <c r="E57" s="150"/>
    </row>
    <row r="58" spans="1:5" x14ac:dyDescent="0.25">
      <c r="A58" s="204" t="s">
        <v>13</v>
      </c>
      <c r="B58" s="155" t="s">
        <v>95</v>
      </c>
      <c r="C58" s="155" t="s">
        <v>44</v>
      </c>
      <c r="D58" s="275">
        <v>0</v>
      </c>
      <c r="E58" s="150"/>
    </row>
    <row r="59" spans="1:5" x14ac:dyDescent="0.25">
      <c r="A59" s="204" t="s">
        <v>13</v>
      </c>
      <c r="B59" s="155" t="s">
        <v>96</v>
      </c>
      <c r="C59" s="155" t="s">
        <v>44</v>
      </c>
      <c r="D59" s="275">
        <v>0</v>
      </c>
      <c r="E59" s="150"/>
    </row>
    <row r="60" spans="1:5" x14ac:dyDescent="0.25">
      <c r="A60" s="204" t="s">
        <v>13</v>
      </c>
      <c r="B60" s="155" t="s">
        <v>97</v>
      </c>
      <c r="C60" s="155" t="s">
        <v>44</v>
      </c>
      <c r="D60" s="275">
        <v>0</v>
      </c>
      <c r="E60" s="150"/>
    </row>
    <row r="61" spans="1:5" x14ac:dyDescent="0.25">
      <c r="A61" s="204" t="s">
        <v>13</v>
      </c>
      <c r="B61" s="155" t="s">
        <v>98</v>
      </c>
      <c r="C61" s="155" t="s">
        <v>44</v>
      </c>
      <c r="D61" s="275">
        <v>0</v>
      </c>
      <c r="E61" s="150"/>
    </row>
    <row r="62" spans="1:5" x14ac:dyDescent="0.25">
      <c r="A62" s="204" t="s">
        <v>13</v>
      </c>
      <c r="B62" s="155" t="s">
        <v>99</v>
      </c>
      <c r="C62" s="155" t="s">
        <v>44</v>
      </c>
      <c r="D62" s="275">
        <v>0</v>
      </c>
      <c r="E62" s="150"/>
    </row>
    <row r="63" spans="1:5" x14ac:dyDescent="0.25">
      <c r="A63" s="204" t="s">
        <v>13</v>
      </c>
      <c r="B63" s="155" t="s">
        <v>129</v>
      </c>
      <c r="C63" s="155" t="s">
        <v>44</v>
      </c>
      <c r="D63" s="275">
        <v>0</v>
      </c>
      <c r="E63" s="150"/>
    </row>
    <row r="64" spans="1:5" x14ac:dyDescent="0.25">
      <c r="A64" s="204" t="s">
        <v>13</v>
      </c>
      <c r="B64" s="155" t="s">
        <v>100</v>
      </c>
      <c r="C64" s="155" t="s">
        <v>44</v>
      </c>
      <c r="D64" s="275">
        <v>0</v>
      </c>
      <c r="E64" s="150"/>
    </row>
    <row r="65" spans="1:5" x14ac:dyDescent="0.25">
      <c r="A65" s="204" t="s">
        <v>13</v>
      </c>
      <c r="B65" s="155" t="s">
        <v>101</v>
      </c>
      <c r="C65" s="155" t="s">
        <v>40</v>
      </c>
      <c r="D65" s="141">
        <v>0</v>
      </c>
      <c r="E65" s="150" t="s">
        <v>244</v>
      </c>
    </row>
    <row r="66" spans="1:5" x14ac:dyDescent="0.25">
      <c r="A66" s="204" t="s">
        <v>13</v>
      </c>
      <c r="B66" s="155" t="s">
        <v>101</v>
      </c>
      <c r="C66" s="155" t="s">
        <v>41</v>
      </c>
      <c r="D66" s="141">
        <v>0</v>
      </c>
      <c r="E66" s="150" t="s">
        <v>244</v>
      </c>
    </row>
    <row r="67" spans="1:5" x14ac:dyDescent="0.25">
      <c r="A67" s="204" t="s">
        <v>13</v>
      </c>
      <c r="B67" s="155" t="s">
        <v>101</v>
      </c>
      <c r="C67" s="155" t="s">
        <v>42</v>
      </c>
      <c r="D67" s="141">
        <v>0</v>
      </c>
      <c r="E67" s="150" t="s">
        <v>244</v>
      </c>
    </row>
    <row r="68" spans="1:5" x14ac:dyDescent="0.25">
      <c r="A68" s="204" t="s">
        <v>13</v>
      </c>
      <c r="B68" s="155" t="s">
        <v>101</v>
      </c>
      <c r="C68" s="155" t="s">
        <v>43</v>
      </c>
      <c r="D68" s="141">
        <v>0</v>
      </c>
      <c r="E68" s="150" t="s">
        <v>244</v>
      </c>
    </row>
    <row r="69" spans="1:5" x14ac:dyDescent="0.25">
      <c r="A69" s="204" t="s">
        <v>13</v>
      </c>
      <c r="B69" s="155" t="s">
        <v>101</v>
      </c>
      <c r="C69" s="155" t="s">
        <v>44</v>
      </c>
      <c r="D69" s="141">
        <v>0</v>
      </c>
      <c r="E69" s="150" t="s">
        <v>244</v>
      </c>
    </row>
    <row r="70" spans="1:5" x14ac:dyDescent="0.25">
      <c r="A70" s="204" t="s">
        <v>13</v>
      </c>
      <c r="B70" s="155" t="s">
        <v>101</v>
      </c>
      <c r="C70" s="155" t="s">
        <v>45</v>
      </c>
      <c r="D70" s="141">
        <v>0</v>
      </c>
      <c r="E70" s="150" t="s">
        <v>244</v>
      </c>
    </row>
    <row r="71" spans="1:5" x14ac:dyDescent="0.25">
      <c r="A71" s="204" t="s">
        <v>13</v>
      </c>
      <c r="B71" s="155" t="s">
        <v>102</v>
      </c>
      <c r="C71" s="155" t="s">
        <v>40</v>
      </c>
      <c r="D71" s="141">
        <v>0</v>
      </c>
      <c r="E71" s="150" t="s">
        <v>244</v>
      </c>
    </row>
    <row r="72" spans="1:5" x14ac:dyDescent="0.25">
      <c r="A72" s="204" t="s">
        <v>13</v>
      </c>
      <c r="B72" s="155" t="s">
        <v>102</v>
      </c>
      <c r="C72" s="155" t="s">
        <v>41</v>
      </c>
      <c r="D72" s="141">
        <v>0</v>
      </c>
      <c r="E72" s="150" t="s">
        <v>244</v>
      </c>
    </row>
    <row r="73" spans="1:5" x14ac:dyDescent="0.25">
      <c r="A73" s="204" t="s">
        <v>13</v>
      </c>
      <c r="B73" s="155" t="s">
        <v>102</v>
      </c>
      <c r="C73" s="155" t="s">
        <v>42</v>
      </c>
      <c r="D73" s="141">
        <v>0</v>
      </c>
      <c r="E73" s="150" t="s">
        <v>244</v>
      </c>
    </row>
    <row r="74" spans="1:5" x14ac:dyDescent="0.25">
      <c r="A74" s="204" t="s">
        <v>13</v>
      </c>
      <c r="B74" s="155" t="s">
        <v>102</v>
      </c>
      <c r="C74" s="155" t="s">
        <v>43</v>
      </c>
      <c r="D74" s="141">
        <v>0</v>
      </c>
      <c r="E74" s="150" t="s">
        <v>244</v>
      </c>
    </row>
    <row r="75" spans="1:5" x14ac:dyDescent="0.25">
      <c r="A75" s="204" t="s">
        <v>13</v>
      </c>
      <c r="B75" s="155" t="s">
        <v>102</v>
      </c>
      <c r="C75" s="155" t="s">
        <v>44</v>
      </c>
      <c r="D75" s="141">
        <v>0</v>
      </c>
      <c r="E75" s="150" t="s">
        <v>244</v>
      </c>
    </row>
    <row r="76" spans="1:5" x14ac:dyDescent="0.25">
      <c r="A76" s="204" t="s">
        <v>13</v>
      </c>
      <c r="B76" s="155" t="s">
        <v>102</v>
      </c>
      <c r="C76" s="155" t="s">
        <v>45</v>
      </c>
      <c r="D76" s="141">
        <v>0</v>
      </c>
      <c r="E76" s="150" t="s">
        <v>244</v>
      </c>
    </row>
    <row r="77" spans="1:5" x14ac:dyDescent="0.25">
      <c r="A77" s="204" t="s">
        <v>13</v>
      </c>
      <c r="B77" s="155" t="s">
        <v>56</v>
      </c>
      <c r="C77" s="155" t="s">
        <v>40</v>
      </c>
      <c r="D77" s="141">
        <v>0</v>
      </c>
      <c r="E77" s="150"/>
    </row>
    <row r="78" spans="1:5" x14ac:dyDescent="0.25">
      <c r="A78" s="204" t="s">
        <v>13</v>
      </c>
      <c r="B78" s="155" t="s">
        <v>56</v>
      </c>
      <c r="C78" s="155" t="s">
        <v>41</v>
      </c>
      <c r="D78" s="141">
        <v>0</v>
      </c>
      <c r="E78" s="150"/>
    </row>
    <row r="79" spans="1:5" x14ac:dyDescent="0.25">
      <c r="A79" s="204" t="s">
        <v>13</v>
      </c>
      <c r="B79" s="155" t="s">
        <v>56</v>
      </c>
      <c r="C79" s="155" t="s">
        <v>42</v>
      </c>
      <c r="D79" s="141">
        <v>0</v>
      </c>
      <c r="E79" s="150"/>
    </row>
    <row r="80" spans="1:5" x14ac:dyDescent="0.25">
      <c r="A80" s="204" t="s">
        <v>13</v>
      </c>
      <c r="B80" s="155" t="s">
        <v>56</v>
      </c>
      <c r="C80" s="155" t="s">
        <v>43</v>
      </c>
      <c r="D80" s="141">
        <v>0</v>
      </c>
      <c r="E80" s="150"/>
    </row>
    <row r="81" spans="1:5" x14ac:dyDescent="0.25">
      <c r="A81" s="204" t="s">
        <v>13</v>
      </c>
      <c r="B81" s="155" t="s">
        <v>56</v>
      </c>
      <c r="C81" s="155" t="s">
        <v>44</v>
      </c>
      <c r="D81" s="141">
        <v>0</v>
      </c>
      <c r="E81" s="150"/>
    </row>
    <row r="82" spans="1:5" x14ac:dyDescent="0.25">
      <c r="A82" s="204" t="s">
        <v>13</v>
      </c>
      <c r="B82" s="155" t="s">
        <v>56</v>
      </c>
      <c r="C82" s="155" t="s">
        <v>45</v>
      </c>
      <c r="D82" s="141">
        <v>0</v>
      </c>
      <c r="E82" s="150"/>
    </row>
    <row r="83" spans="1:5" x14ac:dyDescent="0.25">
      <c r="A83" s="204" t="s">
        <v>13</v>
      </c>
      <c r="B83" s="155" t="s">
        <v>55</v>
      </c>
      <c r="C83" s="155" t="s">
        <v>46</v>
      </c>
      <c r="D83" s="275">
        <v>0</v>
      </c>
      <c r="E83" s="278"/>
    </row>
    <row r="84" spans="1:5" x14ac:dyDescent="0.25">
      <c r="A84" s="204" t="s">
        <v>13</v>
      </c>
      <c r="B84" s="155" t="s">
        <v>54</v>
      </c>
      <c r="C84" s="155" t="s">
        <v>45</v>
      </c>
      <c r="D84" s="254">
        <f>'USD to CAD'!$A$1*34</f>
        <v>42.84</v>
      </c>
      <c r="E84" s="155" t="s">
        <v>243</v>
      </c>
    </row>
    <row r="85" spans="1:5" x14ac:dyDescent="0.25">
      <c r="A85" s="150" t="s">
        <v>13</v>
      </c>
      <c r="B85" s="155" t="s">
        <v>57</v>
      </c>
      <c r="C85" s="155" t="s">
        <v>45</v>
      </c>
      <c r="D85" s="275">
        <v>0</v>
      </c>
      <c r="E85" s="150" t="s">
        <v>245</v>
      </c>
    </row>
    <row r="86" spans="1:5" x14ac:dyDescent="0.25">
      <c r="A86" s="150" t="s">
        <v>13</v>
      </c>
      <c r="B86" s="155" t="s">
        <v>82</v>
      </c>
      <c r="C86" s="155" t="s">
        <v>40</v>
      </c>
      <c r="D86" s="279">
        <f>D6*2</f>
        <v>25.2</v>
      </c>
      <c r="E86" s="150" t="s">
        <v>246</v>
      </c>
    </row>
    <row r="87" spans="1:5" x14ac:dyDescent="0.25">
      <c r="A87" s="150" t="s">
        <v>13</v>
      </c>
      <c r="B87" s="201" t="s">
        <v>83</v>
      </c>
      <c r="C87" s="201" t="s">
        <v>40</v>
      </c>
      <c r="D87" s="279">
        <f>D7*2</f>
        <v>25.2</v>
      </c>
      <c r="E87" s="150" t="s">
        <v>246</v>
      </c>
    </row>
    <row r="88" spans="1:5" x14ac:dyDescent="0.25">
      <c r="A88" s="150" t="s">
        <v>13</v>
      </c>
      <c r="B88" s="155" t="s">
        <v>82</v>
      </c>
      <c r="C88" s="155" t="s">
        <v>42</v>
      </c>
      <c r="D88" s="279">
        <f>D8*2</f>
        <v>25.2</v>
      </c>
      <c r="E88" s="150" t="s">
        <v>246</v>
      </c>
    </row>
    <row r="89" spans="1:5" x14ac:dyDescent="0.25">
      <c r="A89" s="150" t="s">
        <v>13</v>
      </c>
      <c r="B89" s="201" t="s">
        <v>83</v>
      </c>
      <c r="C89" s="155" t="s">
        <v>42</v>
      </c>
      <c r="D89" s="279">
        <f>D9*2</f>
        <v>25.2</v>
      </c>
      <c r="E89" s="150" t="s">
        <v>246</v>
      </c>
    </row>
    <row r="90" spans="1:5" x14ac:dyDescent="0.25">
      <c r="A90" s="150" t="s">
        <v>13</v>
      </c>
      <c r="B90" s="201" t="s">
        <v>84</v>
      </c>
      <c r="C90" s="201" t="s">
        <v>40</v>
      </c>
      <c r="D90" s="279">
        <f>D8*2</f>
        <v>25.2</v>
      </c>
      <c r="E90" s="150" t="s">
        <v>246</v>
      </c>
    </row>
    <row r="91" spans="1:5" x14ac:dyDescent="0.25">
      <c r="A91" s="150" t="s">
        <v>13</v>
      </c>
      <c r="B91" s="201" t="s">
        <v>85</v>
      </c>
      <c r="C91" s="201" t="s">
        <v>40</v>
      </c>
      <c r="D91" s="279">
        <f>D9*2</f>
        <v>25.2</v>
      </c>
      <c r="E91" s="150" t="s">
        <v>246</v>
      </c>
    </row>
    <row r="92" spans="1:5" x14ac:dyDescent="0.25">
      <c r="A92" s="150" t="s">
        <v>13</v>
      </c>
      <c r="B92" s="201" t="s">
        <v>84</v>
      </c>
      <c r="C92" s="201" t="s">
        <v>42</v>
      </c>
      <c r="D92" s="279">
        <f>D8*2</f>
        <v>25.2</v>
      </c>
      <c r="E92" s="150" t="s">
        <v>246</v>
      </c>
    </row>
    <row r="93" spans="1:5" x14ac:dyDescent="0.25">
      <c r="A93" s="150" t="s">
        <v>13</v>
      </c>
      <c r="B93" s="201" t="s">
        <v>85</v>
      </c>
      <c r="C93" s="201" t="s">
        <v>42</v>
      </c>
      <c r="D93" s="279">
        <f>D9*2</f>
        <v>25.2</v>
      </c>
      <c r="E93" s="150" t="s">
        <v>246</v>
      </c>
    </row>
    <row r="94" spans="1:5" x14ac:dyDescent="0.25">
      <c r="A94" s="150" t="s">
        <v>13</v>
      </c>
      <c r="B94" s="201" t="s">
        <v>86</v>
      </c>
      <c r="C94" s="201" t="s">
        <v>40</v>
      </c>
      <c r="D94" s="279">
        <f>D10*2</f>
        <v>25.2</v>
      </c>
      <c r="E94" s="150" t="s">
        <v>246</v>
      </c>
    </row>
    <row r="95" spans="1:5" x14ac:dyDescent="0.25">
      <c r="A95" s="150" t="s">
        <v>13</v>
      </c>
      <c r="B95" s="201" t="s">
        <v>87</v>
      </c>
      <c r="C95" s="201" t="s">
        <v>40</v>
      </c>
      <c r="D95" s="279">
        <f>D11*2</f>
        <v>25.2</v>
      </c>
      <c r="E95" s="150" t="s">
        <v>246</v>
      </c>
    </row>
    <row r="96" spans="1:5" x14ac:dyDescent="0.25">
      <c r="A96" s="150" t="s">
        <v>13</v>
      </c>
      <c r="B96" s="201" t="s">
        <v>86</v>
      </c>
      <c r="C96" s="201" t="s">
        <v>42</v>
      </c>
      <c r="D96" s="279">
        <f>D10*2</f>
        <v>25.2</v>
      </c>
      <c r="E96" s="150" t="s">
        <v>246</v>
      </c>
    </row>
    <row r="97" spans="1:5" x14ac:dyDescent="0.25">
      <c r="A97" s="150" t="s">
        <v>13</v>
      </c>
      <c r="B97" s="201" t="s">
        <v>87</v>
      </c>
      <c r="C97" s="201" t="s">
        <v>42</v>
      </c>
      <c r="D97" s="279">
        <f>D11*2</f>
        <v>25.2</v>
      </c>
      <c r="E97" s="150" t="s">
        <v>246</v>
      </c>
    </row>
  </sheetData>
  <autoFilter ref="A3:E97" xr:uid="{579F7394-3A85-4D9D-A310-57916265E1B5}"/>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D27" sqref="D27"/>
    </sheetView>
  </sheetViews>
  <sheetFormatPr defaultRowHeight="13.8" x14ac:dyDescent="0.25"/>
  <sheetData>
    <row r="1" spans="1:1" x14ac:dyDescent="0.25">
      <c r="A1">
        <v>1.26</v>
      </c>
    </row>
  </sheetData>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tabColor rgb="FFFFFF00"/>
  </sheetPr>
  <dimension ref="A1:G12"/>
  <sheetViews>
    <sheetView workbookViewId="0">
      <selection activeCell="B21" sqref="B21"/>
    </sheetView>
  </sheetViews>
  <sheetFormatPr defaultRowHeight="13.8" x14ac:dyDescent="0.25"/>
  <cols>
    <col min="1" max="1" width="33.69921875" customWidth="1"/>
  </cols>
  <sheetData>
    <row r="1" spans="1:7" ht="15" thickBot="1" x14ac:dyDescent="0.3">
      <c r="A1" s="129"/>
      <c r="B1" s="17" t="s">
        <v>211</v>
      </c>
      <c r="C1" s="17" t="s">
        <v>247</v>
      </c>
      <c r="D1" s="17" t="s">
        <v>248</v>
      </c>
      <c r="E1" s="17" t="s">
        <v>249</v>
      </c>
      <c r="F1" s="17" t="s">
        <v>250</v>
      </c>
    </row>
    <row r="2" spans="1:7" ht="15" thickBot="1" x14ac:dyDescent="0.3">
      <c r="A2" s="130" t="s">
        <v>251</v>
      </c>
      <c r="B2" s="16" t="s">
        <v>252</v>
      </c>
      <c r="C2" s="16" t="s">
        <v>252</v>
      </c>
      <c r="D2" s="16" t="s">
        <v>253</v>
      </c>
      <c r="E2" s="16" t="s">
        <v>252</v>
      </c>
      <c r="F2" s="16" t="s">
        <v>252</v>
      </c>
    </row>
    <row r="3" spans="1:7" ht="15" thickBot="1" x14ac:dyDescent="0.3">
      <c r="A3" s="130" t="s">
        <v>254</v>
      </c>
      <c r="B3" s="16" t="s">
        <v>252</v>
      </c>
      <c r="C3" s="16" t="s">
        <v>252</v>
      </c>
      <c r="D3" s="16" t="s">
        <v>253</v>
      </c>
      <c r="E3" s="16" t="s">
        <v>252</v>
      </c>
      <c r="F3" s="16" t="s">
        <v>252</v>
      </c>
    </row>
    <row r="4" spans="1:7" ht="15" thickBot="1" x14ac:dyDescent="0.3">
      <c r="A4" s="130" t="s">
        <v>255</v>
      </c>
      <c r="B4" s="16" t="s">
        <v>252</v>
      </c>
      <c r="C4" s="16" t="s">
        <v>252</v>
      </c>
      <c r="D4" s="16" t="s">
        <v>253</v>
      </c>
      <c r="E4" s="16" t="s">
        <v>252</v>
      </c>
      <c r="F4" s="16" t="s">
        <v>252</v>
      </c>
    </row>
    <row r="5" spans="1:7" ht="15" thickBot="1" x14ac:dyDescent="0.3">
      <c r="A5" s="130" t="s">
        <v>256</v>
      </c>
      <c r="B5" s="16" t="s">
        <v>252</v>
      </c>
      <c r="C5" s="16" t="s">
        <v>252</v>
      </c>
      <c r="D5" s="16" t="s">
        <v>253</v>
      </c>
      <c r="E5" s="16" t="s">
        <v>252</v>
      </c>
      <c r="F5" s="16" t="s">
        <v>252</v>
      </c>
    </row>
    <row r="6" spans="1:7" ht="15" thickBot="1" x14ac:dyDescent="0.3">
      <c r="A6" s="130" t="s">
        <v>257</v>
      </c>
      <c r="B6" s="16" t="s">
        <v>252</v>
      </c>
      <c r="C6" s="16" t="s">
        <v>252</v>
      </c>
      <c r="D6" s="16" t="s">
        <v>253</v>
      </c>
      <c r="E6" s="16" t="s">
        <v>252</v>
      </c>
      <c r="F6" s="16" t="s">
        <v>252</v>
      </c>
    </row>
    <row r="7" spans="1:7" ht="15" thickBot="1" x14ac:dyDescent="0.3">
      <c r="A7" s="130" t="s">
        <v>258</v>
      </c>
      <c r="B7" s="16" t="s">
        <v>252</v>
      </c>
      <c r="C7" s="16" t="s">
        <v>252</v>
      </c>
      <c r="D7" s="16" t="s">
        <v>253</v>
      </c>
      <c r="E7" s="16" t="s">
        <v>252</v>
      </c>
      <c r="F7" s="16" t="s">
        <v>252</v>
      </c>
    </row>
    <row r="8" spans="1:7" ht="15" thickBot="1" x14ac:dyDescent="0.3">
      <c r="A8" s="130" t="s">
        <v>1</v>
      </c>
      <c r="B8" s="16" t="s">
        <v>259</v>
      </c>
      <c r="C8" s="16" t="s">
        <v>252</v>
      </c>
      <c r="D8" s="16" t="s">
        <v>260</v>
      </c>
      <c r="E8" s="16" t="s">
        <v>252</v>
      </c>
      <c r="F8" s="16" t="s">
        <v>259</v>
      </c>
    </row>
    <row r="9" spans="1:7" ht="15" thickBot="1" x14ac:dyDescent="0.3">
      <c r="A9" s="130" t="s">
        <v>261</v>
      </c>
      <c r="B9" s="16" t="s">
        <v>260</v>
      </c>
      <c r="C9" s="16" t="s">
        <v>260</v>
      </c>
      <c r="D9" s="16" t="s">
        <v>253</v>
      </c>
      <c r="E9" s="16" t="s">
        <v>260</v>
      </c>
      <c r="F9" s="16" t="s">
        <v>260</v>
      </c>
    </row>
    <row r="10" spans="1:7" ht="15" thickBot="1" x14ac:dyDescent="0.3">
      <c r="A10" s="130" t="s">
        <v>262</v>
      </c>
      <c r="B10" s="16" t="s">
        <v>260</v>
      </c>
      <c r="C10" s="16" t="s">
        <v>260</v>
      </c>
      <c r="D10" s="16" t="s">
        <v>253</v>
      </c>
      <c r="E10" s="16" t="s">
        <v>260</v>
      </c>
      <c r="F10" s="16" t="s">
        <v>260</v>
      </c>
    </row>
    <row r="11" spans="1:7" ht="15" thickBot="1" x14ac:dyDescent="0.3">
      <c r="A11" s="130" t="s">
        <v>263</v>
      </c>
      <c r="B11" s="16" t="s">
        <v>260</v>
      </c>
      <c r="C11" s="16" t="s">
        <v>260</v>
      </c>
      <c r="D11" s="16" t="s">
        <v>253</v>
      </c>
      <c r="E11" s="16" t="s">
        <v>260</v>
      </c>
      <c r="F11" s="16" t="s">
        <v>260</v>
      </c>
    </row>
    <row r="12" spans="1:7" ht="15" thickBot="1" x14ac:dyDescent="0.3">
      <c r="A12" s="130" t="s">
        <v>5</v>
      </c>
      <c r="B12" s="16" t="s">
        <v>252</v>
      </c>
      <c r="C12" s="16" t="s">
        <v>253</v>
      </c>
      <c r="D12" s="16" t="s">
        <v>252</v>
      </c>
      <c r="E12" s="16" t="s">
        <v>253</v>
      </c>
      <c r="F12" s="16" t="s">
        <v>252</v>
      </c>
      <c r="G12" s="404" t="s">
        <v>569</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tabColor theme="1"/>
  </sheetPr>
  <dimension ref="A1"/>
  <sheetViews>
    <sheetView workbookViewId="0">
      <selection sqref="A1:XFD1048576"/>
    </sheetView>
  </sheetViews>
  <sheetFormatPr defaultColWidth="9.09765625" defaultRowHeight="13.8" x14ac:dyDescent="0.25"/>
  <cols>
    <col min="1" max="1" width="9.09765625" style="405" customWidth="1"/>
    <col min="2" max="16384" width="9.09765625" style="405"/>
  </cols>
  <sheetData/>
  <mergeCells count="1">
    <mergeCell ref="A1:XFD1048576"/>
  </mergeCell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5"/>
  </sheetPr>
  <dimension ref="A1:K482"/>
  <sheetViews>
    <sheetView zoomScale="70" zoomScaleNormal="70" workbookViewId="0">
      <selection activeCell="L17" sqref="L17"/>
    </sheetView>
  </sheetViews>
  <sheetFormatPr defaultColWidth="9.09765625" defaultRowHeight="13.8" outlineLevelRow="1" x14ac:dyDescent="0.25"/>
  <cols>
    <col min="1" max="1" width="13.296875" style="157" customWidth="1"/>
    <col min="2" max="2" width="45.19921875" style="308" customWidth="1"/>
    <col min="3" max="3" width="23.59765625" style="308" customWidth="1"/>
    <col min="4" max="4" width="22.796875" style="308" customWidth="1"/>
    <col min="5" max="5" width="18.69921875" style="162" customWidth="1"/>
    <col min="6" max="6" width="13.796875" style="162" customWidth="1"/>
    <col min="7" max="7" width="93.796875" style="283" customWidth="1"/>
    <col min="8" max="8" width="26.59765625" style="157" customWidth="1"/>
    <col min="9" max="16384" width="9.09765625" style="157"/>
  </cols>
  <sheetData>
    <row r="1" spans="1:11" ht="39" customHeight="1" outlineLevel="1" x14ac:dyDescent="0.25">
      <c r="B1" s="306"/>
      <c r="C1" s="306"/>
      <c r="D1" s="306"/>
      <c r="E1" s="221"/>
      <c r="F1" s="221"/>
      <c r="G1" s="281"/>
      <c r="H1" s="280"/>
    </row>
    <row r="2" spans="1:11" ht="39" customHeight="1" outlineLevel="1" x14ac:dyDescent="0.25">
      <c r="B2" s="306"/>
      <c r="C2" s="306"/>
      <c r="D2" s="306"/>
      <c r="E2" s="221"/>
      <c r="F2" s="221"/>
      <c r="G2" s="281"/>
      <c r="H2" s="280"/>
    </row>
    <row r="3" spans="1:11" outlineLevel="1" x14ac:dyDescent="0.25">
      <c r="A3" s="282" t="s">
        <v>7</v>
      </c>
      <c r="B3" s="307" t="s">
        <v>31</v>
      </c>
      <c r="E3" s="162" t="s">
        <v>264</v>
      </c>
    </row>
    <row r="4" spans="1:11" s="284" customFormat="1" ht="28.8" x14ac:dyDescent="0.25">
      <c r="A4" s="288" t="s">
        <v>23</v>
      </c>
      <c r="B4" s="289" t="s">
        <v>265</v>
      </c>
      <c r="C4" s="289" t="s">
        <v>266</v>
      </c>
      <c r="D4" s="309" t="s">
        <v>267</v>
      </c>
      <c r="E4" s="223" t="str">
        <f>EditableIndexes!$Q$5</f>
        <v>Scenario 2</v>
      </c>
      <c r="F4" s="223" t="str">
        <f>EditableIndexes!$Q$6</f>
        <v>Scenario 1</v>
      </c>
      <c r="G4" s="289" t="s">
        <v>26</v>
      </c>
      <c r="H4" s="261" t="s">
        <v>268</v>
      </c>
      <c r="K4" s="157"/>
    </row>
    <row r="5" spans="1:11" s="162" customFormat="1" ht="58.5" customHeight="1" x14ac:dyDescent="0.25">
      <c r="A5" s="224" t="s">
        <v>13</v>
      </c>
      <c r="B5" s="310" t="s">
        <v>80</v>
      </c>
      <c r="C5" s="311" t="s">
        <v>45</v>
      </c>
      <c r="D5" s="311" t="s">
        <v>269</v>
      </c>
      <c r="E5" s="290">
        <v>0.125</v>
      </c>
      <c r="F5" s="290">
        <f>E5/2</f>
        <v>6.25E-2</v>
      </c>
      <c r="G5" s="228" t="s">
        <v>270</v>
      </c>
      <c r="H5" s="291" t="s">
        <v>271</v>
      </c>
    </row>
    <row r="6" spans="1:11" s="162" customFormat="1" ht="24" customHeight="1" x14ac:dyDescent="0.25">
      <c r="A6" s="224" t="s">
        <v>13</v>
      </c>
      <c r="B6" s="310" t="s">
        <v>80</v>
      </c>
      <c r="C6" s="311" t="s">
        <v>45</v>
      </c>
      <c r="D6" s="311" t="s">
        <v>272</v>
      </c>
      <c r="E6" s="290">
        <v>0.22500000000000001</v>
      </c>
      <c r="F6" s="290">
        <f t="shared" ref="F6:F8" si="0">E6/2</f>
        <v>0.1125</v>
      </c>
      <c r="G6" s="228" t="s">
        <v>273</v>
      </c>
      <c r="H6" s="291" t="s">
        <v>271</v>
      </c>
    </row>
    <row r="7" spans="1:11" s="162" customFormat="1" ht="18" customHeight="1" x14ac:dyDescent="0.25">
      <c r="A7" s="224" t="s">
        <v>13</v>
      </c>
      <c r="B7" s="310" t="s">
        <v>81</v>
      </c>
      <c r="C7" s="311" t="s">
        <v>45</v>
      </c>
      <c r="D7" s="311" t="s">
        <v>269</v>
      </c>
      <c r="E7" s="290">
        <v>0.2</v>
      </c>
      <c r="F7" s="290">
        <f t="shared" si="0"/>
        <v>0.1</v>
      </c>
      <c r="G7" s="228" t="s">
        <v>273</v>
      </c>
      <c r="H7" s="291" t="s">
        <v>271</v>
      </c>
    </row>
    <row r="8" spans="1:11" s="162" customFormat="1" ht="18" customHeight="1" x14ac:dyDescent="0.25">
      <c r="A8" s="224" t="s">
        <v>13</v>
      </c>
      <c r="B8" s="310" t="s">
        <v>81</v>
      </c>
      <c r="C8" s="311" t="s">
        <v>45</v>
      </c>
      <c r="D8" s="311" t="s">
        <v>272</v>
      </c>
      <c r="E8" s="290">
        <v>0.3</v>
      </c>
      <c r="F8" s="290">
        <f t="shared" si="0"/>
        <v>0.15</v>
      </c>
      <c r="G8" s="228" t="s">
        <v>273</v>
      </c>
      <c r="H8" s="291" t="s">
        <v>271</v>
      </c>
    </row>
    <row r="9" spans="1:11" s="162" customFormat="1" ht="20.25" customHeight="1" x14ac:dyDescent="0.25">
      <c r="A9" s="224" t="s">
        <v>13</v>
      </c>
      <c r="B9" s="310" t="s">
        <v>82</v>
      </c>
      <c r="C9" s="311" t="s">
        <v>45</v>
      </c>
      <c r="D9" s="311" t="s">
        <v>269</v>
      </c>
      <c r="E9" s="290">
        <v>0.5</v>
      </c>
      <c r="F9" s="290">
        <v>0</v>
      </c>
      <c r="G9" s="228" t="s">
        <v>274</v>
      </c>
      <c r="H9" s="291" t="s">
        <v>271</v>
      </c>
    </row>
    <row r="10" spans="1:11" s="162" customFormat="1" ht="13.5" customHeight="1" x14ac:dyDescent="0.25">
      <c r="A10" s="224" t="s">
        <v>13</v>
      </c>
      <c r="B10" s="310" t="s">
        <v>82</v>
      </c>
      <c r="C10" s="311" t="s">
        <v>45</v>
      </c>
      <c r="D10" s="311" t="s">
        <v>272</v>
      </c>
      <c r="E10" s="290">
        <v>0.5</v>
      </c>
      <c r="F10" s="290">
        <v>0</v>
      </c>
      <c r="G10" s="200" t="s">
        <v>275</v>
      </c>
      <c r="H10" s="291" t="s">
        <v>271</v>
      </c>
    </row>
    <row r="11" spans="1:11" s="162" customFormat="1" ht="14.4" x14ac:dyDescent="0.25">
      <c r="A11" s="224" t="s">
        <v>13</v>
      </c>
      <c r="B11" s="312" t="s">
        <v>83</v>
      </c>
      <c r="C11" s="311" t="s">
        <v>45</v>
      </c>
      <c r="D11" s="311" t="s">
        <v>269</v>
      </c>
      <c r="E11" s="290">
        <v>0</v>
      </c>
      <c r="F11" s="290">
        <f t="shared" ref="F11:F32" si="1">E11/2</f>
        <v>0</v>
      </c>
      <c r="G11" s="228" t="s">
        <v>546</v>
      </c>
      <c r="H11" s="291" t="s">
        <v>271</v>
      </c>
    </row>
    <row r="12" spans="1:11" s="162" customFormat="1" ht="14.4" x14ac:dyDescent="0.25">
      <c r="A12" s="224" t="s">
        <v>13</v>
      </c>
      <c r="B12" s="312" t="s">
        <v>83</v>
      </c>
      <c r="C12" s="311" t="s">
        <v>45</v>
      </c>
      <c r="D12" s="311" t="s">
        <v>272</v>
      </c>
      <c r="E12" s="290">
        <v>0</v>
      </c>
      <c r="F12" s="290">
        <f t="shared" si="1"/>
        <v>0</v>
      </c>
      <c r="G12" s="228" t="s">
        <v>546</v>
      </c>
      <c r="H12" s="291" t="s">
        <v>271</v>
      </c>
    </row>
    <row r="13" spans="1:11" s="162" customFormat="1" ht="15" customHeight="1" x14ac:dyDescent="0.25">
      <c r="A13" s="224" t="s">
        <v>13</v>
      </c>
      <c r="B13" s="310" t="s">
        <v>80</v>
      </c>
      <c r="C13" s="311" t="s">
        <v>40</v>
      </c>
      <c r="D13" s="311" t="s">
        <v>276</v>
      </c>
      <c r="E13" s="292">
        <v>0.1</v>
      </c>
      <c r="F13" s="290">
        <f t="shared" si="1"/>
        <v>0.05</v>
      </c>
      <c r="G13" s="428" t="s">
        <v>547</v>
      </c>
      <c r="H13" s="291" t="s">
        <v>271</v>
      </c>
    </row>
    <row r="14" spans="1:11" s="162" customFormat="1" ht="15" customHeight="1" x14ac:dyDescent="0.25">
      <c r="A14" s="224" t="s">
        <v>13</v>
      </c>
      <c r="B14" s="310" t="s">
        <v>80</v>
      </c>
      <c r="C14" s="311" t="s">
        <v>40</v>
      </c>
      <c r="D14" s="311" t="s">
        <v>279</v>
      </c>
      <c r="E14" s="292">
        <v>0.1</v>
      </c>
      <c r="F14" s="290">
        <f t="shared" si="1"/>
        <v>0.05</v>
      </c>
      <c r="G14" s="428"/>
      <c r="H14" s="291" t="s">
        <v>271</v>
      </c>
    </row>
    <row r="15" spans="1:11" s="162" customFormat="1" ht="15" customHeight="1" x14ac:dyDescent="0.25">
      <c r="A15" s="224" t="s">
        <v>13</v>
      </c>
      <c r="B15" s="310" t="s">
        <v>80</v>
      </c>
      <c r="C15" s="311" t="s">
        <v>40</v>
      </c>
      <c r="D15" s="311" t="s">
        <v>280</v>
      </c>
      <c r="E15" s="292">
        <v>0.1</v>
      </c>
      <c r="F15" s="290">
        <f t="shared" si="1"/>
        <v>0.05</v>
      </c>
      <c r="G15" s="428"/>
      <c r="H15" s="291" t="s">
        <v>271</v>
      </c>
    </row>
    <row r="16" spans="1:11" s="162" customFormat="1" ht="15" customHeight="1" x14ac:dyDescent="0.25">
      <c r="A16" s="224" t="s">
        <v>13</v>
      </c>
      <c r="B16" s="310" t="s">
        <v>80</v>
      </c>
      <c r="C16" s="311" t="s">
        <v>40</v>
      </c>
      <c r="D16" s="311" t="s">
        <v>281</v>
      </c>
      <c r="E16" s="292">
        <v>0.1</v>
      </c>
      <c r="F16" s="290">
        <f t="shared" si="1"/>
        <v>0.05</v>
      </c>
      <c r="G16" s="428"/>
      <c r="H16" s="291" t="s">
        <v>271</v>
      </c>
    </row>
    <row r="17" spans="1:8" s="162" customFormat="1" ht="15" customHeight="1" x14ac:dyDescent="0.25">
      <c r="A17" s="224" t="s">
        <v>13</v>
      </c>
      <c r="B17" s="310" t="s">
        <v>80</v>
      </c>
      <c r="C17" s="311" t="s">
        <v>40</v>
      </c>
      <c r="D17" s="311" t="s">
        <v>282</v>
      </c>
      <c r="E17" s="292">
        <v>0.1</v>
      </c>
      <c r="F17" s="290">
        <f t="shared" si="1"/>
        <v>0.05</v>
      </c>
      <c r="G17" s="428"/>
      <c r="H17" s="291" t="s">
        <v>271</v>
      </c>
    </row>
    <row r="18" spans="1:8" s="162" customFormat="1" ht="15" customHeight="1" x14ac:dyDescent="0.25">
      <c r="A18" s="224" t="s">
        <v>13</v>
      </c>
      <c r="B18" s="310" t="s">
        <v>80</v>
      </c>
      <c r="C18" s="311" t="s">
        <v>42</v>
      </c>
      <c r="D18" s="311" t="s">
        <v>276</v>
      </c>
      <c r="E18" s="292">
        <v>0.1</v>
      </c>
      <c r="F18" s="290">
        <f t="shared" si="1"/>
        <v>0.05</v>
      </c>
      <c r="G18" s="428"/>
      <c r="H18" s="291" t="s">
        <v>271</v>
      </c>
    </row>
    <row r="19" spans="1:8" s="162" customFormat="1" ht="15" customHeight="1" x14ac:dyDescent="0.25">
      <c r="A19" s="224" t="s">
        <v>13</v>
      </c>
      <c r="B19" s="310" t="s">
        <v>80</v>
      </c>
      <c r="C19" s="311" t="s">
        <v>42</v>
      </c>
      <c r="D19" s="311" t="s">
        <v>279</v>
      </c>
      <c r="E19" s="292">
        <v>0.1</v>
      </c>
      <c r="F19" s="290">
        <f t="shared" si="1"/>
        <v>0.05</v>
      </c>
      <c r="G19" s="428"/>
      <c r="H19" s="291" t="s">
        <v>271</v>
      </c>
    </row>
    <row r="20" spans="1:8" s="162" customFormat="1" ht="15" customHeight="1" x14ac:dyDescent="0.25">
      <c r="A20" s="224" t="s">
        <v>13</v>
      </c>
      <c r="B20" s="310" t="s">
        <v>80</v>
      </c>
      <c r="C20" s="311" t="s">
        <v>42</v>
      </c>
      <c r="D20" s="311" t="s">
        <v>280</v>
      </c>
      <c r="E20" s="292">
        <v>0.1</v>
      </c>
      <c r="F20" s="290">
        <f t="shared" si="1"/>
        <v>0.05</v>
      </c>
      <c r="G20" s="428"/>
      <c r="H20" s="291" t="s">
        <v>271</v>
      </c>
    </row>
    <row r="21" spans="1:8" s="162" customFormat="1" ht="15" customHeight="1" x14ac:dyDescent="0.25">
      <c r="A21" s="224" t="s">
        <v>13</v>
      </c>
      <c r="B21" s="310" t="s">
        <v>80</v>
      </c>
      <c r="C21" s="311" t="s">
        <v>42</v>
      </c>
      <c r="D21" s="311" t="s">
        <v>281</v>
      </c>
      <c r="E21" s="292">
        <v>0.1</v>
      </c>
      <c r="F21" s="290">
        <f t="shared" si="1"/>
        <v>0.05</v>
      </c>
      <c r="G21" s="428"/>
      <c r="H21" s="291" t="s">
        <v>271</v>
      </c>
    </row>
    <row r="22" spans="1:8" s="162" customFormat="1" ht="15" customHeight="1" x14ac:dyDescent="0.25">
      <c r="A22" s="224" t="s">
        <v>13</v>
      </c>
      <c r="B22" s="310" t="s">
        <v>80</v>
      </c>
      <c r="C22" s="311" t="s">
        <v>42</v>
      </c>
      <c r="D22" s="311" t="s">
        <v>282</v>
      </c>
      <c r="E22" s="292">
        <v>0.1</v>
      </c>
      <c r="F22" s="290">
        <f t="shared" si="1"/>
        <v>0.05</v>
      </c>
      <c r="G22" s="428"/>
      <c r="H22" s="291" t="s">
        <v>271</v>
      </c>
    </row>
    <row r="23" spans="1:8" s="162" customFormat="1" ht="15" customHeight="1" x14ac:dyDescent="0.25">
      <c r="A23" s="224" t="s">
        <v>13</v>
      </c>
      <c r="B23" s="310" t="s">
        <v>81</v>
      </c>
      <c r="C23" s="311" t="s">
        <v>40</v>
      </c>
      <c r="D23" s="311" t="s">
        <v>276</v>
      </c>
      <c r="E23" s="292">
        <v>0.2</v>
      </c>
      <c r="F23" s="290">
        <f t="shared" si="1"/>
        <v>0.1</v>
      </c>
      <c r="G23" s="428" t="s">
        <v>277</v>
      </c>
      <c r="H23" s="291" t="s">
        <v>271</v>
      </c>
    </row>
    <row r="24" spans="1:8" s="162" customFormat="1" ht="15" customHeight="1" x14ac:dyDescent="0.25">
      <c r="A24" s="224" t="s">
        <v>13</v>
      </c>
      <c r="B24" s="310" t="s">
        <v>81</v>
      </c>
      <c r="C24" s="311" t="s">
        <v>40</v>
      </c>
      <c r="D24" s="311" t="s">
        <v>279</v>
      </c>
      <c r="E24" s="292">
        <v>0.2</v>
      </c>
      <c r="F24" s="290">
        <f t="shared" si="1"/>
        <v>0.1</v>
      </c>
      <c r="G24" s="428"/>
      <c r="H24" s="291" t="s">
        <v>271</v>
      </c>
    </row>
    <row r="25" spans="1:8" s="162" customFormat="1" ht="15" customHeight="1" x14ac:dyDescent="0.25">
      <c r="A25" s="224" t="s">
        <v>13</v>
      </c>
      <c r="B25" s="310" t="s">
        <v>81</v>
      </c>
      <c r="C25" s="311" t="s">
        <v>40</v>
      </c>
      <c r="D25" s="311" t="s">
        <v>280</v>
      </c>
      <c r="E25" s="292">
        <v>0.2</v>
      </c>
      <c r="F25" s="290">
        <f t="shared" si="1"/>
        <v>0.1</v>
      </c>
      <c r="G25" s="428"/>
      <c r="H25" s="291" t="s">
        <v>271</v>
      </c>
    </row>
    <row r="26" spans="1:8" s="162" customFormat="1" ht="15" customHeight="1" x14ac:dyDescent="0.25">
      <c r="A26" s="224" t="s">
        <v>13</v>
      </c>
      <c r="B26" s="310" t="s">
        <v>81</v>
      </c>
      <c r="C26" s="311" t="s">
        <v>40</v>
      </c>
      <c r="D26" s="311" t="s">
        <v>281</v>
      </c>
      <c r="E26" s="292">
        <v>0.2</v>
      </c>
      <c r="F26" s="290">
        <f t="shared" si="1"/>
        <v>0.1</v>
      </c>
      <c r="G26" s="428"/>
      <c r="H26" s="291" t="s">
        <v>271</v>
      </c>
    </row>
    <row r="27" spans="1:8" s="162" customFormat="1" ht="15" customHeight="1" x14ac:dyDescent="0.25">
      <c r="A27" s="224" t="s">
        <v>13</v>
      </c>
      <c r="B27" s="310" t="s">
        <v>81</v>
      </c>
      <c r="C27" s="311" t="s">
        <v>40</v>
      </c>
      <c r="D27" s="311" t="s">
        <v>282</v>
      </c>
      <c r="E27" s="292">
        <v>0.2</v>
      </c>
      <c r="F27" s="290">
        <f t="shared" si="1"/>
        <v>0.1</v>
      </c>
      <c r="G27" s="428"/>
      <c r="H27" s="291" t="s">
        <v>271</v>
      </c>
    </row>
    <row r="28" spans="1:8" s="162" customFormat="1" ht="15" customHeight="1" x14ac:dyDescent="0.25">
      <c r="A28" s="224" t="s">
        <v>13</v>
      </c>
      <c r="B28" s="310" t="s">
        <v>81</v>
      </c>
      <c r="C28" s="311" t="s">
        <v>42</v>
      </c>
      <c r="D28" s="311" t="s">
        <v>276</v>
      </c>
      <c r="E28" s="292">
        <v>0.2</v>
      </c>
      <c r="F28" s="290">
        <f t="shared" si="1"/>
        <v>0.1</v>
      </c>
      <c r="G28" s="428"/>
      <c r="H28" s="291" t="s">
        <v>271</v>
      </c>
    </row>
    <row r="29" spans="1:8" s="162" customFormat="1" ht="15" customHeight="1" x14ac:dyDescent="0.25">
      <c r="A29" s="224" t="s">
        <v>13</v>
      </c>
      <c r="B29" s="310" t="s">
        <v>81</v>
      </c>
      <c r="C29" s="311" t="s">
        <v>42</v>
      </c>
      <c r="D29" s="311" t="s">
        <v>279</v>
      </c>
      <c r="E29" s="292">
        <v>0.2</v>
      </c>
      <c r="F29" s="290">
        <f t="shared" si="1"/>
        <v>0.1</v>
      </c>
      <c r="G29" s="428"/>
      <c r="H29" s="291" t="s">
        <v>271</v>
      </c>
    </row>
    <row r="30" spans="1:8" s="162" customFormat="1" ht="15" customHeight="1" x14ac:dyDescent="0.25">
      <c r="A30" s="224" t="s">
        <v>13</v>
      </c>
      <c r="B30" s="310" t="s">
        <v>81</v>
      </c>
      <c r="C30" s="311" t="s">
        <v>42</v>
      </c>
      <c r="D30" s="311" t="s">
        <v>280</v>
      </c>
      <c r="E30" s="292">
        <v>0.2</v>
      </c>
      <c r="F30" s="290">
        <f t="shared" si="1"/>
        <v>0.1</v>
      </c>
      <c r="G30" s="428"/>
      <c r="H30" s="291" t="s">
        <v>271</v>
      </c>
    </row>
    <row r="31" spans="1:8" s="162" customFormat="1" ht="15" customHeight="1" x14ac:dyDescent="0.25">
      <c r="A31" s="224" t="s">
        <v>13</v>
      </c>
      <c r="B31" s="310" t="s">
        <v>81</v>
      </c>
      <c r="C31" s="311" t="s">
        <v>42</v>
      </c>
      <c r="D31" s="311" t="s">
        <v>281</v>
      </c>
      <c r="E31" s="292">
        <v>0.2</v>
      </c>
      <c r="F31" s="290">
        <f t="shared" si="1"/>
        <v>0.1</v>
      </c>
      <c r="G31" s="428"/>
      <c r="H31" s="291" t="s">
        <v>271</v>
      </c>
    </row>
    <row r="32" spans="1:8" s="162" customFormat="1" ht="15" customHeight="1" x14ac:dyDescent="0.25">
      <c r="A32" s="224" t="s">
        <v>13</v>
      </c>
      <c r="B32" s="310" t="s">
        <v>81</v>
      </c>
      <c r="C32" s="311" t="s">
        <v>42</v>
      </c>
      <c r="D32" s="311" t="s">
        <v>282</v>
      </c>
      <c r="E32" s="292">
        <v>0.2</v>
      </c>
      <c r="F32" s="290">
        <f t="shared" si="1"/>
        <v>0.1</v>
      </c>
      <c r="G32" s="428"/>
      <c r="H32" s="291" t="s">
        <v>271</v>
      </c>
    </row>
    <row r="33" spans="1:8" s="162" customFormat="1" ht="15" customHeight="1" x14ac:dyDescent="0.25">
      <c r="A33" s="224" t="s">
        <v>13</v>
      </c>
      <c r="B33" s="310" t="s">
        <v>84</v>
      </c>
      <c r="C33" s="311" t="s">
        <v>45</v>
      </c>
      <c r="D33" s="311" t="s">
        <v>272</v>
      </c>
      <c r="E33" s="290">
        <v>0.5</v>
      </c>
      <c r="F33" s="290">
        <v>0</v>
      </c>
      <c r="G33" s="200" t="s">
        <v>275</v>
      </c>
      <c r="H33" s="291" t="s">
        <v>271</v>
      </c>
    </row>
    <row r="34" spans="1:8" s="162" customFormat="1" ht="15" customHeight="1" x14ac:dyDescent="0.25">
      <c r="A34" s="224" t="s">
        <v>13</v>
      </c>
      <c r="B34" s="310" t="s">
        <v>85</v>
      </c>
      <c r="C34" s="311" t="s">
        <v>45</v>
      </c>
      <c r="D34" s="311" t="s">
        <v>272</v>
      </c>
      <c r="E34" s="290">
        <v>0.25</v>
      </c>
      <c r="F34" s="290">
        <f>E34/2</f>
        <v>0.125</v>
      </c>
      <c r="G34" s="200" t="s">
        <v>283</v>
      </c>
      <c r="H34" s="291" t="s">
        <v>271</v>
      </c>
    </row>
    <row r="35" spans="1:8" s="162" customFormat="1" ht="15" customHeight="1" x14ac:dyDescent="0.25">
      <c r="A35" s="224" t="s">
        <v>13</v>
      </c>
      <c r="B35" s="310" t="s">
        <v>84</v>
      </c>
      <c r="C35" s="311" t="s">
        <v>45</v>
      </c>
      <c r="D35" s="311" t="s">
        <v>269</v>
      </c>
      <c r="E35" s="290">
        <v>0.3</v>
      </c>
      <c r="F35" s="290">
        <v>0</v>
      </c>
      <c r="G35" s="200" t="s">
        <v>274</v>
      </c>
      <c r="H35" s="291" t="s">
        <v>271</v>
      </c>
    </row>
    <row r="36" spans="1:8" s="162" customFormat="1" ht="15" customHeight="1" x14ac:dyDescent="0.25">
      <c r="A36" s="224" t="s">
        <v>13</v>
      </c>
      <c r="B36" s="310" t="s">
        <v>85</v>
      </c>
      <c r="C36" s="311" t="s">
        <v>45</v>
      </c>
      <c r="D36" s="311" t="s">
        <v>269</v>
      </c>
      <c r="E36" s="290">
        <v>0.15</v>
      </c>
      <c r="F36" s="290">
        <f>E36/2</f>
        <v>7.4999999999999997E-2</v>
      </c>
      <c r="G36" s="200" t="s">
        <v>284</v>
      </c>
      <c r="H36" s="291" t="s">
        <v>271</v>
      </c>
    </row>
    <row r="37" spans="1:8" s="162" customFormat="1" ht="15" customHeight="1" x14ac:dyDescent="0.25">
      <c r="A37" s="224" t="s">
        <v>13</v>
      </c>
      <c r="B37" s="310" t="s">
        <v>86</v>
      </c>
      <c r="C37" s="311" t="s">
        <v>45</v>
      </c>
      <c r="D37" s="311" t="s">
        <v>272</v>
      </c>
      <c r="E37" s="290">
        <v>0.5</v>
      </c>
      <c r="F37" s="290">
        <v>0</v>
      </c>
      <c r="G37" s="200" t="s">
        <v>275</v>
      </c>
      <c r="H37" s="291" t="s">
        <v>271</v>
      </c>
    </row>
    <row r="38" spans="1:8" s="162" customFormat="1" ht="15" customHeight="1" x14ac:dyDescent="0.25">
      <c r="A38" s="224" t="s">
        <v>13</v>
      </c>
      <c r="B38" s="310" t="s">
        <v>87</v>
      </c>
      <c r="C38" s="311" t="s">
        <v>45</v>
      </c>
      <c r="D38" s="311" t="s">
        <v>272</v>
      </c>
      <c r="E38" s="290">
        <v>0.25</v>
      </c>
      <c r="F38" s="290">
        <f>E38/2</f>
        <v>0.125</v>
      </c>
      <c r="G38" s="200" t="s">
        <v>283</v>
      </c>
      <c r="H38" s="291" t="s">
        <v>271</v>
      </c>
    </row>
    <row r="39" spans="1:8" s="162" customFormat="1" ht="15" customHeight="1" x14ac:dyDescent="0.25">
      <c r="A39" s="224" t="s">
        <v>13</v>
      </c>
      <c r="B39" s="310" t="s">
        <v>86</v>
      </c>
      <c r="C39" s="311" t="s">
        <v>45</v>
      </c>
      <c r="D39" s="311" t="s">
        <v>269</v>
      </c>
      <c r="E39" s="290">
        <v>0.3</v>
      </c>
      <c r="F39" s="290">
        <v>0</v>
      </c>
      <c r="G39" s="200" t="s">
        <v>274</v>
      </c>
      <c r="H39" s="291" t="s">
        <v>271</v>
      </c>
    </row>
    <row r="40" spans="1:8" s="162" customFormat="1" ht="15" customHeight="1" x14ac:dyDescent="0.25">
      <c r="A40" s="224" t="s">
        <v>13</v>
      </c>
      <c r="B40" s="310" t="s">
        <v>87</v>
      </c>
      <c r="C40" s="311" t="s">
        <v>45</v>
      </c>
      <c r="D40" s="311" t="s">
        <v>269</v>
      </c>
      <c r="E40" s="290">
        <v>0.15</v>
      </c>
      <c r="F40" s="290">
        <f>E40/2</f>
        <v>7.4999999999999997E-2</v>
      </c>
      <c r="G40" s="200" t="s">
        <v>284</v>
      </c>
      <c r="H40" s="291" t="s">
        <v>271</v>
      </c>
    </row>
    <row r="41" spans="1:8" s="162" customFormat="1" ht="15" customHeight="1" x14ac:dyDescent="0.25">
      <c r="A41" s="224" t="s">
        <v>13</v>
      </c>
      <c r="B41" s="310" t="s">
        <v>88</v>
      </c>
      <c r="C41" s="311" t="s">
        <v>40</v>
      </c>
      <c r="D41" s="311" t="s">
        <v>276</v>
      </c>
      <c r="E41" s="290">
        <v>0</v>
      </c>
      <c r="F41" s="290">
        <v>0</v>
      </c>
      <c r="G41" s="428" t="s">
        <v>285</v>
      </c>
      <c r="H41" s="291" t="s">
        <v>271</v>
      </c>
    </row>
    <row r="42" spans="1:8" s="162" customFormat="1" ht="15" customHeight="1" x14ac:dyDescent="0.25">
      <c r="A42" s="224" t="s">
        <v>13</v>
      </c>
      <c r="B42" s="310" t="s">
        <v>88</v>
      </c>
      <c r="C42" s="311" t="s">
        <v>40</v>
      </c>
      <c r="D42" s="311" t="s">
        <v>279</v>
      </c>
      <c r="E42" s="290">
        <v>0</v>
      </c>
      <c r="F42" s="290">
        <v>0</v>
      </c>
      <c r="G42" s="428"/>
      <c r="H42" s="291" t="s">
        <v>271</v>
      </c>
    </row>
    <row r="43" spans="1:8" s="162" customFormat="1" ht="15" customHeight="1" x14ac:dyDescent="0.25">
      <c r="A43" s="224" t="s">
        <v>13</v>
      </c>
      <c r="B43" s="310" t="s">
        <v>88</v>
      </c>
      <c r="C43" s="311" t="s">
        <v>40</v>
      </c>
      <c r="D43" s="311" t="s">
        <v>280</v>
      </c>
      <c r="E43" s="290">
        <v>0</v>
      </c>
      <c r="F43" s="290">
        <v>0</v>
      </c>
      <c r="G43" s="428"/>
      <c r="H43" s="291" t="s">
        <v>271</v>
      </c>
    </row>
    <row r="44" spans="1:8" s="162" customFormat="1" ht="15" customHeight="1" x14ac:dyDescent="0.25">
      <c r="A44" s="224" t="s">
        <v>13</v>
      </c>
      <c r="B44" s="310" t="s">
        <v>88</v>
      </c>
      <c r="C44" s="311" t="s">
        <v>40</v>
      </c>
      <c r="D44" s="311" t="s">
        <v>281</v>
      </c>
      <c r="E44" s="290">
        <v>0</v>
      </c>
      <c r="F44" s="290">
        <v>0</v>
      </c>
      <c r="G44" s="428"/>
      <c r="H44" s="291" t="s">
        <v>271</v>
      </c>
    </row>
    <row r="45" spans="1:8" s="162" customFormat="1" ht="15" customHeight="1" x14ac:dyDescent="0.25">
      <c r="A45" s="224" t="s">
        <v>13</v>
      </c>
      <c r="B45" s="310" t="s">
        <v>88</v>
      </c>
      <c r="C45" s="311" t="s">
        <v>40</v>
      </c>
      <c r="D45" s="311" t="s">
        <v>282</v>
      </c>
      <c r="E45" s="290">
        <v>0</v>
      </c>
      <c r="F45" s="290">
        <v>0</v>
      </c>
      <c r="G45" s="428"/>
      <c r="H45" s="291" t="s">
        <v>271</v>
      </c>
    </row>
    <row r="46" spans="1:8" s="162" customFormat="1" x14ac:dyDescent="0.25">
      <c r="A46" s="224" t="s">
        <v>13</v>
      </c>
      <c r="B46" s="310" t="s">
        <v>88</v>
      </c>
      <c r="C46" s="311" t="s">
        <v>42</v>
      </c>
      <c r="D46" s="311" t="s">
        <v>282</v>
      </c>
      <c r="E46" s="290">
        <v>0</v>
      </c>
      <c r="F46" s="290">
        <v>0</v>
      </c>
      <c r="G46" s="428"/>
      <c r="H46" s="291" t="s">
        <v>271</v>
      </c>
    </row>
    <row r="47" spans="1:8" s="162" customFormat="1" x14ac:dyDescent="0.25">
      <c r="A47" s="224" t="s">
        <v>13</v>
      </c>
      <c r="B47" s="310" t="s">
        <v>88</v>
      </c>
      <c r="C47" s="311" t="s">
        <v>42</v>
      </c>
      <c r="D47" s="311" t="s">
        <v>276</v>
      </c>
      <c r="E47" s="290">
        <v>0</v>
      </c>
      <c r="F47" s="290">
        <v>0</v>
      </c>
      <c r="G47" s="428"/>
      <c r="H47" s="291" t="s">
        <v>271</v>
      </c>
    </row>
    <row r="48" spans="1:8" s="162" customFormat="1" x14ac:dyDescent="0.25">
      <c r="A48" s="224" t="s">
        <v>13</v>
      </c>
      <c r="B48" s="310" t="s">
        <v>88</v>
      </c>
      <c r="C48" s="311" t="s">
        <v>42</v>
      </c>
      <c r="D48" s="311" t="s">
        <v>279</v>
      </c>
      <c r="E48" s="290">
        <v>0</v>
      </c>
      <c r="F48" s="290">
        <v>0</v>
      </c>
      <c r="G48" s="428"/>
      <c r="H48" s="291" t="s">
        <v>271</v>
      </c>
    </row>
    <row r="49" spans="1:8" s="162" customFormat="1" x14ac:dyDescent="0.25">
      <c r="A49" s="224" t="s">
        <v>13</v>
      </c>
      <c r="B49" s="310" t="s">
        <v>88</v>
      </c>
      <c r="C49" s="311" t="s">
        <v>42</v>
      </c>
      <c r="D49" s="311" t="s">
        <v>280</v>
      </c>
      <c r="E49" s="290">
        <v>0</v>
      </c>
      <c r="F49" s="290">
        <v>0</v>
      </c>
      <c r="G49" s="428"/>
      <c r="H49" s="291" t="s">
        <v>271</v>
      </c>
    </row>
    <row r="50" spans="1:8" s="162" customFormat="1" x14ac:dyDescent="0.25">
      <c r="A50" s="224" t="s">
        <v>13</v>
      </c>
      <c r="B50" s="310" t="s">
        <v>88</v>
      </c>
      <c r="C50" s="311" t="s">
        <v>42</v>
      </c>
      <c r="D50" s="311" t="s">
        <v>281</v>
      </c>
      <c r="E50" s="290">
        <v>0</v>
      </c>
      <c r="F50" s="290">
        <v>0</v>
      </c>
      <c r="G50" s="428"/>
      <c r="H50" s="291" t="s">
        <v>271</v>
      </c>
    </row>
    <row r="51" spans="1:8" s="162" customFormat="1" x14ac:dyDescent="0.25">
      <c r="A51" s="224" t="s">
        <v>13</v>
      </c>
      <c r="B51" s="310" t="s">
        <v>82</v>
      </c>
      <c r="C51" s="311" t="s">
        <v>40</v>
      </c>
      <c r="D51" s="311" t="s">
        <v>276</v>
      </c>
      <c r="E51" s="290">
        <v>0.25</v>
      </c>
      <c r="F51" s="290">
        <v>0</v>
      </c>
      <c r="G51" s="293" t="s">
        <v>286</v>
      </c>
      <c r="H51" s="291" t="s">
        <v>271</v>
      </c>
    </row>
    <row r="52" spans="1:8" s="162" customFormat="1" x14ac:dyDescent="0.25">
      <c r="A52" s="224" t="s">
        <v>13</v>
      </c>
      <c r="B52" s="310" t="s">
        <v>82</v>
      </c>
      <c r="C52" s="311" t="s">
        <v>40</v>
      </c>
      <c r="D52" s="311" t="s">
        <v>279</v>
      </c>
      <c r="E52" s="290">
        <v>0.25</v>
      </c>
      <c r="F52" s="290">
        <v>0</v>
      </c>
      <c r="G52" s="293" t="s">
        <v>286</v>
      </c>
      <c r="H52" s="291" t="s">
        <v>271</v>
      </c>
    </row>
    <row r="53" spans="1:8" s="162" customFormat="1" x14ac:dyDescent="0.25">
      <c r="A53" s="224" t="s">
        <v>13</v>
      </c>
      <c r="B53" s="310" t="s">
        <v>82</v>
      </c>
      <c r="C53" s="311" t="s">
        <v>40</v>
      </c>
      <c r="D53" s="311" t="s">
        <v>280</v>
      </c>
      <c r="E53" s="290">
        <v>0.25</v>
      </c>
      <c r="F53" s="290">
        <v>0</v>
      </c>
      <c r="G53" s="293" t="s">
        <v>286</v>
      </c>
      <c r="H53" s="291" t="s">
        <v>271</v>
      </c>
    </row>
    <row r="54" spans="1:8" s="162" customFormat="1" x14ac:dyDescent="0.25">
      <c r="A54" s="224" t="s">
        <v>13</v>
      </c>
      <c r="B54" s="310" t="s">
        <v>82</v>
      </c>
      <c r="C54" s="311" t="s">
        <v>40</v>
      </c>
      <c r="D54" s="311" t="s">
        <v>281</v>
      </c>
      <c r="E54" s="290">
        <v>0.25</v>
      </c>
      <c r="F54" s="290">
        <v>0</v>
      </c>
      <c r="G54" s="293" t="s">
        <v>286</v>
      </c>
      <c r="H54" s="291" t="s">
        <v>271</v>
      </c>
    </row>
    <row r="55" spans="1:8" s="162" customFormat="1" x14ac:dyDescent="0.25">
      <c r="A55" s="224" t="s">
        <v>13</v>
      </c>
      <c r="B55" s="310" t="s">
        <v>82</v>
      </c>
      <c r="C55" s="311" t="s">
        <v>40</v>
      </c>
      <c r="D55" s="311" t="s">
        <v>282</v>
      </c>
      <c r="E55" s="290">
        <v>0.25</v>
      </c>
      <c r="F55" s="290">
        <v>0</v>
      </c>
      <c r="G55" s="293" t="s">
        <v>286</v>
      </c>
      <c r="H55" s="291" t="s">
        <v>271</v>
      </c>
    </row>
    <row r="56" spans="1:8" s="162" customFormat="1" x14ac:dyDescent="0.25">
      <c r="A56" s="224" t="s">
        <v>13</v>
      </c>
      <c r="B56" s="310" t="s">
        <v>82</v>
      </c>
      <c r="C56" s="311" t="s">
        <v>42</v>
      </c>
      <c r="D56" s="311" t="s">
        <v>282</v>
      </c>
      <c r="E56" s="290">
        <v>0.25</v>
      </c>
      <c r="F56" s="290">
        <v>0</v>
      </c>
      <c r="G56" s="293" t="s">
        <v>286</v>
      </c>
      <c r="H56" s="291" t="s">
        <v>271</v>
      </c>
    </row>
    <row r="57" spans="1:8" s="162" customFormat="1" x14ac:dyDescent="0.25">
      <c r="A57" s="224" t="s">
        <v>13</v>
      </c>
      <c r="B57" s="310" t="s">
        <v>82</v>
      </c>
      <c r="C57" s="311" t="s">
        <v>42</v>
      </c>
      <c r="D57" s="311" t="s">
        <v>276</v>
      </c>
      <c r="E57" s="290">
        <v>0.25</v>
      </c>
      <c r="F57" s="290">
        <v>0</v>
      </c>
      <c r="G57" s="293" t="s">
        <v>286</v>
      </c>
      <c r="H57" s="291" t="s">
        <v>271</v>
      </c>
    </row>
    <row r="58" spans="1:8" s="162" customFormat="1" x14ac:dyDescent="0.25">
      <c r="A58" s="224" t="s">
        <v>13</v>
      </c>
      <c r="B58" s="310" t="s">
        <v>82</v>
      </c>
      <c r="C58" s="311" t="s">
        <v>42</v>
      </c>
      <c r="D58" s="311" t="s">
        <v>279</v>
      </c>
      <c r="E58" s="290">
        <v>0.25</v>
      </c>
      <c r="F58" s="290">
        <v>0</v>
      </c>
      <c r="G58" s="293" t="s">
        <v>286</v>
      </c>
      <c r="H58" s="291" t="s">
        <v>271</v>
      </c>
    </row>
    <row r="59" spans="1:8" s="162" customFormat="1" x14ac:dyDescent="0.25">
      <c r="A59" s="224" t="s">
        <v>13</v>
      </c>
      <c r="B59" s="310" t="s">
        <v>82</v>
      </c>
      <c r="C59" s="311" t="s">
        <v>42</v>
      </c>
      <c r="D59" s="311" t="s">
        <v>280</v>
      </c>
      <c r="E59" s="290">
        <v>0.25</v>
      </c>
      <c r="F59" s="290">
        <v>0</v>
      </c>
      <c r="G59" s="293" t="s">
        <v>286</v>
      </c>
      <c r="H59" s="291" t="s">
        <v>271</v>
      </c>
    </row>
    <row r="60" spans="1:8" s="162" customFormat="1" x14ac:dyDescent="0.25">
      <c r="A60" s="224" t="s">
        <v>13</v>
      </c>
      <c r="B60" s="310" t="s">
        <v>82</v>
      </c>
      <c r="C60" s="311" t="s">
        <v>42</v>
      </c>
      <c r="D60" s="311" t="s">
        <v>281</v>
      </c>
      <c r="E60" s="290">
        <v>0.25</v>
      </c>
      <c r="F60" s="290">
        <v>0</v>
      </c>
      <c r="G60" s="293" t="s">
        <v>286</v>
      </c>
      <c r="H60" s="291" t="s">
        <v>271</v>
      </c>
    </row>
    <row r="61" spans="1:8" s="162" customFormat="1" x14ac:dyDescent="0.25">
      <c r="A61" s="224" t="s">
        <v>13</v>
      </c>
      <c r="B61" s="310" t="s">
        <v>83</v>
      </c>
      <c r="C61" s="311" t="s">
        <v>40</v>
      </c>
      <c r="D61" s="311" t="s">
        <v>276</v>
      </c>
      <c r="E61" s="290">
        <v>0</v>
      </c>
      <c r="F61" s="290">
        <f t="shared" ref="F61:F70" si="2">E61/2</f>
        <v>0</v>
      </c>
      <c r="G61" s="228" t="s">
        <v>546</v>
      </c>
      <c r="H61" s="291" t="s">
        <v>271</v>
      </c>
    </row>
    <row r="62" spans="1:8" s="162" customFormat="1" x14ac:dyDescent="0.25">
      <c r="A62" s="224" t="s">
        <v>13</v>
      </c>
      <c r="B62" s="310" t="s">
        <v>83</v>
      </c>
      <c r="C62" s="311" t="s">
        <v>40</v>
      </c>
      <c r="D62" s="311" t="s">
        <v>279</v>
      </c>
      <c r="E62" s="290">
        <v>0</v>
      </c>
      <c r="F62" s="290">
        <f t="shared" si="2"/>
        <v>0</v>
      </c>
      <c r="G62" s="228" t="s">
        <v>546</v>
      </c>
      <c r="H62" s="291" t="s">
        <v>271</v>
      </c>
    </row>
    <row r="63" spans="1:8" s="162" customFormat="1" x14ac:dyDescent="0.25">
      <c r="A63" s="224" t="s">
        <v>13</v>
      </c>
      <c r="B63" s="310" t="s">
        <v>83</v>
      </c>
      <c r="C63" s="311" t="s">
        <v>40</v>
      </c>
      <c r="D63" s="311" t="s">
        <v>280</v>
      </c>
      <c r="E63" s="290">
        <v>0</v>
      </c>
      <c r="F63" s="290">
        <f t="shared" si="2"/>
        <v>0</v>
      </c>
      <c r="G63" s="228" t="s">
        <v>546</v>
      </c>
      <c r="H63" s="291" t="s">
        <v>271</v>
      </c>
    </row>
    <row r="64" spans="1:8" s="162" customFormat="1" x14ac:dyDescent="0.25">
      <c r="A64" s="224" t="s">
        <v>13</v>
      </c>
      <c r="B64" s="310" t="s">
        <v>83</v>
      </c>
      <c r="C64" s="311" t="s">
        <v>40</v>
      </c>
      <c r="D64" s="311" t="s">
        <v>281</v>
      </c>
      <c r="E64" s="290">
        <v>0</v>
      </c>
      <c r="F64" s="290">
        <f t="shared" si="2"/>
        <v>0</v>
      </c>
      <c r="G64" s="228" t="s">
        <v>546</v>
      </c>
      <c r="H64" s="291" t="s">
        <v>271</v>
      </c>
    </row>
    <row r="65" spans="1:8" s="162" customFormat="1" x14ac:dyDescent="0.25">
      <c r="A65" s="224" t="s">
        <v>13</v>
      </c>
      <c r="B65" s="310" t="s">
        <v>83</v>
      </c>
      <c r="C65" s="311" t="s">
        <v>40</v>
      </c>
      <c r="D65" s="311" t="s">
        <v>282</v>
      </c>
      <c r="E65" s="290">
        <v>0</v>
      </c>
      <c r="F65" s="290">
        <f t="shared" si="2"/>
        <v>0</v>
      </c>
      <c r="G65" s="228" t="s">
        <v>546</v>
      </c>
      <c r="H65" s="291" t="s">
        <v>271</v>
      </c>
    </row>
    <row r="66" spans="1:8" s="162" customFormat="1" x14ac:dyDescent="0.25">
      <c r="A66" s="224" t="s">
        <v>13</v>
      </c>
      <c r="B66" s="310" t="s">
        <v>83</v>
      </c>
      <c r="C66" s="311" t="s">
        <v>42</v>
      </c>
      <c r="D66" s="311" t="s">
        <v>282</v>
      </c>
      <c r="E66" s="290">
        <v>0</v>
      </c>
      <c r="F66" s="290">
        <f t="shared" si="2"/>
        <v>0</v>
      </c>
      <c r="G66" s="228" t="s">
        <v>546</v>
      </c>
      <c r="H66" s="291" t="s">
        <v>271</v>
      </c>
    </row>
    <row r="67" spans="1:8" s="162" customFormat="1" x14ac:dyDescent="0.25">
      <c r="A67" s="224" t="s">
        <v>13</v>
      </c>
      <c r="B67" s="310" t="s">
        <v>83</v>
      </c>
      <c r="C67" s="311" t="s">
        <v>42</v>
      </c>
      <c r="D67" s="311" t="s">
        <v>276</v>
      </c>
      <c r="E67" s="290">
        <v>0</v>
      </c>
      <c r="F67" s="290">
        <f t="shared" si="2"/>
        <v>0</v>
      </c>
      <c r="G67" s="228" t="s">
        <v>546</v>
      </c>
      <c r="H67" s="291" t="s">
        <v>271</v>
      </c>
    </row>
    <row r="68" spans="1:8" s="162" customFormat="1" x14ac:dyDescent="0.25">
      <c r="A68" s="224" t="s">
        <v>13</v>
      </c>
      <c r="B68" s="310" t="s">
        <v>83</v>
      </c>
      <c r="C68" s="311" t="s">
        <v>42</v>
      </c>
      <c r="D68" s="311" t="s">
        <v>279</v>
      </c>
      <c r="E68" s="290">
        <v>0</v>
      </c>
      <c r="F68" s="290">
        <f t="shared" si="2"/>
        <v>0</v>
      </c>
      <c r="G68" s="228" t="s">
        <v>546</v>
      </c>
      <c r="H68" s="291" t="s">
        <v>271</v>
      </c>
    </row>
    <row r="69" spans="1:8" s="162" customFormat="1" x14ac:dyDescent="0.25">
      <c r="A69" s="224" t="s">
        <v>13</v>
      </c>
      <c r="B69" s="310" t="s">
        <v>83</v>
      </c>
      <c r="C69" s="311" t="s">
        <v>42</v>
      </c>
      <c r="D69" s="311" t="s">
        <v>280</v>
      </c>
      <c r="E69" s="290">
        <v>0</v>
      </c>
      <c r="F69" s="290">
        <f t="shared" si="2"/>
        <v>0</v>
      </c>
      <c r="G69" s="228" t="s">
        <v>546</v>
      </c>
      <c r="H69" s="291" t="s">
        <v>271</v>
      </c>
    </row>
    <row r="70" spans="1:8" s="162" customFormat="1" x14ac:dyDescent="0.25">
      <c r="A70" s="224" t="s">
        <v>13</v>
      </c>
      <c r="B70" s="310" t="s">
        <v>83</v>
      </c>
      <c r="C70" s="311" t="s">
        <v>42</v>
      </c>
      <c r="D70" s="311" t="s">
        <v>281</v>
      </c>
      <c r="E70" s="290">
        <v>0</v>
      </c>
      <c r="F70" s="290">
        <f t="shared" si="2"/>
        <v>0</v>
      </c>
      <c r="G70" s="228" t="s">
        <v>546</v>
      </c>
      <c r="H70" s="291" t="s">
        <v>271</v>
      </c>
    </row>
    <row r="71" spans="1:8" s="162" customFormat="1" x14ac:dyDescent="0.25">
      <c r="A71" s="224" t="s">
        <v>13</v>
      </c>
      <c r="B71" s="310" t="s">
        <v>84</v>
      </c>
      <c r="C71" s="311" t="s">
        <v>40</v>
      </c>
      <c r="D71" s="311" t="s">
        <v>276</v>
      </c>
      <c r="E71" s="290">
        <v>0.25</v>
      </c>
      <c r="F71" s="290">
        <v>0</v>
      </c>
      <c r="G71" s="293" t="s">
        <v>286</v>
      </c>
      <c r="H71" s="291" t="s">
        <v>271</v>
      </c>
    </row>
    <row r="72" spans="1:8" s="162" customFormat="1" x14ac:dyDescent="0.25">
      <c r="A72" s="224" t="s">
        <v>13</v>
      </c>
      <c r="B72" s="310" t="s">
        <v>84</v>
      </c>
      <c r="C72" s="311" t="s">
        <v>40</v>
      </c>
      <c r="D72" s="311" t="s">
        <v>279</v>
      </c>
      <c r="E72" s="290">
        <v>0.25</v>
      </c>
      <c r="F72" s="290">
        <v>0</v>
      </c>
      <c r="G72" s="293" t="s">
        <v>286</v>
      </c>
      <c r="H72" s="291" t="s">
        <v>271</v>
      </c>
    </row>
    <row r="73" spans="1:8" s="162" customFormat="1" x14ac:dyDescent="0.25">
      <c r="A73" s="224" t="s">
        <v>13</v>
      </c>
      <c r="B73" s="310" t="s">
        <v>84</v>
      </c>
      <c r="C73" s="311" t="s">
        <v>40</v>
      </c>
      <c r="D73" s="311" t="s">
        <v>280</v>
      </c>
      <c r="E73" s="290">
        <v>0.25</v>
      </c>
      <c r="F73" s="290">
        <v>0</v>
      </c>
      <c r="G73" s="293" t="s">
        <v>286</v>
      </c>
      <c r="H73" s="291" t="s">
        <v>271</v>
      </c>
    </row>
    <row r="74" spans="1:8" s="162" customFormat="1" x14ac:dyDescent="0.25">
      <c r="A74" s="224" t="s">
        <v>13</v>
      </c>
      <c r="B74" s="310" t="s">
        <v>84</v>
      </c>
      <c r="C74" s="311" t="s">
        <v>40</v>
      </c>
      <c r="D74" s="311" t="s">
        <v>281</v>
      </c>
      <c r="E74" s="290">
        <v>0.25</v>
      </c>
      <c r="F74" s="290">
        <v>0</v>
      </c>
      <c r="G74" s="293" t="s">
        <v>286</v>
      </c>
      <c r="H74" s="291" t="s">
        <v>271</v>
      </c>
    </row>
    <row r="75" spans="1:8" s="162" customFormat="1" x14ac:dyDescent="0.25">
      <c r="A75" s="224" t="s">
        <v>13</v>
      </c>
      <c r="B75" s="310" t="s">
        <v>84</v>
      </c>
      <c r="C75" s="311" t="s">
        <v>40</v>
      </c>
      <c r="D75" s="311" t="s">
        <v>282</v>
      </c>
      <c r="E75" s="290">
        <v>0.25</v>
      </c>
      <c r="F75" s="290">
        <v>0</v>
      </c>
      <c r="G75" s="293" t="s">
        <v>286</v>
      </c>
      <c r="H75" s="291" t="s">
        <v>271</v>
      </c>
    </row>
    <row r="76" spans="1:8" s="162" customFormat="1" x14ac:dyDescent="0.25">
      <c r="A76" s="224" t="s">
        <v>13</v>
      </c>
      <c r="B76" s="310" t="s">
        <v>84</v>
      </c>
      <c r="C76" s="311" t="s">
        <v>42</v>
      </c>
      <c r="D76" s="311" t="s">
        <v>282</v>
      </c>
      <c r="E76" s="290">
        <v>0.25</v>
      </c>
      <c r="F76" s="290">
        <v>0</v>
      </c>
      <c r="G76" s="293" t="s">
        <v>286</v>
      </c>
      <c r="H76" s="291" t="s">
        <v>271</v>
      </c>
    </row>
    <row r="77" spans="1:8" s="162" customFormat="1" x14ac:dyDescent="0.25">
      <c r="A77" s="224" t="s">
        <v>13</v>
      </c>
      <c r="B77" s="310" t="s">
        <v>84</v>
      </c>
      <c r="C77" s="311" t="s">
        <v>42</v>
      </c>
      <c r="D77" s="311" t="s">
        <v>276</v>
      </c>
      <c r="E77" s="290">
        <v>0.25</v>
      </c>
      <c r="F77" s="290">
        <v>0</v>
      </c>
      <c r="G77" s="293" t="s">
        <v>286</v>
      </c>
      <c r="H77" s="291" t="s">
        <v>271</v>
      </c>
    </row>
    <row r="78" spans="1:8" s="162" customFormat="1" x14ac:dyDescent="0.25">
      <c r="A78" s="224" t="s">
        <v>13</v>
      </c>
      <c r="B78" s="310" t="s">
        <v>84</v>
      </c>
      <c r="C78" s="311" t="s">
        <v>42</v>
      </c>
      <c r="D78" s="311" t="s">
        <v>279</v>
      </c>
      <c r="E78" s="290">
        <v>0.25</v>
      </c>
      <c r="F78" s="290">
        <v>0</v>
      </c>
      <c r="G78" s="293" t="s">
        <v>286</v>
      </c>
      <c r="H78" s="291" t="s">
        <v>271</v>
      </c>
    </row>
    <row r="79" spans="1:8" s="162" customFormat="1" x14ac:dyDescent="0.25">
      <c r="A79" s="224" t="s">
        <v>13</v>
      </c>
      <c r="B79" s="310" t="s">
        <v>84</v>
      </c>
      <c r="C79" s="311" t="s">
        <v>42</v>
      </c>
      <c r="D79" s="311" t="s">
        <v>280</v>
      </c>
      <c r="E79" s="290">
        <v>0.25</v>
      </c>
      <c r="F79" s="290">
        <v>0</v>
      </c>
      <c r="G79" s="293" t="s">
        <v>286</v>
      </c>
      <c r="H79" s="291" t="s">
        <v>271</v>
      </c>
    </row>
    <row r="80" spans="1:8" s="162" customFormat="1" x14ac:dyDescent="0.25">
      <c r="A80" s="224" t="s">
        <v>13</v>
      </c>
      <c r="B80" s="310" t="s">
        <v>84</v>
      </c>
      <c r="C80" s="311" t="s">
        <v>42</v>
      </c>
      <c r="D80" s="311" t="s">
        <v>281</v>
      </c>
      <c r="E80" s="290">
        <v>0.25</v>
      </c>
      <c r="F80" s="290">
        <v>0</v>
      </c>
      <c r="G80" s="293" t="s">
        <v>286</v>
      </c>
      <c r="H80" s="291" t="s">
        <v>271</v>
      </c>
    </row>
    <row r="81" spans="1:8" s="162" customFormat="1" x14ac:dyDescent="0.25">
      <c r="A81" s="224" t="s">
        <v>13</v>
      </c>
      <c r="B81" s="310" t="s">
        <v>85</v>
      </c>
      <c r="C81" s="311" t="s">
        <v>40</v>
      </c>
      <c r="D81" s="311" t="s">
        <v>276</v>
      </c>
      <c r="E81" s="290">
        <v>0.1</v>
      </c>
      <c r="F81" s="290">
        <f t="shared" ref="F81:F90" si="3">E81/2</f>
        <v>0.05</v>
      </c>
      <c r="G81" s="293" t="s">
        <v>287</v>
      </c>
      <c r="H81" s="291" t="s">
        <v>271</v>
      </c>
    </row>
    <row r="82" spans="1:8" s="162" customFormat="1" x14ac:dyDescent="0.25">
      <c r="A82" s="224" t="s">
        <v>13</v>
      </c>
      <c r="B82" s="310" t="s">
        <v>85</v>
      </c>
      <c r="C82" s="311" t="s">
        <v>40</v>
      </c>
      <c r="D82" s="311" t="s">
        <v>279</v>
      </c>
      <c r="E82" s="290">
        <v>0.1</v>
      </c>
      <c r="F82" s="290">
        <f t="shared" si="3"/>
        <v>0.05</v>
      </c>
      <c r="G82" s="293" t="s">
        <v>287</v>
      </c>
      <c r="H82" s="291" t="s">
        <v>271</v>
      </c>
    </row>
    <row r="83" spans="1:8" s="162" customFormat="1" x14ac:dyDescent="0.25">
      <c r="A83" s="224" t="s">
        <v>13</v>
      </c>
      <c r="B83" s="310" t="s">
        <v>85</v>
      </c>
      <c r="C83" s="311" t="s">
        <v>40</v>
      </c>
      <c r="D83" s="311" t="s">
        <v>280</v>
      </c>
      <c r="E83" s="290">
        <v>0.1</v>
      </c>
      <c r="F83" s="290">
        <f t="shared" si="3"/>
        <v>0.05</v>
      </c>
      <c r="G83" s="293" t="s">
        <v>287</v>
      </c>
      <c r="H83" s="291" t="s">
        <v>271</v>
      </c>
    </row>
    <row r="84" spans="1:8" s="162" customFormat="1" x14ac:dyDescent="0.25">
      <c r="A84" s="224" t="s">
        <v>13</v>
      </c>
      <c r="B84" s="310" t="s">
        <v>85</v>
      </c>
      <c r="C84" s="311" t="s">
        <v>40</v>
      </c>
      <c r="D84" s="311" t="s">
        <v>281</v>
      </c>
      <c r="E84" s="290">
        <v>0.1</v>
      </c>
      <c r="F84" s="290">
        <f t="shared" si="3"/>
        <v>0.05</v>
      </c>
      <c r="G84" s="293" t="s">
        <v>287</v>
      </c>
      <c r="H84" s="291" t="s">
        <v>271</v>
      </c>
    </row>
    <row r="85" spans="1:8" s="162" customFormat="1" x14ac:dyDescent="0.25">
      <c r="A85" s="224" t="s">
        <v>13</v>
      </c>
      <c r="B85" s="310" t="s">
        <v>85</v>
      </c>
      <c r="C85" s="311" t="s">
        <v>40</v>
      </c>
      <c r="D85" s="311" t="s">
        <v>282</v>
      </c>
      <c r="E85" s="290">
        <v>0.1</v>
      </c>
      <c r="F85" s="290">
        <f t="shared" si="3"/>
        <v>0.05</v>
      </c>
      <c r="G85" s="293" t="s">
        <v>287</v>
      </c>
      <c r="H85" s="291" t="s">
        <v>271</v>
      </c>
    </row>
    <row r="86" spans="1:8" s="162" customFormat="1" x14ac:dyDescent="0.25">
      <c r="A86" s="224" t="s">
        <v>13</v>
      </c>
      <c r="B86" s="310" t="s">
        <v>85</v>
      </c>
      <c r="C86" s="311" t="s">
        <v>42</v>
      </c>
      <c r="D86" s="311" t="s">
        <v>282</v>
      </c>
      <c r="E86" s="290">
        <v>0.1</v>
      </c>
      <c r="F86" s="290">
        <f t="shared" si="3"/>
        <v>0.05</v>
      </c>
      <c r="G86" s="293" t="s">
        <v>287</v>
      </c>
      <c r="H86" s="291" t="s">
        <v>271</v>
      </c>
    </row>
    <row r="87" spans="1:8" s="162" customFormat="1" x14ac:dyDescent="0.25">
      <c r="A87" s="224" t="s">
        <v>13</v>
      </c>
      <c r="B87" s="310" t="s">
        <v>85</v>
      </c>
      <c r="C87" s="311" t="s">
        <v>42</v>
      </c>
      <c r="D87" s="311" t="s">
        <v>276</v>
      </c>
      <c r="E87" s="290">
        <v>0.1</v>
      </c>
      <c r="F87" s="290">
        <f t="shared" si="3"/>
        <v>0.05</v>
      </c>
      <c r="G87" s="293" t="s">
        <v>287</v>
      </c>
      <c r="H87" s="291" t="s">
        <v>271</v>
      </c>
    </row>
    <row r="88" spans="1:8" s="162" customFormat="1" x14ac:dyDescent="0.25">
      <c r="A88" s="224" t="s">
        <v>13</v>
      </c>
      <c r="B88" s="310" t="s">
        <v>85</v>
      </c>
      <c r="C88" s="311" t="s">
        <v>42</v>
      </c>
      <c r="D88" s="311" t="s">
        <v>279</v>
      </c>
      <c r="E88" s="290">
        <v>0.1</v>
      </c>
      <c r="F88" s="290">
        <f t="shared" si="3"/>
        <v>0.05</v>
      </c>
      <c r="G88" s="293" t="s">
        <v>287</v>
      </c>
      <c r="H88" s="291" t="s">
        <v>271</v>
      </c>
    </row>
    <row r="89" spans="1:8" s="162" customFormat="1" x14ac:dyDescent="0.25">
      <c r="A89" s="224" t="s">
        <v>13</v>
      </c>
      <c r="B89" s="310" t="s">
        <v>85</v>
      </c>
      <c r="C89" s="311" t="s">
        <v>42</v>
      </c>
      <c r="D89" s="311" t="s">
        <v>280</v>
      </c>
      <c r="E89" s="290">
        <v>0.1</v>
      </c>
      <c r="F89" s="290">
        <f t="shared" si="3"/>
        <v>0.05</v>
      </c>
      <c r="G89" s="293" t="s">
        <v>287</v>
      </c>
      <c r="H89" s="291" t="s">
        <v>271</v>
      </c>
    </row>
    <row r="90" spans="1:8" s="162" customFormat="1" x14ac:dyDescent="0.25">
      <c r="A90" s="224" t="s">
        <v>13</v>
      </c>
      <c r="B90" s="310" t="s">
        <v>85</v>
      </c>
      <c r="C90" s="311" t="s">
        <v>42</v>
      </c>
      <c r="D90" s="311" t="s">
        <v>281</v>
      </c>
      <c r="E90" s="290">
        <v>0.1</v>
      </c>
      <c r="F90" s="290">
        <f t="shared" si="3"/>
        <v>0.05</v>
      </c>
      <c r="G90" s="293" t="s">
        <v>287</v>
      </c>
      <c r="H90" s="291" t="s">
        <v>271</v>
      </c>
    </row>
    <row r="91" spans="1:8" s="162" customFormat="1" x14ac:dyDescent="0.25">
      <c r="A91" s="224" t="s">
        <v>13</v>
      </c>
      <c r="B91" s="310" t="s">
        <v>86</v>
      </c>
      <c r="C91" s="311" t="s">
        <v>40</v>
      </c>
      <c r="D91" s="311" t="s">
        <v>276</v>
      </c>
      <c r="E91" s="290">
        <v>0.25</v>
      </c>
      <c r="F91" s="290">
        <v>0</v>
      </c>
      <c r="G91" s="293" t="s">
        <v>286</v>
      </c>
      <c r="H91" s="291" t="s">
        <v>271</v>
      </c>
    </row>
    <row r="92" spans="1:8" s="162" customFormat="1" x14ac:dyDescent="0.25">
      <c r="A92" s="224" t="s">
        <v>13</v>
      </c>
      <c r="B92" s="310" t="s">
        <v>86</v>
      </c>
      <c r="C92" s="311" t="s">
        <v>40</v>
      </c>
      <c r="D92" s="311" t="s">
        <v>279</v>
      </c>
      <c r="E92" s="290">
        <v>0.25</v>
      </c>
      <c r="F92" s="290">
        <v>0</v>
      </c>
      <c r="G92" s="293" t="s">
        <v>286</v>
      </c>
      <c r="H92" s="291" t="s">
        <v>271</v>
      </c>
    </row>
    <row r="93" spans="1:8" s="162" customFormat="1" x14ac:dyDescent="0.25">
      <c r="A93" s="224" t="s">
        <v>13</v>
      </c>
      <c r="B93" s="310" t="s">
        <v>86</v>
      </c>
      <c r="C93" s="311" t="s">
        <v>40</v>
      </c>
      <c r="D93" s="311" t="s">
        <v>280</v>
      </c>
      <c r="E93" s="290">
        <v>0.25</v>
      </c>
      <c r="F93" s="290">
        <v>0</v>
      </c>
      <c r="G93" s="293" t="s">
        <v>286</v>
      </c>
      <c r="H93" s="291" t="s">
        <v>271</v>
      </c>
    </row>
    <row r="94" spans="1:8" s="162" customFormat="1" x14ac:dyDescent="0.25">
      <c r="A94" s="224" t="s">
        <v>13</v>
      </c>
      <c r="B94" s="310" t="s">
        <v>86</v>
      </c>
      <c r="C94" s="311" t="s">
        <v>40</v>
      </c>
      <c r="D94" s="311" t="s">
        <v>281</v>
      </c>
      <c r="E94" s="290">
        <v>0.25</v>
      </c>
      <c r="F94" s="290">
        <v>0</v>
      </c>
      <c r="G94" s="293" t="s">
        <v>286</v>
      </c>
      <c r="H94" s="291" t="s">
        <v>271</v>
      </c>
    </row>
    <row r="95" spans="1:8" s="162" customFormat="1" x14ac:dyDescent="0.25">
      <c r="A95" s="224" t="s">
        <v>13</v>
      </c>
      <c r="B95" s="310" t="s">
        <v>86</v>
      </c>
      <c r="C95" s="311" t="s">
        <v>40</v>
      </c>
      <c r="D95" s="311" t="s">
        <v>282</v>
      </c>
      <c r="E95" s="290">
        <v>0.25</v>
      </c>
      <c r="F95" s="290">
        <v>0</v>
      </c>
      <c r="G95" s="293" t="s">
        <v>286</v>
      </c>
      <c r="H95" s="291" t="s">
        <v>271</v>
      </c>
    </row>
    <row r="96" spans="1:8" s="162" customFormat="1" x14ac:dyDescent="0.25">
      <c r="A96" s="224" t="s">
        <v>13</v>
      </c>
      <c r="B96" s="310" t="s">
        <v>86</v>
      </c>
      <c r="C96" s="311" t="s">
        <v>42</v>
      </c>
      <c r="D96" s="311" t="s">
        <v>282</v>
      </c>
      <c r="E96" s="290">
        <v>0.25</v>
      </c>
      <c r="F96" s="290">
        <v>0</v>
      </c>
      <c r="G96" s="293" t="s">
        <v>286</v>
      </c>
      <c r="H96" s="291" t="s">
        <v>271</v>
      </c>
    </row>
    <row r="97" spans="1:8" s="162" customFormat="1" x14ac:dyDescent="0.25">
      <c r="A97" s="224" t="s">
        <v>13</v>
      </c>
      <c r="B97" s="310" t="s">
        <v>86</v>
      </c>
      <c r="C97" s="311" t="s">
        <v>42</v>
      </c>
      <c r="D97" s="311" t="s">
        <v>276</v>
      </c>
      <c r="E97" s="290">
        <v>0.25</v>
      </c>
      <c r="F97" s="290">
        <v>0</v>
      </c>
      <c r="G97" s="293" t="s">
        <v>286</v>
      </c>
      <c r="H97" s="291" t="s">
        <v>271</v>
      </c>
    </row>
    <row r="98" spans="1:8" s="162" customFormat="1" x14ac:dyDescent="0.25">
      <c r="A98" s="224" t="s">
        <v>13</v>
      </c>
      <c r="B98" s="310" t="s">
        <v>86</v>
      </c>
      <c r="C98" s="311" t="s">
        <v>42</v>
      </c>
      <c r="D98" s="311" t="s">
        <v>279</v>
      </c>
      <c r="E98" s="290">
        <v>0.25</v>
      </c>
      <c r="F98" s="290">
        <v>0</v>
      </c>
      <c r="G98" s="293" t="s">
        <v>286</v>
      </c>
      <c r="H98" s="291" t="s">
        <v>271</v>
      </c>
    </row>
    <row r="99" spans="1:8" s="162" customFormat="1" x14ac:dyDescent="0.25">
      <c r="A99" s="224" t="s">
        <v>13</v>
      </c>
      <c r="B99" s="310" t="s">
        <v>86</v>
      </c>
      <c r="C99" s="311" t="s">
        <v>42</v>
      </c>
      <c r="D99" s="311" t="s">
        <v>280</v>
      </c>
      <c r="E99" s="290">
        <v>0.25</v>
      </c>
      <c r="F99" s="290">
        <v>0</v>
      </c>
      <c r="G99" s="293" t="s">
        <v>286</v>
      </c>
      <c r="H99" s="291" t="s">
        <v>271</v>
      </c>
    </row>
    <row r="100" spans="1:8" s="162" customFormat="1" x14ac:dyDescent="0.25">
      <c r="A100" s="224" t="s">
        <v>13</v>
      </c>
      <c r="B100" s="310" t="s">
        <v>86</v>
      </c>
      <c r="C100" s="311" t="s">
        <v>42</v>
      </c>
      <c r="D100" s="311" t="s">
        <v>281</v>
      </c>
      <c r="E100" s="290">
        <v>0.25</v>
      </c>
      <c r="F100" s="290">
        <v>0</v>
      </c>
      <c r="G100" s="293" t="s">
        <v>286</v>
      </c>
      <c r="H100" s="291" t="s">
        <v>271</v>
      </c>
    </row>
    <row r="101" spans="1:8" s="162" customFormat="1" x14ac:dyDescent="0.25">
      <c r="A101" s="224" t="s">
        <v>13</v>
      </c>
      <c r="B101" s="310" t="s">
        <v>87</v>
      </c>
      <c r="C101" s="311" t="s">
        <v>40</v>
      </c>
      <c r="D101" s="311" t="s">
        <v>276</v>
      </c>
      <c r="E101" s="290">
        <v>0.1</v>
      </c>
      <c r="F101" s="290">
        <f t="shared" ref="F101:F110" si="4">E101/2</f>
        <v>0.05</v>
      </c>
      <c r="G101" s="293" t="s">
        <v>287</v>
      </c>
      <c r="H101" s="291" t="s">
        <v>271</v>
      </c>
    </row>
    <row r="102" spans="1:8" s="162" customFormat="1" x14ac:dyDescent="0.25">
      <c r="A102" s="224" t="s">
        <v>13</v>
      </c>
      <c r="B102" s="310" t="s">
        <v>87</v>
      </c>
      <c r="C102" s="311" t="s">
        <v>40</v>
      </c>
      <c r="D102" s="311" t="s">
        <v>279</v>
      </c>
      <c r="E102" s="290">
        <v>0.1</v>
      </c>
      <c r="F102" s="290">
        <f t="shared" si="4"/>
        <v>0.05</v>
      </c>
      <c r="G102" s="293" t="s">
        <v>287</v>
      </c>
      <c r="H102" s="291" t="s">
        <v>271</v>
      </c>
    </row>
    <row r="103" spans="1:8" s="162" customFormat="1" x14ac:dyDescent="0.25">
      <c r="A103" s="224" t="s">
        <v>13</v>
      </c>
      <c r="B103" s="310" t="s">
        <v>87</v>
      </c>
      <c r="C103" s="311" t="s">
        <v>40</v>
      </c>
      <c r="D103" s="311" t="s">
        <v>280</v>
      </c>
      <c r="E103" s="290">
        <v>0.1</v>
      </c>
      <c r="F103" s="290">
        <f t="shared" si="4"/>
        <v>0.05</v>
      </c>
      <c r="G103" s="293" t="s">
        <v>287</v>
      </c>
      <c r="H103" s="291" t="s">
        <v>271</v>
      </c>
    </row>
    <row r="104" spans="1:8" s="162" customFormat="1" x14ac:dyDescent="0.25">
      <c r="A104" s="224" t="s">
        <v>13</v>
      </c>
      <c r="B104" s="310" t="s">
        <v>87</v>
      </c>
      <c r="C104" s="311" t="s">
        <v>40</v>
      </c>
      <c r="D104" s="311" t="s">
        <v>281</v>
      </c>
      <c r="E104" s="290">
        <v>0.1</v>
      </c>
      <c r="F104" s="290">
        <f t="shared" si="4"/>
        <v>0.05</v>
      </c>
      <c r="G104" s="293" t="s">
        <v>287</v>
      </c>
      <c r="H104" s="291" t="s">
        <v>271</v>
      </c>
    </row>
    <row r="105" spans="1:8" s="162" customFormat="1" x14ac:dyDescent="0.25">
      <c r="A105" s="224" t="s">
        <v>13</v>
      </c>
      <c r="B105" s="310" t="s">
        <v>87</v>
      </c>
      <c r="C105" s="311" t="s">
        <v>40</v>
      </c>
      <c r="D105" s="311" t="s">
        <v>282</v>
      </c>
      <c r="E105" s="290">
        <v>0.1</v>
      </c>
      <c r="F105" s="290">
        <f t="shared" si="4"/>
        <v>0.05</v>
      </c>
      <c r="G105" s="293" t="s">
        <v>287</v>
      </c>
      <c r="H105" s="291" t="s">
        <v>271</v>
      </c>
    </row>
    <row r="106" spans="1:8" s="162" customFormat="1" x14ac:dyDescent="0.25">
      <c r="A106" s="224" t="s">
        <v>13</v>
      </c>
      <c r="B106" s="310" t="s">
        <v>87</v>
      </c>
      <c r="C106" s="311" t="s">
        <v>42</v>
      </c>
      <c r="D106" s="311" t="s">
        <v>282</v>
      </c>
      <c r="E106" s="290">
        <v>0.1</v>
      </c>
      <c r="F106" s="290">
        <f t="shared" si="4"/>
        <v>0.05</v>
      </c>
      <c r="G106" s="293" t="s">
        <v>287</v>
      </c>
      <c r="H106" s="291" t="s">
        <v>271</v>
      </c>
    </row>
    <row r="107" spans="1:8" s="162" customFormat="1" x14ac:dyDescent="0.25">
      <c r="A107" s="224" t="s">
        <v>13</v>
      </c>
      <c r="B107" s="310" t="s">
        <v>87</v>
      </c>
      <c r="C107" s="311" t="s">
        <v>42</v>
      </c>
      <c r="D107" s="311" t="s">
        <v>276</v>
      </c>
      <c r="E107" s="290">
        <v>0.1</v>
      </c>
      <c r="F107" s="290">
        <f t="shared" si="4"/>
        <v>0.05</v>
      </c>
      <c r="G107" s="293" t="s">
        <v>287</v>
      </c>
      <c r="H107" s="291" t="s">
        <v>271</v>
      </c>
    </row>
    <row r="108" spans="1:8" s="162" customFormat="1" x14ac:dyDescent="0.25">
      <c r="A108" s="224" t="s">
        <v>13</v>
      </c>
      <c r="B108" s="310" t="s">
        <v>87</v>
      </c>
      <c r="C108" s="311" t="s">
        <v>42</v>
      </c>
      <c r="D108" s="311" t="s">
        <v>279</v>
      </c>
      <c r="E108" s="290">
        <v>0.1</v>
      </c>
      <c r="F108" s="290">
        <f t="shared" si="4"/>
        <v>0.05</v>
      </c>
      <c r="G108" s="293" t="s">
        <v>287</v>
      </c>
      <c r="H108" s="291" t="s">
        <v>271</v>
      </c>
    </row>
    <row r="109" spans="1:8" s="162" customFormat="1" x14ac:dyDescent="0.25">
      <c r="A109" s="224" t="s">
        <v>13</v>
      </c>
      <c r="B109" s="310" t="s">
        <v>87</v>
      </c>
      <c r="C109" s="311" t="s">
        <v>42</v>
      </c>
      <c r="D109" s="311" t="s">
        <v>280</v>
      </c>
      <c r="E109" s="290">
        <v>0.1</v>
      </c>
      <c r="F109" s="290">
        <f t="shared" si="4"/>
        <v>0.05</v>
      </c>
      <c r="G109" s="293" t="s">
        <v>287</v>
      </c>
      <c r="H109" s="291" t="s">
        <v>271</v>
      </c>
    </row>
    <row r="110" spans="1:8" s="162" customFormat="1" ht="23.1" customHeight="1" x14ac:dyDescent="0.25">
      <c r="A110" s="224" t="s">
        <v>13</v>
      </c>
      <c r="B110" s="310" t="s">
        <v>87</v>
      </c>
      <c r="C110" s="311" t="s">
        <v>42</v>
      </c>
      <c r="D110" s="311" t="s">
        <v>281</v>
      </c>
      <c r="E110" s="290">
        <v>0.1</v>
      </c>
      <c r="F110" s="290">
        <f t="shared" si="4"/>
        <v>0.05</v>
      </c>
      <c r="G110" s="293" t="s">
        <v>287</v>
      </c>
      <c r="H110" s="291" t="s">
        <v>271</v>
      </c>
    </row>
    <row r="111" spans="1:8" s="162" customFormat="1" x14ac:dyDescent="0.25">
      <c r="A111" s="224" t="s">
        <v>13</v>
      </c>
      <c r="B111" s="310" t="s">
        <v>54</v>
      </c>
      <c r="C111" s="311" t="s">
        <v>44</v>
      </c>
      <c r="D111" s="311" t="s">
        <v>276</v>
      </c>
      <c r="E111" s="290">
        <v>0.5</v>
      </c>
      <c r="F111" s="290">
        <f>E111/2</f>
        <v>0.25</v>
      </c>
      <c r="G111" s="294" t="s">
        <v>288</v>
      </c>
      <c r="H111" s="291" t="s">
        <v>271</v>
      </c>
    </row>
    <row r="112" spans="1:8" s="162" customFormat="1" x14ac:dyDescent="0.25">
      <c r="A112" s="224" t="s">
        <v>13</v>
      </c>
      <c r="B112" s="310" t="s">
        <v>54</v>
      </c>
      <c r="C112" s="311" t="s">
        <v>44</v>
      </c>
      <c r="D112" s="311" t="s">
        <v>279</v>
      </c>
      <c r="E112" s="290">
        <v>0.5</v>
      </c>
      <c r="F112" s="290">
        <f t="shared" ref="F112:F130" si="5">E112/2</f>
        <v>0.25</v>
      </c>
      <c r="G112" s="294" t="s">
        <v>288</v>
      </c>
      <c r="H112" s="291" t="s">
        <v>271</v>
      </c>
    </row>
    <row r="113" spans="1:8" s="162" customFormat="1" x14ac:dyDescent="0.25">
      <c r="A113" s="224" t="s">
        <v>13</v>
      </c>
      <c r="B113" s="310" t="s">
        <v>54</v>
      </c>
      <c r="C113" s="311" t="s">
        <v>44</v>
      </c>
      <c r="D113" s="311" t="s">
        <v>281</v>
      </c>
      <c r="E113" s="290">
        <v>0.5</v>
      </c>
      <c r="F113" s="290">
        <f t="shared" si="5"/>
        <v>0.25</v>
      </c>
      <c r="G113" s="294" t="s">
        <v>288</v>
      </c>
      <c r="H113" s="291" t="s">
        <v>271</v>
      </c>
    </row>
    <row r="114" spans="1:8" s="162" customFormat="1" x14ac:dyDescent="0.25">
      <c r="A114" s="224" t="s">
        <v>13</v>
      </c>
      <c r="B114" s="310" t="s">
        <v>54</v>
      </c>
      <c r="C114" s="311" t="s">
        <v>41</v>
      </c>
      <c r="D114" s="311" t="s">
        <v>280</v>
      </c>
      <c r="E114" s="290">
        <v>0.5</v>
      </c>
      <c r="F114" s="290">
        <f t="shared" si="5"/>
        <v>0.25</v>
      </c>
      <c r="G114" s="294" t="s">
        <v>288</v>
      </c>
      <c r="H114" s="291" t="s">
        <v>271</v>
      </c>
    </row>
    <row r="115" spans="1:8" s="162" customFormat="1" x14ac:dyDescent="0.25">
      <c r="A115" s="224" t="s">
        <v>13</v>
      </c>
      <c r="B115" s="310" t="s">
        <v>54</v>
      </c>
      <c r="C115" s="311" t="s">
        <v>41</v>
      </c>
      <c r="D115" s="311" t="s">
        <v>282</v>
      </c>
      <c r="E115" s="290">
        <v>0.5</v>
      </c>
      <c r="F115" s="290">
        <f t="shared" si="5"/>
        <v>0.25</v>
      </c>
      <c r="G115" s="294" t="s">
        <v>288</v>
      </c>
      <c r="H115" s="291" t="s">
        <v>271</v>
      </c>
    </row>
    <row r="116" spans="1:8" s="162" customFormat="1" x14ac:dyDescent="0.25">
      <c r="A116" s="224" t="s">
        <v>13</v>
      </c>
      <c r="B116" s="310" t="s">
        <v>54</v>
      </c>
      <c r="C116" s="311" t="s">
        <v>43</v>
      </c>
      <c r="D116" s="311" t="s">
        <v>276</v>
      </c>
      <c r="E116" s="290">
        <v>0.5</v>
      </c>
      <c r="F116" s="290">
        <f t="shared" si="5"/>
        <v>0.25</v>
      </c>
      <c r="G116" s="294" t="s">
        <v>288</v>
      </c>
      <c r="H116" s="291" t="s">
        <v>271</v>
      </c>
    </row>
    <row r="117" spans="1:8" s="162" customFormat="1" x14ac:dyDescent="0.25">
      <c r="A117" s="224" t="s">
        <v>13</v>
      </c>
      <c r="B117" s="310" t="s">
        <v>54</v>
      </c>
      <c r="C117" s="311" t="s">
        <v>43</v>
      </c>
      <c r="D117" s="311" t="s">
        <v>279</v>
      </c>
      <c r="E117" s="290">
        <v>0.5</v>
      </c>
      <c r="F117" s="290">
        <f t="shared" si="5"/>
        <v>0.25</v>
      </c>
      <c r="G117" s="294" t="s">
        <v>288</v>
      </c>
      <c r="H117" s="291" t="s">
        <v>271</v>
      </c>
    </row>
    <row r="118" spans="1:8" s="162" customFormat="1" x14ac:dyDescent="0.25">
      <c r="A118" s="224" t="s">
        <v>13</v>
      </c>
      <c r="B118" s="310" t="s">
        <v>54</v>
      </c>
      <c r="C118" s="311" t="s">
        <v>43</v>
      </c>
      <c r="D118" s="311" t="s">
        <v>280</v>
      </c>
      <c r="E118" s="290">
        <v>0.5</v>
      </c>
      <c r="F118" s="290">
        <f t="shared" si="5"/>
        <v>0.25</v>
      </c>
      <c r="G118" s="294" t="s">
        <v>288</v>
      </c>
      <c r="H118" s="291" t="s">
        <v>271</v>
      </c>
    </row>
    <row r="119" spans="1:8" s="162" customFormat="1" x14ac:dyDescent="0.25">
      <c r="A119" s="224" t="s">
        <v>13</v>
      </c>
      <c r="B119" s="310" t="s">
        <v>54</v>
      </c>
      <c r="C119" s="311" t="s">
        <v>43</v>
      </c>
      <c r="D119" s="311" t="s">
        <v>281</v>
      </c>
      <c r="E119" s="290">
        <v>0.5</v>
      </c>
      <c r="F119" s="290">
        <f t="shared" si="5"/>
        <v>0.25</v>
      </c>
      <c r="G119" s="294" t="s">
        <v>288</v>
      </c>
      <c r="H119" s="291" t="s">
        <v>271</v>
      </c>
    </row>
    <row r="120" spans="1:8" s="162" customFormat="1" x14ac:dyDescent="0.25">
      <c r="A120" s="224" t="s">
        <v>13</v>
      </c>
      <c r="B120" s="310" t="s">
        <v>54</v>
      </c>
      <c r="C120" s="311" t="s">
        <v>43</v>
      </c>
      <c r="D120" s="311" t="s">
        <v>282</v>
      </c>
      <c r="E120" s="290">
        <v>0.5</v>
      </c>
      <c r="F120" s="290">
        <f t="shared" si="5"/>
        <v>0.25</v>
      </c>
      <c r="G120" s="294" t="s">
        <v>288</v>
      </c>
      <c r="H120" s="291" t="s">
        <v>271</v>
      </c>
    </row>
    <row r="121" spans="1:8" s="162" customFormat="1" x14ac:dyDescent="0.25">
      <c r="A121" s="224" t="s">
        <v>13</v>
      </c>
      <c r="B121" s="310" t="s">
        <v>54</v>
      </c>
      <c r="C121" s="311" t="s">
        <v>40</v>
      </c>
      <c r="D121" s="311" t="s">
        <v>276</v>
      </c>
      <c r="E121" s="290">
        <v>0.5</v>
      </c>
      <c r="F121" s="290">
        <f t="shared" si="5"/>
        <v>0.25</v>
      </c>
      <c r="G121" s="294" t="s">
        <v>288</v>
      </c>
      <c r="H121" s="291" t="s">
        <v>271</v>
      </c>
    </row>
    <row r="122" spans="1:8" s="162" customFormat="1" x14ac:dyDescent="0.25">
      <c r="A122" s="224" t="s">
        <v>13</v>
      </c>
      <c r="B122" s="310" t="s">
        <v>54</v>
      </c>
      <c r="C122" s="311" t="s">
        <v>40</v>
      </c>
      <c r="D122" s="311" t="s">
        <v>279</v>
      </c>
      <c r="E122" s="290">
        <v>0.5</v>
      </c>
      <c r="F122" s="290">
        <f t="shared" si="5"/>
        <v>0.25</v>
      </c>
      <c r="G122" s="294" t="s">
        <v>288</v>
      </c>
      <c r="H122" s="291" t="s">
        <v>271</v>
      </c>
    </row>
    <row r="123" spans="1:8" s="162" customFormat="1" x14ac:dyDescent="0.25">
      <c r="A123" s="224" t="s">
        <v>13</v>
      </c>
      <c r="B123" s="310" t="s">
        <v>54</v>
      </c>
      <c r="C123" s="311" t="s">
        <v>40</v>
      </c>
      <c r="D123" s="311" t="s">
        <v>280</v>
      </c>
      <c r="E123" s="290">
        <v>0.5</v>
      </c>
      <c r="F123" s="290">
        <f t="shared" si="5"/>
        <v>0.25</v>
      </c>
      <c r="G123" s="294" t="s">
        <v>288</v>
      </c>
      <c r="H123" s="291" t="s">
        <v>271</v>
      </c>
    </row>
    <row r="124" spans="1:8" s="162" customFormat="1" x14ac:dyDescent="0.25">
      <c r="A124" s="224" t="s">
        <v>13</v>
      </c>
      <c r="B124" s="310" t="s">
        <v>54</v>
      </c>
      <c r="C124" s="311" t="s">
        <v>40</v>
      </c>
      <c r="D124" s="311" t="s">
        <v>281</v>
      </c>
      <c r="E124" s="290">
        <v>0.5</v>
      </c>
      <c r="F124" s="290">
        <f t="shared" si="5"/>
        <v>0.25</v>
      </c>
      <c r="G124" s="294" t="s">
        <v>288</v>
      </c>
      <c r="H124" s="291" t="s">
        <v>271</v>
      </c>
    </row>
    <row r="125" spans="1:8" s="162" customFormat="1" x14ac:dyDescent="0.25">
      <c r="A125" s="224" t="s">
        <v>13</v>
      </c>
      <c r="B125" s="310" t="s">
        <v>54</v>
      </c>
      <c r="C125" s="311" t="s">
        <v>40</v>
      </c>
      <c r="D125" s="311" t="s">
        <v>282</v>
      </c>
      <c r="E125" s="290">
        <v>0.5</v>
      </c>
      <c r="F125" s="290">
        <f t="shared" si="5"/>
        <v>0.25</v>
      </c>
      <c r="G125" s="294" t="s">
        <v>288</v>
      </c>
      <c r="H125" s="291" t="s">
        <v>271</v>
      </c>
    </row>
    <row r="126" spans="1:8" s="162" customFormat="1" x14ac:dyDescent="0.25">
      <c r="A126" s="224" t="s">
        <v>13</v>
      </c>
      <c r="B126" s="310" t="s">
        <v>54</v>
      </c>
      <c r="C126" s="311" t="s">
        <v>42</v>
      </c>
      <c r="D126" s="311" t="s">
        <v>276</v>
      </c>
      <c r="E126" s="290">
        <v>0.5</v>
      </c>
      <c r="F126" s="290">
        <f t="shared" si="5"/>
        <v>0.25</v>
      </c>
      <c r="G126" s="294" t="s">
        <v>288</v>
      </c>
      <c r="H126" s="291" t="s">
        <v>271</v>
      </c>
    </row>
    <row r="127" spans="1:8" s="162" customFormat="1" x14ac:dyDescent="0.25">
      <c r="A127" s="224" t="s">
        <v>13</v>
      </c>
      <c r="B127" s="310" t="s">
        <v>54</v>
      </c>
      <c r="C127" s="311" t="s">
        <v>42</v>
      </c>
      <c r="D127" s="311" t="s">
        <v>279</v>
      </c>
      <c r="E127" s="290">
        <v>0.5</v>
      </c>
      <c r="F127" s="290">
        <f t="shared" si="5"/>
        <v>0.25</v>
      </c>
      <c r="G127" s="294" t="s">
        <v>288</v>
      </c>
      <c r="H127" s="291" t="s">
        <v>271</v>
      </c>
    </row>
    <row r="128" spans="1:8" s="162" customFormat="1" x14ac:dyDescent="0.25">
      <c r="A128" s="224" t="s">
        <v>13</v>
      </c>
      <c r="B128" s="310" t="s">
        <v>54</v>
      </c>
      <c r="C128" s="313" t="s">
        <v>42</v>
      </c>
      <c r="D128" s="311" t="s">
        <v>280</v>
      </c>
      <c r="E128" s="290">
        <v>0.5</v>
      </c>
      <c r="F128" s="290">
        <f t="shared" si="5"/>
        <v>0.25</v>
      </c>
      <c r="G128" s="294" t="s">
        <v>288</v>
      </c>
      <c r="H128" s="291" t="s">
        <v>271</v>
      </c>
    </row>
    <row r="129" spans="1:8" s="162" customFormat="1" x14ac:dyDescent="0.25">
      <c r="A129" s="224" t="s">
        <v>13</v>
      </c>
      <c r="B129" s="310" t="s">
        <v>54</v>
      </c>
      <c r="C129" s="313" t="s">
        <v>42</v>
      </c>
      <c r="D129" s="311" t="s">
        <v>281</v>
      </c>
      <c r="E129" s="290">
        <v>0.5</v>
      </c>
      <c r="F129" s="290">
        <f t="shared" si="5"/>
        <v>0.25</v>
      </c>
      <c r="G129" s="294" t="s">
        <v>288</v>
      </c>
      <c r="H129" s="291" t="s">
        <v>271</v>
      </c>
    </row>
    <row r="130" spans="1:8" s="162" customFormat="1" x14ac:dyDescent="0.25">
      <c r="A130" s="224" t="s">
        <v>13</v>
      </c>
      <c r="B130" s="310" t="s">
        <v>54</v>
      </c>
      <c r="C130" s="313" t="s">
        <v>42</v>
      </c>
      <c r="D130" s="311" t="s">
        <v>282</v>
      </c>
      <c r="E130" s="290">
        <v>0.5</v>
      </c>
      <c r="F130" s="290">
        <f t="shared" si="5"/>
        <v>0.25</v>
      </c>
      <c r="G130" s="294" t="s">
        <v>288</v>
      </c>
      <c r="H130" s="291" t="s">
        <v>271</v>
      </c>
    </row>
    <row r="131" spans="1:8" s="162" customFormat="1" x14ac:dyDescent="0.25">
      <c r="A131" s="224" t="s">
        <v>13</v>
      </c>
      <c r="B131" s="311" t="s">
        <v>89</v>
      </c>
      <c r="C131" s="311" t="s">
        <v>41</v>
      </c>
      <c r="D131" s="311" t="s">
        <v>280</v>
      </c>
      <c r="E131" s="290">
        <v>0.2</v>
      </c>
      <c r="F131" s="290">
        <f>E131/2</f>
        <v>0.1</v>
      </c>
      <c r="G131" s="296" t="s">
        <v>289</v>
      </c>
      <c r="H131" s="291" t="s">
        <v>271</v>
      </c>
    </row>
    <row r="132" spans="1:8" s="162" customFormat="1" x14ac:dyDescent="0.25">
      <c r="A132" s="224" t="s">
        <v>13</v>
      </c>
      <c r="B132" s="311" t="s">
        <v>89</v>
      </c>
      <c r="C132" s="311" t="s">
        <v>41</v>
      </c>
      <c r="D132" s="311" t="s">
        <v>282</v>
      </c>
      <c r="E132" s="290">
        <v>0.15</v>
      </c>
      <c r="F132" s="290">
        <f t="shared" ref="F132:F195" si="6">E132/2</f>
        <v>7.4999999999999997E-2</v>
      </c>
      <c r="G132" s="294" t="s">
        <v>290</v>
      </c>
      <c r="H132" s="291" t="s">
        <v>271</v>
      </c>
    </row>
    <row r="133" spans="1:8" s="162" customFormat="1" x14ac:dyDescent="0.25">
      <c r="A133" s="224" t="s">
        <v>13</v>
      </c>
      <c r="B133" s="311" t="s">
        <v>89</v>
      </c>
      <c r="C133" s="311" t="s">
        <v>43</v>
      </c>
      <c r="D133" s="311" t="s">
        <v>276</v>
      </c>
      <c r="E133" s="297">
        <v>0.25</v>
      </c>
      <c r="F133" s="290">
        <f t="shared" si="6"/>
        <v>0.125</v>
      </c>
      <c r="G133" s="298" t="s">
        <v>291</v>
      </c>
      <c r="H133" s="291" t="s">
        <v>271</v>
      </c>
    </row>
    <row r="134" spans="1:8" s="162" customFormat="1" x14ac:dyDescent="0.25">
      <c r="A134" s="224" t="s">
        <v>13</v>
      </c>
      <c r="B134" s="311" t="s">
        <v>89</v>
      </c>
      <c r="C134" s="311" t="s">
        <v>43</v>
      </c>
      <c r="D134" s="311" t="s">
        <v>279</v>
      </c>
      <c r="E134" s="292">
        <v>0.05</v>
      </c>
      <c r="F134" s="290">
        <f t="shared" si="6"/>
        <v>2.5000000000000001E-2</v>
      </c>
      <c r="G134" s="299" t="s">
        <v>292</v>
      </c>
      <c r="H134" s="291" t="s">
        <v>271</v>
      </c>
    </row>
    <row r="135" spans="1:8" s="162" customFormat="1" x14ac:dyDescent="0.25">
      <c r="A135" s="224" t="s">
        <v>13</v>
      </c>
      <c r="B135" s="311" t="s">
        <v>89</v>
      </c>
      <c r="C135" s="311" t="s">
        <v>43</v>
      </c>
      <c r="D135" s="311" t="s">
        <v>280</v>
      </c>
      <c r="E135" s="290">
        <v>0.2</v>
      </c>
      <c r="F135" s="290">
        <f t="shared" si="6"/>
        <v>0.1</v>
      </c>
      <c r="G135" s="296" t="s">
        <v>289</v>
      </c>
      <c r="H135" s="291" t="s">
        <v>271</v>
      </c>
    </row>
    <row r="136" spans="1:8" s="162" customFormat="1" x14ac:dyDescent="0.25">
      <c r="A136" s="224" t="s">
        <v>13</v>
      </c>
      <c r="B136" s="311" t="s">
        <v>89</v>
      </c>
      <c r="C136" s="311" t="s">
        <v>43</v>
      </c>
      <c r="D136" s="311" t="s">
        <v>281</v>
      </c>
      <c r="E136" s="300">
        <v>0.25</v>
      </c>
      <c r="F136" s="290">
        <f t="shared" si="6"/>
        <v>0.125</v>
      </c>
      <c r="G136" s="294" t="s">
        <v>293</v>
      </c>
      <c r="H136" s="291" t="s">
        <v>271</v>
      </c>
    </row>
    <row r="137" spans="1:8" s="162" customFormat="1" x14ac:dyDescent="0.25">
      <c r="A137" s="224" t="s">
        <v>13</v>
      </c>
      <c r="B137" s="311" t="s">
        <v>89</v>
      </c>
      <c r="C137" s="311" t="s">
        <v>43</v>
      </c>
      <c r="D137" s="311" t="s">
        <v>282</v>
      </c>
      <c r="E137" s="290">
        <v>0.15</v>
      </c>
      <c r="F137" s="290">
        <f t="shared" si="6"/>
        <v>7.4999999999999997E-2</v>
      </c>
      <c r="G137" s="294" t="s">
        <v>290</v>
      </c>
      <c r="H137" s="291" t="s">
        <v>271</v>
      </c>
    </row>
    <row r="138" spans="1:8" s="162" customFormat="1" x14ac:dyDescent="0.25">
      <c r="A138" s="224" t="s">
        <v>13</v>
      </c>
      <c r="B138" s="311" t="s">
        <v>89</v>
      </c>
      <c r="C138" s="311" t="s">
        <v>44</v>
      </c>
      <c r="D138" s="313" t="s">
        <v>276</v>
      </c>
      <c r="E138" s="290">
        <v>0.5</v>
      </c>
      <c r="F138" s="290">
        <f t="shared" si="6"/>
        <v>0.25</v>
      </c>
      <c r="G138" s="294" t="s">
        <v>549</v>
      </c>
      <c r="H138" s="291" t="s">
        <v>271</v>
      </c>
    </row>
    <row r="139" spans="1:8" s="162" customFormat="1" x14ac:dyDescent="0.25">
      <c r="A139" s="224" t="s">
        <v>13</v>
      </c>
      <c r="B139" s="311" t="s">
        <v>89</v>
      </c>
      <c r="C139" s="311" t="s">
        <v>44</v>
      </c>
      <c r="D139" s="313" t="s">
        <v>279</v>
      </c>
      <c r="E139" s="290">
        <v>0.5</v>
      </c>
      <c r="F139" s="290">
        <f t="shared" si="6"/>
        <v>0.25</v>
      </c>
      <c r="G139" s="294" t="s">
        <v>549</v>
      </c>
      <c r="H139" s="291" t="s">
        <v>271</v>
      </c>
    </row>
    <row r="140" spans="1:8" s="162" customFormat="1" x14ac:dyDescent="0.25">
      <c r="A140" s="224" t="s">
        <v>13</v>
      </c>
      <c r="B140" s="311" t="s">
        <v>89</v>
      </c>
      <c r="C140" s="311" t="s">
        <v>44</v>
      </c>
      <c r="D140" s="313" t="s">
        <v>281</v>
      </c>
      <c r="E140" s="290">
        <v>0.5</v>
      </c>
      <c r="F140" s="290">
        <f t="shared" si="6"/>
        <v>0.25</v>
      </c>
      <c r="G140" s="294" t="s">
        <v>549</v>
      </c>
      <c r="H140" s="291" t="s">
        <v>271</v>
      </c>
    </row>
    <row r="141" spans="1:8" s="162" customFormat="1" x14ac:dyDescent="0.25">
      <c r="A141" s="224" t="s">
        <v>13</v>
      </c>
      <c r="B141" s="311" t="s">
        <v>90</v>
      </c>
      <c r="C141" s="311" t="s">
        <v>41</v>
      </c>
      <c r="D141" s="311" t="s">
        <v>280</v>
      </c>
      <c r="E141" s="290">
        <v>0.2</v>
      </c>
      <c r="F141" s="290">
        <f t="shared" si="6"/>
        <v>0.1</v>
      </c>
      <c r="G141" s="296" t="s">
        <v>289</v>
      </c>
      <c r="H141" s="291" t="s">
        <v>271</v>
      </c>
    </row>
    <row r="142" spans="1:8" s="162" customFormat="1" x14ac:dyDescent="0.25">
      <c r="A142" s="224" t="s">
        <v>13</v>
      </c>
      <c r="B142" s="311" t="s">
        <v>90</v>
      </c>
      <c r="C142" s="311" t="s">
        <v>41</v>
      </c>
      <c r="D142" s="311" t="s">
        <v>282</v>
      </c>
      <c r="E142" s="290">
        <v>0.15</v>
      </c>
      <c r="F142" s="290">
        <f t="shared" si="6"/>
        <v>7.4999999999999997E-2</v>
      </c>
      <c r="G142" s="294" t="s">
        <v>290</v>
      </c>
      <c r="H142" s="291" t="s">
        <v>271</v>
      </c>
    </row>
    <row r="143" spans="1:8" s="162" customFormat="1" x14ac:dyDescent="0.25">
      <c r="A143" s="224" t="s">
        <v>13</v>
      </c>
      <c r="B143" s="311" t="s">
        <v>90</v>
      </c>
      <c r="C143" s="311" t="s">
        <v>43</v>
      </c>
      <c r="D143" s="311" t="s">
        <v>276</v>
      </c>
      <c r="E143" s="297">
        <v>0.25</v>
      </c>
      <c r="F143" s="290">
        <f t="shared" si="6"/>
        <v>0.125</v>
      </c>
      <c r="G143" s="298" t="s">
        <v>291</v>
      </c>
      <c r="H143" s="291" t="s">
        <v>271</v>
      </c>
    </row>
    <row r="144" spans="1:8" s="162" customFormat="1" x14ac:dyDescent="0.25">
      <c r="A144" s="224" t="s">
        <v>13</v>
      </c>
      <c r="B144" s="311" t="s">
        <v>90</v>
      </c>
      <c r="C144" s="311" t="s">
        <v>43</v>
      </c>
      <c r="D144" s="311" t="s">
        <v>279</v>
      </c>
      <c r="E144" s="292">
        <v>0.05</v>
      </c>
      <c r="F144" s="290">
        <f t="shared" si="6"/>
        <v>2.5000000000000001E-2</v>
      </c>
      <c r="G144" s="299" t="s">
        <v>292</v>
      </c>
      <c r="H144" s="291" t="s">
        <v>271</v>
      </c>
    </row>
    <row r="145" spans="1:8" s="162" customFormat="1" x14ac:dyDescent="0.25">
      <c r="A145" s="224" t="s">
        <v>13</v>
      </c>
      <c r="B145" s="311" t="s">
        <v>90</v>
      </c>
      <c r="C145" s="311" t="s">
        <v>43</v>
      </c>
      <c r="D145" s="311" t="s">
        <v>280</v>
      </c>
      <c r="E145" s="290">
        <v>0.2</v>
      </c>
      <c r="F145" s="290">
        <f t="shared" si="6"/>
        <v>0.1</v>
      </c>
      <c r="G145" s="296" t="s">
        <v>289</v>
      </c>
      <c r="H145" s="291" t="s">
        <v>271</v>
      </c>
    </row>
    <row r="146" spans="1:8" s="162" customFormat="1" x14ac:dyDescent="0.25">
      <c r="A146" s="224" t="s">
        <v>13</v>
      </c>
      <c r="B146" s="311" t="s">
        <v>90</v>
      </c>
      <c r="C146" s="311" t="s">
        <v>43</v>
      </c>
      <c r="D146" s="311" t="s">
        <v>281</v>
      </c>
      <c r="E146" s="300">
        <v>0.25</v>
      </c>
      <c r="F146" s="290">
        <f t="shared" si="6"/>
        <v>0.125</v>
      </c>
      <c r="G146" s="294" t="s">
        <v>293</v>
      </c>
      <c r="H146" s="291" t="s">
        <v>271</v>
      </c>
    </row>
    <row r="147" spans="1:8" s="162" customFormat="1" x14ac:dyDescent="0.25">
      <c r="A147" s="224" t="s">
        <v>13</v>
      </c>
      <c r="B147" s="311" t="s">
        <v>90</v>
      </c>
      <c r="C147" s="311" t="s">
        <v>43</v>
      </c>
      <c r="D147" s="311" t="s">
        <v>282</v>
      </c>
      <c r="E147" s="290">
        <v>0.15</v>
      </c>
      <c r="F147" s="290">
        <f t="shared" si="6"/>
        <v>7.4999999999999997E-2</v>
      </c>
      <c r="G147" s="294" t="s">
        <v>290</v>
      </c>
      <c r="H147" s="291" t="s">
        <v>271</v>
      </c>
    </row>
    <row r="148" spans="1:8" s="162" customFormat="1" x14ac:dyDescent="0.25">
      <c r="A148" s="224" t="s">
        <v>13</v>
      </c>
      <c r="B148" s="311" t="s">
        <v>90</v>
      </c>
      <c r="C148" s="311" t="s">
        <v>44</v>
      </c>
      <c r="D148" s="313" t="s">
        <v>276</v>
      </c>
      <c r="E148" s="290">
        <v>0.5</v>
      </c>
      <c r="F148" s="290">
        <f t="shared" si="6"/>
        <v>0.25</v>
      </c>
      <c r="G148" s="294" t="s">
        <v>549</v>
      </c>
      <c r="H148" s="291" t="s">
        <v>271</v>
      </c>
    </row>
    <row r="149" spans="1:8" s="162" customFormat="1" x14ac:dyDescent="0.25">
      <c r="A149" s="224" t="s">
        <v>13</v>
      </c>
      <c r="B149" s="311" t="s">
        <v>90</v>
      </c>
      <c r="C149" s="311" t="s">
        <v>44</v>
      </c>
      <c r="D149" s="313" t="s">
        <v>279</v>
      </c>
      <c r="E149" s="290">
        <v>0.5</v>
      </c>
      <c r="F149" s="290">
        <f t="shared" si="6"/>
        <v>0.25</v>
      </c>
      <c r="G149" s="294" t="s">
        <v>549</v>
      </c>
      <c r="H149" s="291" t="s">
        <v>271</v>
      </c>
    </row>
    <row r="150" spans="1:8" s="162" customFormat="1" x14ac:dyDescent="0.25">
      <c r="A150" s="224" t="s">
        <v>13</v>
      </c>
      <c r="B150" s="311" t="s">
        <v>90</v>
      </c>
      <c r="C150" s="311" t="s">
        <v>44</v>
      </c>
      <c r="D150" s="313" t="s">
        <v>281</v>
      </c>
      <c r="E150" s="290">
        <v>0.5</v>
      </c>
      <c r="F150" s="290">
        <f t="shared" si="6"/>
        <v>0.25</v>
      </c>
      <c r="G150" s="294" t="s">
        <v>549</v>
      </c>
      <c r="H150" s="291" t="s">
        <v>271</v>
      </c>
    </row>
    <row r="151" spans="1:8" s="162" customFormat="1" x14ac:dyDescent="0.25">
      <c r="A151" s="224" t="s">
        <v>13</v>
      </c>
      <c r="B151" s="311" t="s">
        <v>91</v>
      </c>
      <c r="C151" s="311" t="s">
        <v>41</v>
      </c>
      <c r="D151" s="311" t="s">
        <v>280</v>
      </c>
      <c r="E151" s="290">
        <v>0.2</v>
      </c>
      <c r="F151" s="290">
        <f t="shared" si="6"/>
        <v>0.1</v>
      </c>
      <c r="G151" s="296" t="s">
        <v>289</v>
      </c>
      <c r="H151" s="291" t="s">
        <v>271</v>
      </c>
    </row>
    <row r="152" spans="1:8" s="162" customFormat="1" x14ac:dyDescent="0.25">
      <c r="A152" s="224" t="s">
        <v>13</v>
      </c>
      <c r="B152" s="311" t="s">
        <v>91</v>
      </c>
      <c r="C152" s="311" t="s">
        <v>41</v>
      </c>
      <c r="D152" s="311" t="s">
        <v>282</v>
      </c>
      <c r="E152" s="290">
        <v>0.15</v>
      </c>
      <c r="F152" s="290">
        <f t="shared" si="6"/>
        <v>7.4999999999999997E-2</v>
      </c>
      <c r="G152" s="294" t="s">
        <v>290</v>
      </c>
      <c r="H152" s="291" t="s">
        <v>271</v>
      </c>
    </row>
    <row r="153" spans="1:8" s="162" customFormat="1" x14ac:dyDescent="0.25">
      <c r="A153" s="224" t="s">
        <v>13</v>
      </c>
      <c r="B153" s="311" t="s">
        <v>91</v>
      </c>
      <c r="C153" s="311" t="s">
        <v>43</v>
      </c>
      <c r="D153" s="311" t="s">
        <v>276</v>
      </c>
      <c r="E153" s="297">
        <v>0.25</v>
      </c>
      <c r="F153" s="290">
        <f t="shared" si="6"/>
        <v>0.125</v>
      </c>
      <c r="G153" s="298" t="s">
        <v>291</v>
      </c>
      <c r="H153" s="291" t="s">
        <v>271</v>
      </c>
    </row>
    <row r="154" spans="1:8" s="162" customFormat="1" x14ac:dyDescent="0.25">
      <c r="A154" s="224" t="s">
        <v>13</v>
      </c>
      <c r="B154" s="311" t="s">
        <v>91</v>
      </c>
      <c r="C154" s="311" t="s">
        <v>43</v>
      </c>
      <c r="D154" s="311" t="s">
        <v>279</v>
      </c>
      <c r="E154" s="292">
        <v>0.05</v>
      </c>
      <c r="F154" s="290">
        <f t="shared" si="6"/>
        <v>2.5000000000000001E-2</v>
      </c>
      <c r="G154" s="299" t="s">
        <v>292</v>
      </c>
      <c r="H154" s="291" t="s">
        <v>271</v>
      </c>
    </row>
    <row r="155" spans="1:8" s="162" customFormat="1" x14ac:dyDescent="0.25">
      <c r="A155" s="224" t="s">
        <v>13</v>
      </c>
      <c r="B155" s="311" t="s">
        <v>91</v>
      </c>
      <c r="C155" s="311" t="s">
        <v>43</v>
      </c>
      <c r="D155" s="311" t="s">
        <v>280</v>
      </c>
      <c r="E155" s="290">
        <v>0.2</v>
      </c>
      <c r="F155" s="290">
        <f t="shared" si="6"/>
        <v>0.1</v>
      </c>
      <c r="G155" s="296" t="s">
        <v>289</v>
      </c>
      <c r="H155" s="291" t="s">
        <v>271</v>
      </c>
    </row>
    <row r="156" spans="1:8" s="162" customFormat="1" x14ac:dyDescent="0.25">
      <c r="A156" s="224" t="s">
        <v>13</v>
      </c>
      <c r="B156" s="311" t="s">
        <v>91</v>
      </c>
      <c r="C156" s="311" t="s">
        <v>43</v>
      </c>
      <c r="D156" s="311" t="s">
        <v>281</v>
      </c>
      <c r="E156" s="300">
        <v>0.25</v>
      </c>
      <c r="F156" s="290">
        <f t="shared" si="6"/>
        <v>0.125</v>
      </c>
      <c r="G156" s="294" t="s">
        <v>293</v>
      </c>
      <c r="H156" s="291" t="s">
        <v>271</v>
      </c>
    </row>
    <row r="157" spans="1:8" s="162" customFormat="1" x14ac:dyDescent="0.25">
      <c r="A157" s="224" t="s">
        <v>13</v>
      </c>
      <c r="B157" s="311" t="s">
        <v>91</v>
      </c>
      <c r="C157" s="311" t="s">
        <v>43</v>
      </c>
      <c r="D157" s="311" t="s">
        <v>282</v>
      </c>
      <c r="E157" s="290">
        <v>0.15</v>
      </c>
      <c r="F157" s="290">
        <f t="shared" si="6"/>
        <v>7.4999999999999997E-2</v>
      </c>
      <c r="G157" s="294" t="s">
        <v>290</v>
      </c>
      <c r="H157" s="291" t="s">
        <v>271</v>
      </c>
    </row>
    <row r="158" spans="1:8" s="162" customFormat="1" x14ac:dyDescent="0.25">
      <c r="A158" s="224" t="s">
        <v>13</v>
      </c>
      <c r="B158" s="311" t="s">
        <v>91</v>
      </c>
      <c r="C158" s="311" t="s">
        <v>44</v>
      </c>
      <c r="D158" s="313" t="s">
        <v>276</v>
      </c>
      <c r="E158" s="290">
        <v>0.5</v>
      </c>
      <c r="F158" s="290">
        <f t="shared" si="6"/>
        <v>0.25</v>
      </c>
      <c r="G158" s="294" t="s">
        <v>549</v>
      </c>
      <c r="H158" s="291" t="s">
        <v>271</v>
      </c>
    </row>
    <row r="159" spans="1:8" s="162" customFormat="1" x14ac:dyDescent="0.25">
      <c r="A159" s="224" t="s">
        <v>13</v>
      </c>
      <c r="B159" s="311" t="s">
        <v>91</v>
      </c>
      <c r="C159" s="311" t="s">
        <v>44</v>
      </c>
      <c r="D159" s="313" t="s">
        <v>279</v>
      </c>
      <c r="E159" s="290">
        <v>0.5</v>
      </c>
      <c r="F159" s="290">
        <f t="shared" si="6"/>
        <v>0.25</v>
      </c>
      <c r="G159" s="294" t="s">
        <v>549</v>
      </c>
      <c r="H159" s="291" t="s">
        <v>271</v>
      </c>
    </row>
    <row r="160" spans="1:8" s="162" customFormat="1" x14ac:dyDescent="0.25">
      <c r="A160" s="224" t="s">
        <v>13</v>
      </c>
      <c r="B160" s="311" t="s">
        <v>91</v>
      </c>
      <c r="C160" s="311" t="s">
        <v>44</v>
      </c>
      <c r="D160" s="313" t="s">
        <v>281</v>
      </c>
      <c r="E160" s="290">
        <v>0.5</v>
      </c>
      <c r="F160" s="290">
        <f t="shared" si="6"/>
        <v>0.25</v>
      </c>
      <c r="G160" s="294" t="s">
        <v>549</v>
      </c>
      <c r="H160" s="291" t="s">
        <v>271</v>
      </c>
    </row>
    <row r="161" spans="1:8" s="162" customFormat="1" x14ac:dyDescent="0.25">
      <c r="A161" s="224" t="s">
        <v>13</v>
      </c>
      <c r="B161" s="311" t="s">
        <v>92</v>
      </c>
      <c r="C161" s="311" t="s">
        <v>41</v>
      </c>
      <c r="D161" s="311" t="s">
        <v>280</v>
      </c>
      <c r="E161" s="290">
        <v>0.2</v>
      </c>
      <c r="F161" s="290">
        <f t="shared" si="6"/>
        <v>0.1</v>
      </c>
      <c r="G161" s="296" t="s">
        <v>289</v>
      </c>
      <c r="H161" s="291" t="s">
        <v>271</v>
      </c>
    </row>
    <row r="162" spans="1:8" s="162" customFormat="1" x14ac:dyDescent="0.25">
      <c r="A162" s="224" t="s">
        <v>13</v>
      </c>
      <c r="B162" s="311" t="s">
        <v>92</v>
      </c>
      <c r="C162" s="311" t="s">
        <v>41</v>
      </c>
      <c r="D162" s="311" t="s">
        <v>282</v>
      </c>
      <c r="E162" s="290">
        <v>0.15</v>
      </c>
      <c r="F162" s="290">
        <f t="shared" si="6"/>
        <v>7.4999999999999997E-2</v>
      </c>
      <c r="G162" s="294" t="s">
        <v>290</v>
      </c>
      <c r="H162" s="291" t="s">
        <v>271</v>
      </c>
    </row>
    <row r="163" spans="1:8" s="162" customFormat="1" x14ac:dyDescent="0.25">
      <c r="A163" s="224" t="s">
        <v>13</v>
      </c>
      <c r="B163" s="311" t="s">
        <v>92</v>
      </c>
      <c r="C163" s="311" t="s">
        <v>43</v>
      </c>
      <c r="D163" s="311" t="s">
        <v>276</v>
      </c>
      <c r="E163" s="297">
        <v>0.25</v>
      </c>
      <c r="F163" s="290">
        <f t="shared" si="6"/>
        <v>0.125</v>
      </c>
      <c r="G163" s="298" t="s">
        <v>291</v>
      </c>
      <c r="H163" s="291" t="s">
        <v>271</v>
      </c>
    </row>
    <row r="164" spans="1:8" s="162" customFormat="1" x14ac:dyDescent="0.25">
      <c r="A164" s="224" t="s">
        <v>13</v>
      </c>
      <c r="B164" s="311" t="s">
        <v>92</v>
      </c>
      <c r="C164" s="311" t="s">
        <v>43</v>
      </c>
      <c r="D164" s="311" t="s">
        <v>279</v>
      </c>
      <c r="E164" s="292">
        <v>0.05</v>
      </c>
      <c r="F164" s="290">
        <f t="shared" si="6"/>
        <v>2.5000000000000001E-2</v>
      </c>
      <c r="G164" s="299" t="s">
        <v>292</v>
      </c>
      <c r="H164" s="291" t="s">
        <v>271</v>
      </c>
    </row>
    <row r="165" spans="1:8" s="162" customFormat="1" x14ac:dyDescent="0.25">
      <c r="A165" s="224" t="s">
        <v>13</v>
      </c>
      <c r="B165" s="311" t="s">
        <v>92</v>
      </c>
      <c r="C165" s="311" t="s">
        <v>43</v>
      </c>
      <c r="D165" s="311" t="s">
        <v>280</v>
      </c>
      <c r="E165" s="290">
        <v>0.2</v>
      </c>
      <c r="F165" s="290">
        <f t="shared" si="6"/>
        <v>0.1</v>
      </c>
      <c r="G165" s="296" t="s">
        <v>289</v>
      </c>
      <c r="H165" s="291" t="s">
        <v>271</v>
      </c>
    </row>
    <row r="166" spans="1:8" s="162" customFormat="1" x14ac:dyDescent="0.25">
      <c r="A166" s="224" t="s">
        <v>13</v>
      </c>
      <c r="B166" s="311" t="s">
        <v>92</v>
      </c>
      <c r="C166" s="311" t="s">
        <v>43</v>
      </c>
      <c r="D166" s="311" t="s">
        <v>281</v>
      </c>
      <c r="E166" s="300">
        <v>0.25</v>
      </c>
      <c r="F166" s="290">
        <f t="shared" si="6"/>
        <v>0.125</v>
      </c>
      <c r="G166" s="294" t="s">
        <v>293</v>
      </c>
      <c r="H166" s="291" t="s">
        <v>271</v>
      </c>
    </row>
    <row r="167" spans="1:8" s="162" customFormat="1" x14ac:dyDescent="0.25">
      <c r="A167" s="224" t="s">
        <v>13</v>
      </c>
      <c r="B167" s="311" t="s">
        <v>92</v>
      </c>
      <c r="C167" s="311" t="s">
        <v>43</v>
      </c>
      <c r="D167" s="311" t="s">
        <v>282</v>
      </c>
      <c r="E167" s="290">
        <v>0.15</v>
      </c>
      <c r="F167" s="290">
        <f t="shared" si="6"/>
        <v>7.4999999999999997E-2</v>
      </c>
      <c r="G167" s="294" t="s">
        <v>290</v>
      </c>
      <c r="H167" s="291" t="s">
        <v>271</v>
      </c>
    </row>
    <row r="168" spans="1:8" s="162" customFormat="1" x14ac:dyDescent="0.25">
      <c r="A168" s="224" t="s">
        <v>13</v>
      </c>
      <c r="B168" s="311" t="s">
        <v>92</v>
      </c>
      <c r="C168" s="311" t="s">
        <v>44</v>
      </c>
      <c r="D168" s="313" t="s">
        <v>276</v>
      </c>
      <c r="E168" s="290">
        <v>0.5</v>
      </c>
      <c r="F168" s="290">
        <f t="shared" si="6"/>
        <v>0.25</v>
      </c>
      <c r="G168" s="294" t="s">
        <v>549</v>
      </c>
      <c r="H168" s="291" t="s">
        <v>271</v>
      </c>
    </row>
    <row r="169" spans="1:8" s="162" customFormat="1" x14ac:dyDescent="0.25">
      <c r="A169" s="224" t="s">
        <v>13</v>
      </c>
      <c r="B169" s="311" t="s">
        <v>92</v>
      </c>
      <c r="C169" s="311" t="s">
        <v>44</v>
      </c>
      <c r="D169" s="313" t="s">
        <v>279</v>
      </c>
      <c r="E169" s="290">
        <v>0.5</v>
      </c>
      <c r="F169" s="290">
        <f t="shared" si="6"/>
        <v>0.25</v>
      </c>
      <c r="G169" s="294" t="s">
        <v>549</v>
      </c>
      <c r="H169" s="291" t="s">
        <v>271</v>
      </c>
    </row>
    <row r="170" spans="1:8" s="162" customFormat="1" x14ac:dyDescent="0.25">
      <c r="A170" s="224" t="s">
        <v>13</v>
      </c>
      <c r="B170" s="311" t="s">
        <v>92</v>
      </c>
      <c r="C170" s="311" t="s">
        <v>44</v>
      </c>
      <c r="D170" s="313" t="s">
        <v>281</v>
      </c>
      <c r="E170" s="290">
        <v>0.5</v>
      </c>
      <c r="F170" s="290">
        <f t="shared" si="6"/>
        <v>0.25</v>
      </c>
      <c r="G170" s="294" t="s">
        <v>549</v>
      </c>
      <c r="H170" s="291" t="s">
        <v>271</v>
      </c>
    </row>
    <row r="171" spans="1:8" s="162" customFormat="1" x14ac:dyDescent="0.25">
      <c r="A171" s="224" t="s">
        <v>13</v>
      </c>
      <c r="B171" s="311" t="s">
        <v>93</v>
      </c>
      <c r="C171" s="311" t="s">
        <v>41</v>
      </c>
      <c r="D171" s="311" t="s">
        <v>280</v>
      </c>
      <c r="E171" s="290">
        <v>0.2</v>
      </c>
      <c r="F171" s="290">
        <f t="shared" si="6"/>
        <v>0.1</v>
      </c>
      <c r="G171" s="296" t="s">
        <v>289</v>
      </c>
      <c r="H171" s="291" t="s">
        <v>271</v>
      </c>
    </row>
    <row r="172" spans="1:8" s="162" customFormat="1" x14ac:dyDescent="0.25">
      <c r="A172" s="224" t="s">
        <v>13</v>
      </c>
      <c r="B172" s="311" t="s">
        <v>93</v>
      </c>
      <c r="C172" s="311" t="s">
        <v>41</v>
      </c>
      <c r="D172" s="311" t="s">
        <v>282</v>
      </c>
      <c r="E172" s="290">
        <v>0.15</v>
      </c>
      <c r="F172" s="290">
        <f t="shared" si="6"/>
        <v>7.4999999999999997E-2</v>
      </c>
      <c r="G172" s="294" t="s">
        <v>290</v>
      </c>
      <c r="H172" s="291" t="s">
        <v>271</v>
      </c>
    </row>
    <row r="173" spans="1:8" s="162" customFormat="1" x14ac:dyDescent="0.25">
      <c r="A173" s="224" t="s">
        <v>13</v>
      </c>
      <c r="B173" s="311" t="s">
        <v>93</v>
      </c>
      <c r="C173" s="311" t="s">
        <v>43</v>
      </c>
      <c r="D173" s="311" t="s">
        <v>276</v>
      </c>
      <c r="E173" s="297">
        <v>0.25</v>
      </c>
      <c r="F173" s="290">
        <f t="shared" si="6"/>
        <v>0.125</v>
      </c>
      <c r="G173" s="298" t="s">
        <v>291</v>
      </c>
      <c r="H173" s="291" t="s">
        <v>271</v>
      </c>
    </row>
    <row r="174" spans="1:8" s="162" customFormat="1" x14ac:dyDescent="0.25">
      <c r="A174" s="224" t="s">
        <v>13</v>
      </c>
      <c r="B174" s="311" t="s">
        <v>93</v>
      </c>
      <c r="C174" s="311" t="s">
        <v>43</v>
      </c>
      <c r="D174" s="311" t="s">
        <v>279</v>
      </c>
      <c r="E174" s="292">
        <v>0.05</v>
      </c>
      <c r="F174" s="290">
        <f t="shared" si="6"/>
        <v>2.5000000000000001E-2</v>
      </c>
      <c r="G174" s="299" t="s">
        <v>292</v>
      </c>
      <c r="H174" s="291" t="s">
        <v>271</v>
      </c>
    </row>
    <row r="175" spans="1:8" s="162" customFormat="1" x14ac:dyDescent="0.25">
      <c r="A175" s="224" t="s">
        <v>13</v>
      </c>
      <c r="B175" s="311" t="s">
        <v>93</v>
      </c>
      <c r="C175" s="311" t="s">
        <v>43</v>
      </c>
      <c r="D175" s="311" t="s">
        <v>280</v>
      </c>
      <c r="E175" s="290">
        <v>0.2</v>
      </c>
      <c r="F175" s="290">
        <f t="shared" si="6"/>
        <v>0.1</v>
      </c>
      <c r="G175" s="296" t="s">
        <v>289</v>
      </c>
      <c r="H175" s="291" t="s">
        <v>271</v>
      </c>
    </row>
    <row r="176" spans="1:8" s="162" customFormat="1" x14ac:dyDescent="0.25">
      <c r="A176" s="224" t="s">
        <v>13</v>
      </c>
      <c r="B176" s="311" t="s">
        <v>93</v>
      </c>
      <c r="C176" s="311" t="s">
        <v>43</v>
      </c>
      <c r="D176" s="311" t="s">
        <v>281</v>
      </c>
      <c r="E176" s="300">
        <v>0.25</v>
      </c>
      <c r="F176" s="290">
        <f t="shared" si="6"/>
        <v>0.125</v>
      </c>
      <c r="G176" s="294" t="s">
        <v>293</v>
      </c>
      <c r="H176" s="291" t="s">
        <v>271</v>
      </c>
    </row>
    <row r="177" spans="1:8" s="162" customFormat="1" x14ac:dyDescent="0.25">
      <c r="A177" s="224" t="s">
        <v>13</v>
      </c>
      <c r="B177" s="311" t="s">
        <v>93</v>
      </c>
      <c r="C177" s="311" t="s">
        <v>43</v>
      </c>
      <c r="D177" s="311" t="s">
        <v>282</v>
      </c>
      <c r="E177" s="290">
        <v>0.15</v>
      </c>
      <c r="F177" s="290">
        <f t="shared" si="6"/>
        <v>7.4999999999999997E-2</v>
      </c>
      <c r="G177" s="294" t="s">
        <v>290</v>
      </c>
      <c r="H177" s="291" t="s">
        <v>271</v>
      </c>
    </row>
    <row r="178" spans="1:8" s="162" customFormat="1" x14ac:dyDescent="0.25">
      <c r="A178" s="224" t="s">
        <v>13</v>
      </c>
      <c r="B178" s="311" t="s">
        <v>93</v>
      </c>
      <c r="C178" s="311" t="s">
        <v>44</v>
      </c>
      <c r="D178" s="313" t="s">
        <v>276</v>
      </c>
      <c r="E178" s="290">
        <v>0.5</v>
      </c>
      <c r="F178" s="290">
        <f t="shared" si="6"/>
        <v>0.25</v>
      </c>
      <c r="G178" s="294" t="s">
        <v>549</v>
      </c>
      <c r="H178" s="291" t="s">
        <v>271</v>
      </c>
    </row>
    <row r="179" spans="1:8" s="162" customFormat="1" x14ac:dyDescent="0.25">
      <c r="A179" s="224" t="s">
        <v>13</v>
      </c>
      <c r="B179" s="311" t="s">
        <v>93</v>
      </c>
      <c r="C179" s="311" t="s">
        <v>44</v>
      </c>
      <c r="D179" s="313" t="s">
        <v>279</v>
      </c>
      <c r="E179" s="290">
        <v>0.5</v>
      </c>
      <c r="F179" s="290">
        <f t="shared" si="6"/>
        <v>0.25</v>
      </c>
      <c r="G179" s="294" t="s">
        <v>549</v>
      </c>
      <c r="H179" s="291" t="s">
        <v>271</v>
      </c>
    </row>
    <row r="180" spans="1:8" s="162" customFormat="1" x14ac:dyDescent="0.25">
      <c r="A180" s="224" t="s">
        <v>13</v>
      </c>
      <c r="B180" s="311" t="s">
        <v>93</v>
      </c>
      <c r="C180" s="311" t="s">
        <v>44</v>
      </c>
      <c r="D180" s="313" t="s">
        <v>281</v>
      </c>
      <c r="E180" s="290">
        <v>0.5</v>
      </c>
      <c r="F180" s="290">
        <f t="shared" si="6"/>
        <v>0.25</v>
      </c>
      <c r="G180" s="294" t="s">
        <v>549</v>
      </c>
      <c r="H180" s="291" t="s">
        <v>271</v>
      </c>
    </row>
    <row r="181" spans="1:8" s="162" customFormat="1" x14ac:dyDescent="0.25">
      <c r="A181" s="224" t="s">
        <v>13</v>
      </c>
      <c r="B181" s="310" t="s">
        <v>147</v>
      </c>
      <c r="C181" s="311" t="s">
        <v>41</v>
      </c>
      <c r="D181" s="311" t="s">
        <v>280</v>
      </c>
      <c r="E181" s="290">
        <v>0.2</v>
      </c>
      <c r="F181" s="290">
        <f t="shared" si="6"/>
        <v>0.1</v>
      </c>
      <c r="G181" s="296" t="s">
        <v>289</v>
      </c>
      <c r="H181" s="291" t="s">
        <v>271</v>
      </c>
    </row>
    <row r="182" spans="1:8" s="162" customFormat="1" x14ac:dyDescent="0.25">
      <c r="A182" s="224" t="s">
        <v>13</v>
      </c>
      <c r="B182" s="310" t="s">
        <v>147</v>
      </c>
      <c r="C182" s="311" t="s">
        <v>41</v>
      </c>
      <c r="D182" s="311" t="s">
        <v>282</v>
      </c>
      <c r="E182" s="290">
        <v>0.15</v>
      </c>
      <c r="F182" s="290">
        <f t="shared" si="6"/>
        <v>7.4999999999999997E-2</v>
      </c>
      <c r="G182" s="294" t="s">
        <v>290</v>
      </c>
      <c r="H182" s="291" t="s">
        <v>271</v>
      </c>
    </row>
    <row r="183" spans="1:8" s="162" customFormat="1" x14ac:dyDescent="0.25">
      <c r="A183" s="224" t="s">
        <v>13</v>
      </c>
      <c r="B183" s="310" t="s">
        <v>147</v>
      </c>
      <c r="C183" s="311" t="s">
        <v>43</v>
      </c>
      <c r="D183" s="311" t="s">
        <v>276</v>
      </c>
      <c r="E183" s="297">
        <v>0.25</v>
      </c>
      <c r="F183" s="290">
        <f t="shared" si="6"/>
        <v>0.125</v>
      </c>
      <c r="G183" s="298" t="s">
        <v>291</v>
      </c>
      <c r="H183" s="291" t="s">
        <v>271</v>
      </c>
    </row>
    <row r="184" spans="1:8" s="162" customFormat="1" x14ac:dyDescent="0.25">
      <c r="A184" s="224" t="s">
        <v>13</v>
      </c>
      <c r="B184" s="310" t="s">
        <v>147</v>
      </c>
      <c r="C184" s="311" t="s">
        <v>43</v>
      </c>
      <c r="D184" s="311" t="s">
        <v>279</v>
      </c>
      <c r="E184" s="292">
        <v>0.05</v>
      </c>
      <c r="F184" s="290">
        <f t="shared" si="6"/>
        <v>2.5000000000000001E-2</v>
      </c>
      <c r="G184" s="299" t="s">
        <v>292</v>
      </c>
      <c r="H184" s="291" t="s">
        <v>271</v>
      </c>
    </row>
    <row r="185" spans="1:8" s="162" customFormat="1" x14ac:dyDescent="0.25">
      <c r="A185" s="224" t="s">
        <v>13</v>
      </c>
      <c r="B185" s="310" t="s">
        <v>147</v>
      </c>
      <c r="C185" s="311" t="s">
        <v>43</v>
      </c>
      <c r="D185" s="311" t="s">
        <v>280</v>
      </c>
      <c r="E185" s="290">
        <v>0.2</v>
      </c>
      <c r="F185" s="290">
        <f t="shared" si="6"/>
        <v>0.1</v>
      </c>
      <c r="G185" s="296" t="s">
        <v>289</v>
      </c>
      <c r="H185" s="291" t="s">
        <v>271</v>
      </c>
    </row>
    <row r="186" spans="1:8" s="162" customFormat="1" x14ac:dyDescent="0.25">
      <c r="A186" s="224" t="s">
        <v>13</v>
      </c>
      <c r="B186" s="310" t="s">
        <v>147</v>
      </c>
      <c r="C186" s="311" t="s">
        <v>43</v>
      </c>
      <c r="D186" s="311" t="s">
        <v>281</v>
      </c>
      <c r="E186" s="300">
        <v>0.25</v>
      </c>
      <c r="F186" s="290">
        <f t="shared" si="6"/>
        <v>0.125</v>
      </c>
      <c r="G186" s="294" t="s">
        <v>293</v>
      </c>
      <c r="H186" s="291" t="s">
        <v>271</v>
      </c>
    </row>
    <row r="187" spans="1:8" s="162" customFormat="1" x14ac:dyDescent="0.25">
      <c r="A187" s="224" t="s">
        <v>13</v>
      </c>
      <c r="B187" s="310" t="s">
        <v>147</v>
      </c>
      <c r="C187" s="311" t="s">
        <v>43</v>
      </c>
      <c r="D187" s="311" t="s">
        <v>282</v>
      </c>
      <c r="E187" s="290">
        <v>0.15</v>
      </c>
      <c r="F187" s="290">
        <f t="shared" si="6"/>
        <v>7.4999999999999997E-2</v>
      </c>
      <c r="G187" s="294" t="s">
        <v>290</v>
      </c>
      <c r="H187" s="291" t="s">
        <v>271</v>
      </c>
    </row>
    <row r="188" spans="1:8" s="162" customFormat="1" x14ac:dyDescent="0.25">
      <c r="A188" s="224" t="s">
        <v>13</v>
      </c>
      <c r="B188" s="310" t="s">
        <v>147</v>
      </c>
      <c r="C188" s="311" t="s">
        <v>44</v>
      </c>
      <c r="D188" s="313" t="s">
        <v>276</v>
      </c>
      <c r="E188" s="290">
        <v>0.5</v>
      </c>
      <c r="F188" s="290">
        <f t="shared" si="6"/>
        <v>0.25</v>
      </c>
      <c r="G188" s="294" t="s">
        <v>549</v>
      </c>
      <c r="H188" s="291" t="s">
        <v>271</v>
      </c>
    </row>
    <row r="189" spans="1:8" s="162" customFormat="1" x14ac:dyDescent="0.25">
      <c r="A189" s="224" t="s">
        <v>13</v>
      </c>
      <c r="B189" s="310" t="s">
        <v>147</v>
      </c>
      <c r="C189" s="311" t="s">
        <v>44</v>
      </c>
      <c r="D189" s="313" t="s">
        <v>279</v>
      </c>
      <c r="E189" s="290">
        <v>0.5</v>
      </c>
      <c r="F189" s="290">
        <f t="shared" si="6"/>
        <v>0.25</v>
      </c>
      <c r="G189" s="294" t="s">
        <v>549</v>
      </c>
      <c r="H189" s="291" t="s">
        <v>271</v>
      </c>
    </row>
    <row r="190" spans="1:8" s="162" customFormat="1" x14ac:dyDescent="0.25">
      <c r="A190" s="224" t="s">
        <v>13</v>
      </c>
      <c r="B190" s="310" t="s">
        <v>147</v>
      </c>
      <c r="C190" s="311" t="s">
        <v>44</v>
      </c>
      <c r="D190" s="313" t="s">
        <v>281</v>
      </c>
      <c r="E190" s="290">
        <v>0.5</v>
      </c>
      <c r="F190" s="290">
        <f t="shared" si="6"/>
        <v>0.25</v>
      </c>
      <c r="G190" s="294" t="s">
        <v>549</v>
      </c>
      <c r="H190" s="291" t="s">
        <v>271</v>
      </c>
    </row>
    <row r="191" spans="1:8" s="162" customFormat="1" x14ac:dyDescent="0.25">
      <c r="A191" s="224" t="s">
        <v>13</v>
      </c>
      <c r="B191" s="310" t="s">
        <v>94</v>
      </c>
      <c r="C191" s="311" t="s">
        <v>43</v>
      </c>
      <c r="D191" s="311" t="s">
        <v>276</v>
      </c>
      <c r="E191" s="297">
        <v>0.25</v>
      </c>
      <c r="F191" s="290">
        <f t="shared" si="6"/>
        <v>0.125</v>
      </c>
      <c r="G191" s="298" t="s">
        <v>291</v>
      </c>
      <c r="H191" s="291" t="s">
        <v>271</v>
      </c>
    </row>
    <row r="192" spans="1:8" s="162" customFormat="1" x14ac:dyDescent="0.25">
      <c r="A192" s="224" t="s">
        <v>13</v>
      </c>
      <c r="B192" s="310" t="s">
        <v>94</v>
      </c>
      <c r="C192" s="311" t="s">
        <v>44</v>
      </c>
      <c r="D192" s="313" t="s">
        <v>276</v>
      </c>
      <c r="E192" s="290">
        <v>0.5</v>
      </c>
      <c r="F192" s="290">
        <f t="shared" si="6"/>
        <v>0.25</v>
      </c>
      <c r="G192" s="294" t="s">
        <v>549</v>
      </c>
      <c r="H192" s="291" t="s">
        <v>271</v>
      </c>
    </row>
    <row r="193" spans="1:8" s="162" customFormat="1" x14ac:dyDescent="0.25">
      <c r="A193" s="224" t="s">
        <v>13</v>
      </c>
      <c r="B193" s="311" t="s">
        <v>95</v>
      </c>
      <c r="C193" s="311" t="s">
        <v>41</v>
      </c>
      <c r="D193" s="311" t="s">
        <v>280</v>
      </c>
      <c r="E193" s="290">
        <f t="shared" ref="E193:G193" si="7">E131</f>
        <v>0.2</v>
      </c>
      <c r="F193" s="290">
        <f t="shared" si="6"/>
        <v>0.1</v>
      </c>
      <c r="G193" s="293" t="str">
        <f t="shared" si="7"/>
        <v>Large offices are suitable candidates for DR participation.</v>
      </c>
      <c r="H193" s="291" t="s">
        <v>271</v>
      </c>
    </row>
    <row r="194" spans="1:8" s="162" customFormat="1" x14ac:dyDescent="0.25">
      <c r="A194" s="224" t="s">
        <v>13</v>
      </c>
      <c r="B194" s="311" t="s">
        <v>95</v>
      </c>
      <c r="C194" s="311" t="s">
        <v>41</v>
      </c>
      <c r="D194" s="311" t="s">
        <v>282</v>
      </c>
      <c r="E194" s="290">
        <f t="shared" ref="E194:E254" si="8">E132</f>
        <v>0.15</v>
      </c>
      <c r="F194" s="290">
        <f t="shared" si="6"/>
        <v>7.4999999999999997E-2</v>
      </c>
      <c r="G194" s="293" t="str">
        <f t="shared" ref="G194:G254" si="9">G132</f>
        <v>Lower likelihood of participation than offices.</v>
      </c>
      <c r="H194" s="291" t="s">
        <v>271</v>
      </c>
    </row>
    <row r="195" spans="1:8" s="162" customFormat="1" x14ac:dyDescent="0.25">
      <c r="A195" s="224" t="s">
        <v>13</v>
      </c>
      <c r="B195" s="311" t="s">
        <v>95</v>
      </c>
      <c r="C195" s="311" t="s">
        <v>43</v>
      </c>
      <c r="D195" s="311" t="s">
        <v>276</v>
      </c>
      <c r="E195" s="290">
        <f t="shared" si="8"/>
        <v>0.25</v>
      </c>
      <c r="F195" s="290">
        <f t="shared" si="6"/>
        <v>0.125</v>
      </c>
      <c r="G195" s="293" t="str">
        <f t="shared" si="9"/>
        <v>Program information from other jurisdictions indicate that manufacturing is a significant contributor to DR.</v>
      </c>
      <c r="H195" s="291" t="s">
        <v>271</v>
      </c>
    </row>
    <row r="196" spans="1:8" s="162" customFormat="1" x14ac:dyDescent="0.25">
      <c r="A196" s="224" t="s">
        <v>13</v>
      </c>
      <c r="B196" s="311" t="s">
        <v>95</v>
      </c>
      <c r="C196" s="311" t="s">
        <v>43</v>
      </c>
      <c r="D196" s="311" t="s">
        <v>279</v>
      </c>
      <c r="E196" s="290">
        <f t="shared" si="8"/>
        <v>0.05</v>
      </c>
      <c r="F196" s="290">
        <f t="shared" ref="F196:F254" si="10">E196/2</f>
        <v>2.5000000000000001E-2</v>
      </c>
      <c r="G196" s="293" t="str">
        <f t="shared" si="9"/>
        <v>Assumed participation for miscellaneous facility types.</v>
      </c>
      <c r="H196" s="291" t="s">
        <v>271</v>
      </c>
    </row>
    <row r="197" spans="1:8" s="162" customFormat="1" x14ac:dyDescent="0.25">
      <c r="A197" s="224" t="s">
        <v>13</v>
      </c>
      <c r="B197" s="311" t="s">
        <v>95</v>
      </c>
      <c r="C197" s="311" t="s">
        <v>43</v>
      </c>
      <c r="D197" s="311" t="s">
        <v>280</v>
      </c>
      <c r="E197" s="290">
        <f t="shared" si="8"/>
        <v>0.2</v>
      </c>
      <c r="F197" s="290">
        <f t="shared" si="10"/>
        <v>0.1</v>
      </c>
      <c r="G197" s="293" t="str">
        <f t="shared" si="9"/>
        <v>Large offices are suitable candidates for DR participation.</v>
      </c>
      <c r="H197" s="291" t="s">
        <v>271</v>
      </c>
    </row>
    <row r="198" spans="1:8" s="162" customFormat="1" x14ac:dyDescent="0.25">
      <c r="A198" s="224" t="s">
        <v>13</v>
      </c>
      <c r="B198" s="311" t="s">
        <v>95</v>
      </c>
      <c r="C198" s="311" t="s">
        <v>43</v>
      </c>
      <c r="D198" s="311" t="s">
        <v>281</v>
      </c>
      <c r="E198" s="290">
        <f t="shared" si="8"/>
        <v>0.25</v>
      </c>
      <c r="F198" s="290">
        <f t="shared" si="10"/>
        <v>0.125</v>
      </c>
      <c r="G198" s="293" t="str">
        <f t="shared" si="9"/>
        <v>Retail facilities are good candidates for DR; therefore assumed relatively high participation.</v>
      </c>
      <c r="H198" s="291" t="s">
        <v>271</v>
      </c>
    </row>
    <row r="199" spans="1:8" s="162" customFormat="1" x14ac:dyDescent="0.25">
      <c r="A199" s="224" t="s">
        <v>13</v>
      </c>
      <c r="B199" s="311" t="s">
        <v>95</v>
      </c>
      <c r="C199" s="311" t="s">
        <v>43</v>
      </c>
      <c r="D199" s="311" t="s">
        <v>282</v>
      </c>
      <c r="E199" s="290">
        <f t="shared" si="8"/>
        <v>0.15</v>
      </c>
      <c r="F199" s="290">
        <f t="shared" si="10"/>
        <v>7.4999999999999997E-2</v>
      </c>
      <c r="G199" s="293" t="str">
        <f t="shared" si="9"/>
        <v>Lower likelihood of participation than offices.</v>
      </c>
      <c r="H199" s="291" t="s">
        <v>271</v>
      </c>
    </row>
    <row r="200" spans="1:8" s="162" customFormat="1" x14ac:dyDescent="0.25">
      <c r="A200" s="224" t="s">
        <v>13</v>
      </c>
      <c r="B200" s="311" t="s">
        <v>95</v>
      </c>
      <c r="C200" s="311" t="s">
        <v>44</v>
      </c>
      <c r="D200" s="313" t="s">
        <v>276</v>
      </c>
      <c r="E200" s="290">
        <f t="shared" si="8"/>
        <v>0.5</v>
      </c>
      <c r="F200" s="290">
        <f t="shared" si="10"/>
        <v>0.25</v>
      </c>
      <c r="G200" s="293" t="str">
        <f t="shared" si="9"/>
        <v>Assumed 50% participation from customers on Interruptible Riders.</v>
      </c>
      <c r="H200" s="291" t="s">
        <v>271</v>
      </c>
    </row>
    <row r="201" spans="1:8" s="162" customFormat="1" x14ac:dyDescent="0.25">
      <c r="A201" s="224" t="s">
        <v>13</v>
      </c>
      <c r="B201" s="311" t="s">
        <v>95</v>
      </c>
      <c r="C201" s="311" t="s">
        <v>44</v>
      </c>
      <c r="D201" s="313" t="s">
        <v>279</v>
      </c>
      <c r="E201" s="290">
        <f t="shared" si="8"/>
        <v>0.5</v>
      </c>
      <c r="F201" s="290">
        <f t="shared" si="10"/>
        <v>0.25</v>
      </c>
      <c r="G201" s="293" t="str">
        <f t="shared" si="9"/>
        <v>Assumed 50% participation from customers on Interruptible Riders.</v>
      </c>
      <c r="H201" s="291" t="s">
        <v>271</v>
      </c>
    </row>
    <row r="202" spans="1:8" s="162" customFormat="1" x14ac:dyDescent="0.25">
      <c r="A202" s="224" t="s">
        <v>13</v>
      </c>
      <c r="B202" s="311" t="s">
        <v>95</v>
      </c>
      <c r="C202" s="311" t="s">
        <v>44</v>
      </c>
      <c r="D202" s="313" t="s">
        <v>281</v>
      </c>
      <c r="E202" s="290">
        <f t="shared" si="8"/>
        <v>0.5</v>
      </c>
      <c r="F202" s="290">
        <f t="shared" si="10"/>
        <v>0.25</v>
      </c>
      <c r="G202" s="293" t="str">
        <f t="shared" si="9"/>
        <v>Assumed 50% participation from customers on Interruptible Riders.</v>
      </c>
      <c r="H202" s="291" t="s">
        <v>271</v>
      </c>
    </row>
    <row r="203" spans="1:8" s="162" customFormat="1" x14ac:dyDescent="0.25">
      <c r="A203" s="224" t="s">
        <v>13</v>
      </c>
      <c r="B203" s="311" t="s">
        <v>96</v>
      </c>
      <c r="C203" s="311" t="s">
        <v>41</v>
      </c>
      <c r="D203" s="311" t="s">
        <v>280</v>
      </c>
      <c r="E203" s="290">
        <f t="shared" si="8"/>
        <v>0.2</v>
      </c>
      <c r="F203" s="290">
        <f t="shared" si="10"/>
        <v>0.1</v>
      </c>
      <c r="G203" s="293" t="str">
        <f t="shared" si="9"/>
        <v>Large offices are suitable candidates for DR participation.</v>
      </c>
      <c r="H203" s="291" t="s">
        <v>271</v>
      </c>
    </row>
    <row r="204" spans="1:8" s="162" customFormat="1" x14ac:dyDescent="0.25">
      <c r="A204" s="224" t="s">
        <v>13</v>
      </c>
      <c r="B204" s="311" t="s">
        <v>96</v>
      </c>
      <c r="C204" s="311" t="s">
        <v>41</v>
      </c>
      <c r="D204" s="311" t="s">
        <v>282</v>
      </c>
      <c r="E204" s="290">
        <f t="shared" si="8"/>
        <v>0.15</v>
      </c>
      <c r="F204" s="290">
        <f t="shared" si="10"/>
        <v>7.4999999999999997E-2</v>
      </c>
      <c r="G204" s="293" t="str">
        <f t="shared" si="9"/>
        <v>Lower likelihood of participation than offices.</v>
      </c>
      <c r="H204" s="291" t="s">
        <v>271</v>
      </c>
    </row>
    <row r="205" spans="1:8" s="162" customFormat="1" x14ac:dyDescent="0.25">
      <c r="A205" s="224" t="s">
        <v>13</v>
      </c>
      <c r="B205" s="311" t="s">
        <v>96</v>
      </c>
      <c r="C205" s="311" t="s">
        <v>43</v>
      </c>
      <c r="D205" s="311" t="s">
        <v>276</v>
      </c>
      <c r="E205" s="290">
        <f t="shared" si="8"/>
        <v>0.25</v>
      </c>
      <c r="F205" s="290">
        <f t="shared" si="10"/>
        <v>0.125</v>
      </c>
      <c r="G205" s="293" t="str">
        <f t="shared" si="9"/>
        <v>Program information from other jurisdictions indicate that manufacturing is a significant contributor to DR.</v>
      </c>
      <c r="H205" s="291" t="s">
        <v>271</v>
      </c>
    </row>
    <row r="206" spans="1:8" s="162" customFormat="1" x14ac:dyDescent="0.25">
      <c r="A206" s="224" t="s">
        <v>13</v>
      </c>
      <c r="B206" s="311" t="s">
        <v>96</v>
      </c>
      <c r="C206" s="311" t="s">
        <v>43</v>
      </c>
      <c r="D206" s="311" t="s">
        <v>279</v>
      </c>
      <c r="E206" s="290">
        <f t="shared" si="8"/>
        <v>0.05</v>
      </c>
      <c r="F206" s="290">
        <f t="shared" si="10"/>
        <v>2.5000000000000001E-2</v>
      </c>
      <c r="G206" s="293" t="str">
        <f t="shared" si="9"/>
        <v>Assumed participation for miscellaneous facility types.</v>
      </c>
      <c r="H206" s="291" t="s">
        <v>271</v>
      </c>
    </row>
    <row r="207" spans="1:8" s="162" customFormat="1" x14ac:dyDescent="0.25">
      <c r="A207" s="224" t="s">
        <v>13</v>
      </c>
      <c r="B207" s="311" t="s">
        <v>96</v>
      </c>
      <c r="C207" s="311" t="s">
        <v>43</v>
      </c>
      <c r="D207" s="311" t="s">
        <v>280</v>
      </c>
      <c r="E207" s="290">
        <f t="shared" si="8"/>
        <v>0.2</v>
      </c>
      <c r="F207" s="290">
        <f t="shared" si="10"/>
        <v>0.1</v>
      </c>
      <c r="G207" s="293" t="str">
        <f t="shared" si="9"/>
        <v>Large offices are suitable candidates for DR participation.</v>
      </c>
      <c r="H207" s="291" t="s">
        <v>271</v>
      </c>
    </row>
    <row r="208" spans="1:8" s="162" customFormat="1" x14ac:dyDescent="0.25">
      <c r="A208" s="224" t="s">
        <v>13</v>
      </c>
      <c r="B208" s="311" t="s">
        <v>96</v>
      </c>
      <c r="C208" s="311" t="s">
        <v>43</v>
      </c>
      <c r="D208" s="311" t="s">
        <v>281</v>
      </c>
      <c r="E208" s="290">
        <f t="shared" si="8"/>
        <v>0.25</v>
      </c>
      <c r="F208" s="290">
        <f t="shared" si="10"/>
        <v>0.125</v>
      </c>
      <c r="G208" s="293" t="str">
        <f t="shared" si="9"/>
        <v>Retail facilities are good candidates for DR; therefore assumed relatively high participation.</v>
      </c>
      <c r="H208" s="291" t="s">
        <v>271</v>
      </c>
    </row>
    <row r="209" spans="1:8" s="162" customFormat="1" x14ac:dyDescent="0.25">
      <c r="A209" s="224" t="s">
        <v>13</v>
      </c>
      <c r="B209" s="311" t="s">
        <v>96</v>
      </c>
      <c r="C209" s="311" t="s">
        <v>43</v>
      </c>
      <c r="D209" s="311" t="s">
        <v>282</v>
      </c>
      <c r="E209" s="290">
        <f t="shared" si="8"/>
        <v>0.15</v>
      </c>
      <c r="F209" s="290">
        <f t="shared" si="10"/>
        <v>7.4999999999999997E-2</v>
      </c>
      <c r="G209" s="293" t="str">
        <f t="shared" si="9"/>
        <v>Lower likelihood of participation than offices.</v>
      </c>
      <c r="H209" s="291" t="s">
        <v>271</v>
      </c>
    </row>
    <row r="210" spans="1:8" s="162" customFormat="1" x14ac:dyDescent="0.25">
      <c r="A210" s="224" t="s">
        <v>13</v>
      </c>
      <c r="B210" s="311" t="s">
        <v>96</v>
      </c>
      <c r="C210" s="311" t="s">
        <v>44</v>
      </c>
      <c r="D210" s="313" t="s">
        <v>276</v>
      </c>
      <c r="E210" s="290">
        <f t="shared" si="8"/>
        <v>0.5</v>
      </c>
      <c r="F210" s="290">
        <f t="shared" si="10"/>
        <v>0.25</v>
      </c>
      <c r="G210" s="293" t="str">
        <f t="shared" si="9"/>
        <v>Assumed 50% participation from customers on Interruptible Riders.</v>
      </c>
      <c r="H210" s="291" t="s">
        <v>271</v>
      </c>
    </row>
    <row r="211" spans="1:8" s="162" customFormat="1" x14ac:dyDescent="0.25">
      <c r="A211" s="224" t="s">
        <v>13</v>
      </c>
      <c r="B211" s="311" t="s">
        <v>96</v>
      </c>
      <c r="C211" s="311" t="s">
        <v>44</v>
      </c>
      <c r="D211" s="313" t="s">
        <v>279</v>
      </c>
      <c r="E211" s="290">
        <f t="shared" si="8"/>
        <v>0.5</v>
      </c>
      <c r="F211" s="290">
        <f t="shared" si="10"/>
        <v>0.25</v>
      </c>
      <c r="G211" s="293" t="str">
        <f t="shared" si="9"/>
        <v>Assumed 50% participation from customers on Interruptible Riders.</v>
      </c>
      <c r="H211" s="291" t="s">
        <v>271</v>
      </c>
    </row>
    <row r="212" spans="1:8" s="162" customFormat="1" x14ac:dyDescent="0.25">
      <c r="A212" s="224" t="s">
        <v>13</v>
      </c>
      <c r="B212" s="311" t="s">
        <v>96</v>
      </c>
      <c r="C212" s="311" t="s">
        <v>44</v>
      </c>
      <c r="D212" s="313" t="s">
        <v>281</v>
      </c>
      <c r="E212" s="290">
        <f t="shared" si="8"/>
        <v>0.5</v>
      </c>
      <c r="F212" s="290">
        <f t="shared" si="10"/>
        <v>0.25</v>
      </c>
      <c r="G212" s="293" t="str">
        <f t="shared" si="9"/>
        <v>Assumed 50% participation from customers on Interruptible Riders.</v>
      </c>
      <c r="H212" s="291" t="s">
        <v>271</v>
      </c>
    </row>
    <row r="213" spans="1:8" s="162" customFormat="1" x14ac:dyDescent="0.25">
      <c r="A213" s="224" t="s">
        <v>13</v>
      </c>
      <c r="B213" s="311" t="s">
        <v>97</v>
      </c>
      <c r="C213" s="311" t="s">
        <v>41</v>
      </c>
      <c r="D213" s="311" t="s">
        <v>280</v>
      </c>
      <c r="E213" s="290">
        <f t="shared" si="8"/>
        <v>0.2</v>
      </c>
      <c r="F213" s="290">
        <f t="shared" si="10"/>
        <v>0.1</v>
      </c>
      <c r="G213" s="293" t="str">
        <f t="shared" si="9"/>
        <v>Large offices are suitable candidates for DR participation.</v>
      </c>
      <c r="H213" s="291" t="s">
        <v>271</v>
      </c>
    </row>
    <row r="214" spans="1:8" s="162" customFormat="1" x14ac:dyDescent="0.25">
      <c r="A214" s="224" t="s">
        <v>13</v>
      </c>
      <c r="B214" s="311" t="s">
        <v>97</v>
      </c>
      <c r="C214" s="311" t="s">
        <v>41</v>
      </c>
      <c r="D214" s="311" t="s">
        <v>282</v>
      </c>
      <c r="E214" s="290">
        <f t="shared" si="8"/>
        <v>0.15</v>
      </c>
      <c r="F214" s="290">
        <f t="shared" si="10"/>
        <v>7.4999999999999997E-2</v>
      </c>
      <c r="G214" s="293" t="str">
        <f t="shared" si="9"/>
        <v>Lower likelihood of participation than offices.</v>
      </c>
      <c r="H214" s="291" t="s">
        <v>271</v>
      </c>
    </row>
    <row r="215" spans="1:8" s="162" customFormat="1" x14ac:dyDescent="0.25">
      <c r="A215" s="224" t="s">
        <v>13</v>
      </c>
      <c r="B215" s="311" t="s">
        <v>97</v>
      </c>
      <c r="C215" s="311" t="s">
        <v>43</v>
      </c>
      <c r="D215" s="311" t="s">
        <v>276</v>
      </c>
      <c r="E215" s="290">
        <f t="shared" si="8"/>
        <v>0.25</v>
      </c>
      <c r="F215" s="290">
        <f t="shared" si="10"/>
        <v>0.125</v>
      </c>
      <c r="G215" s="293" t="str">
        <f t="shared" si="9"/>
        <v>Program information from other jurisdictions indicate that manufacturing is a significant contributor to DR.</v>
      </c>
      <c r="H215" s="291" t="s">
        <v>271</v>
      </c>
    </row>
    <row r="216" spans="1:8" s="162" customFormat="1" x14ac:dyDescent="0.25">
      <c r="A216" s="224" t="s">
        <v>13</v>
      </c>
      <c r="B216" s="311" t="s">
        <v>97</v>
      </c>
      <c r="C216" s="311" t="s">
        <v>43</v>
      </c>
      <c r="D216" s="311" t="s">
        <v>279</v>
      </c>
      <c r="E216" s="290">
        <f t="shared" si="8"/>
        <v>0.05</v>
      </c>
      <c r="F216" s="290">
        <f t="shared" si="10"/>
        <v>2.5000000000000001E-2</v>
      </c>
      <c r="G216" s="293" t="str">
        <f t="shared" si="9"/>
        <v>Assumed participation for miscellaneous facility types.</v>
      </c>
      <c r="H216" s="291" t="s">
        <v>271</v>
      </c>
    </row>
    <row r="217" spans="1:8" s="162" customFormat="1" x14ac:dyDescent="0.25">
      <c r="A217" s="224" t="s">
        <v>13</v>
      </c>
      <c r="B217" s="311" t="s">
        <v>97</v>
      </c>
      <c r="C217" s="311" t="s">
        <v>43</v>
      </c>
      <c r="D217" s="311" t="s">
        <v>280</v>
      </c>
      <c r="E217" s="290">
        <f t="shared" si="8"/>
        <v>0.2</v>
      </c>
      <c r="F217" s="290">
        <f t="shared" si="10"/>
        <v>0.1</v>
      </c>
      <c r="G217" s="293" t="str">
        <f t="shared" si="9"/>
        <v>Large offices are suitable candidates for DR participation.</v>
      </c>
      <c r="H217" s="291" t="s">
        <v>271</v>
      </c>
    </row>
    <row r="218" spans="1:8" s="162" customFormat="1" x14ac:dyDescent="0.25">
      <c r="A218" s="224" t="s">
        <v>13</v>
      </c>
      <c r="B218" s="311" t="s">
        <v>97</v>
      </c>
      <c r="C218" s="311" t="s">
        <v>43</v>
      </c>
      <c r="D218" s="311" t="s">
        <v>281</v>
      </c>
      <c r="E218" s="290">
        <f t="shared" si="8"/>
        <v>0.25</v>
      </c>
      <c r="F218" s="290">
        <f t="shared" si="10"/>
        <v>0.125</v>
      </c>
      <c r="G218" s="293" t="str">
        <f t="shared" si="9"/>
        <v>Retail facilities are good candidates for DR; therefore assumed relatively high participation.</v>
      </c>
      <c r="H218" s="291" t="s">
        <v>271</v>
      </c>
    </row>
    <row r="219" spans="1:8" s="162" customFormat="1" x14ac:dyDescent="0.25">
      <c r="A219" s="224" t="s">
        <v>13</v>
      </c>
      <c r="B219" s="311" t="s">
        <v>97</v>
      </c>
      <c r="C219" s="311" t="s">
        <v>43</v>
      </c>
      <c r="D219" s="311" t="s">
        <v>282</v>
      </c>
      <c r="E219" s="290">
        <f t="shared" si="8"/>
        <v>0.15</v>
      </c>
      <c r="F219" s="290">
        <f t="shared" si="10"/>
        <v>7.4999999999999997E-2</v>
      </c>
      <c r="G219" s="293" t="str">
        <f t="shared" si="9"/>
        <v>Lower likelihood of participation than offices.</v>
      </c>
      <c r="H219" s="291" t="s">
        <v>271</v>
      </c>
    </row>
    <row r="220" spans="1:8" s="162" customFormat="1" x14ac:dyDescent="0.25">
      <c r="A220" s="224" t="s">
        <v>13</v>
      </c>
      <c r="B220" s="311" t="s">
        <v>97</v>
      </c>
      <c r="C220" s="311" t="s">
        <v>44</v>
      </c>
      <c r="D220" s="313" t="s">
        <v>276</v>
      </c>
      <c r="E220" s="290">
        <f t="shared" si="8"/>
        <v>0.5</v>
      </c>
      <c r="F220" s="290">
        <f t="shared" si="10"/>
        <v>0.25</v>
      </c>
      <c r="G220" s="293" t="str">
        <f t="shared" si="9"/>
        <v>Assumed 50% participation from customers on Interruptible Riders.</v>
      </c>
      <c r="H220" s="291" t="s">
        <v>271</v>
      </c>
    </row>
    <row r="221" spans="1:8" s="162" customFormat="1" x14ac:dyDescent="0.25">
      <c r="A221" s="224" t="s">
        <v>13</v>
      </c>
      <c r="B221" s="311" t="s">
        <v>97</v>
      </c>
      <c r="C221" s="311" t="s">
        <v>44</v>
      </c>
      <c r="D221" s="313" t="s">
        <v>279</v>
      </c>
      <c r="E221" s="290">
        <f t="shared" si="8"/>
        <v>0.5</v>
      </c>
      <c r="F221" s="290">
        <f t="shared" si="10"/>
        <v>0.25</v>
      </c>
      <c r="G221" s="293" t="str">
        <f t="shared" si="9"/>
        <v>Assumed 50% participation from customers on Interruptible Riders.</v>
      </c>
      <c r="H221" s="291" t="s">
        <v>271</v>
      </c>
    </row>
    <row r="222" spans="1:8" s="162" customFormat="1" x14ac:dyDescent="0.25">
      <c r="A222" s="224" t="s">
        <v>13</v>
      </c>
      <c r="B222" s="311" t="s">
        <v>97</v>
      </c>
      <c r="C222" s="311" t="s">
        <v>44</v>
      </c>
      <c r="D222" s="313" t="s">
        <v>281</v>
      </c>
      <c r="E222" s="290">
        <f t="shared" si="8"/>
        <v>0.5</v>
      </c>
      <c r="F222" s="290">
        <f t="shared" si="10"/>
        <v>0.25</v>
      </c>
      <c r="G222" s="293" t="str">
        <f t="shared" si="9"/>
        <v>Assumed 50% participation from customers on Interruptible Riders.</v>
      </c>
      <c r="H222" s="291" t="s">
        <v>271</v>
      </c>
    </row>
    <row r="223" spans="1:8" s="162" customFormat="1" x14ac:dyDescent="0.25">
      <c r="A223" s="224" t="s">
        <v>13</v>
      </c>
      <c r="B223" s="311" t="s">
        <v>98</v>
      </c>
      <c r="C223" s="311" t="s">
        <v>41</v>
      </c>
      <c r="D223" s="311" t="s">
        <v>280</v>
      </c>
      <c r="E223" s="290">
        <f t="shared" si="8"/>
        <v>0.2</v>
      </c>
      <c r="F223" s="290">
        <f t="shared" si="10"/>
        <v>0.1</v>
      </c>
      <c r="G223" s="293" t="str">
        <f t="shared" si="9"/>
        <v>Large offices are suitable candidates for DR participation.</v>
      </c>
      <c r="H223" s="291" t="s">
        <v>271</v>
      </c>
    </row>
    <row r="224" spans="1:8" s="162" customFormat="1" x14ac:dyDescent="0.25">
      <c r="A224" s="224" t="s">
        <v>13</v>
      </c>
      <c r="B224" s="311" t="s">
        <v>98</v>
      </c>
      <c r="C224" s="311" t="s">
        <v>41</v>
      </c>
      <c r="D224" s="311" t="s">
        <v>282</v>
      </c>
      <c r="E224" s="290">
        <f t="shared" si="8"/>
        <v>0.15</v>
      </c>
      <c r="F224" s="290">
        <f t="shared" si="10"/>
        <v>7.4999999999999997E-2</v>
      </c>
      <c r="G224" s="293" t="str">
        <f t="shared" si="9"/>
        <v>Lower likelihood of participation than offices.</v>
      </c>
      <c r="H224" s="291" t="s">
        <v>271</v>
      </c>
    </row>
    <row r="225" spans="1:8" s="162" customFormat="1" x14ac:dyDescent="0.25">
      <c r="A225" s="224" t="s">
        <v>13</v>
      </c>
      <c r="B225" s="311" t="s">
        <v>98</v>
      </c>
      <c r="C225" s="311" t="s">
        <v>43</v>
      </c>
      <c r="D225" s="311" t="s">
        <v>276</v>
      </c>
      <c r="E225" s="290">
        <f t="shared" si="8"/>
        <v>0.25</v>
      </c>
      <c r="F225" s="290">
        <f t="shared" si="10"/>
        <v>0.125</v>
      </c>
      <c r="G225" s="293" t="str">
        <f t="shared" si="9"/>
        <v>Program information from other jurisdictions indicate that manufacturing is a significant contributor to DR.</v>
      </c>
      <c r="H225" s="291" t="s">
        <v>271</v>
      </c>
    </row>
    <row r="226" spans="1:8" s="162" customFormat="1" x14ac:dyDescent="0.25">
      <c r="A226" s="224" t="s">
        <v>13</v>
      </c>
      <c r="B226" s="311" t="s">
        <v>98</v>
      </c>
      <c r="C226" s="311" t="s">
        <v>43</v>
      </c>
      <c r="D226" s="311" t="s">
        <v>279</v>
      </c>
      <c r="E226" s="290">
        <f t="shared" si="8"/>
        <v>0.05</v>
      </c>
      <c r="F226" s="290">
        <f t="shared" si="10"/>
        <v>2.5000000000000001E-2</v>
      </c>
      <c r="G226" s="293" t="str">
        <f t="shared" si="9"/>
        <v>Assumed participation for miscellaneous facility types.</v>
      </c>
      <c r="H226" s="291" t="s">
        <v>271</v>
      </c>
    </row>
    <row r="227" spans="1:8" s="162" customFormat="1" x14ac:dyDescent="0.25">
      <c r="A227" s="224" t="s">
        <v>13</v>
      </c>
      <c r="B227" s="311" t="s">
        <v>98</v>
      </c>
      <c r="C227" s="311" t="s">
        <v>43</v>
      </c>
      <c r="D227" s="311" t="s">
        <v>280</v>
      </c>
      <c r="E227" s="290">
        <f t="shared" si="8"/>
        <v>0.2</v>
      </c>
      <c r="F227" s="290">
        <f t="shared" si="10"/>
        <v>0.1</v>
      </c>
      <c r="G227" s="293" t="str">
        <f t="shared" si="9"/>
        <v>Large offices are suitable candidates for DR participation.</v>
      </c>
      <c r="H227" s="291" t="s">
        <v>271</v>
      </c>
    </row>
    <row r="228" spans="1:8" s="162" customFormat="1" x14ac:dyDescent="0.25">
      <c r="A228" s="224" t="s">
        <v>13</v>
      </c>
      <c r="B228" s="311" t="s">
        <v>98</v>
      </c>
      <c r="C228" s="311" t="s">
        <v>43</v>
      </c>
      <c r="D228" s="311" t="s">
        <v>281</v>
      </c>
      <c r="E228" s="290">
        <f t="shared" si="8"/>
        <v>0.25</v>
      </c>
      <c r="F228" s="290">
        <f t="shared" si="10"/>
        <v>0.125</v>
      </c>
      <c r="G228" s="293" t="str">
        <f t="shared" si="9"/>
        <v>Retail facilities are good candidates for DR; therefore assumed relatively high participation.</v>
      </c>
      <c r="H228" s="291" t="s">
        <v>271</v>
      </c>
    </row>
    <row r="229" spans="1:8" s="162" customFormat="1" x14ac:dyDescent="0.25">
      <c r="A229" s="224" t="s">
        <v>13</v>
      </c>
      <c r="B229" s="311" t="s">
        <v>98</v>
      </c>
      <c r="C229" s="311" t="s">
        <v>43</v>
      </c>
      <c r="D229" s="311" t="s">
        <v>282</v>
      </c>
      <c r="E229" s="290">
        <f t="shared" si="8"/>
        <v>0.15</v>
      </c>
      <c r="F229" s="290">
        <f t="shared" si="10"/>
        <v>7.4999999999999997E-2</v>
      </c>
      <c r="G229" s="293" t="str">
        <f t="shared" si="9"/>
        <v>Lower likelihood of participation than offices.</v>
      </c>
      <c r="H229" s="291" t="s">
        <v>271</v>
      </c>
    </row>
    <row r="230" spans="1:8" s="162" customFormat="1" x14ac:dyDescent="0.25">
      <c r="A230" s="224" t="s">
        <v>13</v>
      </c>
      <c r="B230" s="311" t="s">
        <v>98</v>
      </c>
      <c r="C230" s="311" t="s">
        <v>44</v>
      </c>
      <c r="D230" s="313" t="s">
        <v>276</v>
      </c>
      <c r="E230" s="290">
        <f t="shared" si="8"/>
        <v>0.5</v>
      </c>
      <c r="F230" s="290">
        <f t="shared" si="10"/>
        <v>0.25</v>
      </c>
      <c r="G230" s="293" t="str">
        <f t="shared" si="9"/>
        <v>Assumed 50% participation from customers on Interruptible Riders.</v>
      </c>
      <c r="H230" s="291" t="s">
        <v>271</v>
      </c>
    </row>
    <row r="231" spans="1:8" s="162" customFormat="1" x14ac:dyDescent="0.25">
      <c r="A231" s="224" t="s">
        <v>13</v>
      </c>
      <c r="B231" s="311" t="s">
        <v>98</v>
      </c>
      <c r="C231" s="311" t="s">
        <v>44</v>
      </c>
      <c r="D231" s="313" t="s">
        <v>279</v>
      </c>
      <c r="E231" s="290">
        <f t="shared" si="8"/>
        <v>0.5</v>
      </c>
      <c r="F231" s="290">
        <f t="shared" si="10"/>
        <v>0.25</v>
      </c>
      <c r="G231" s="293" t="str">
        <f t="shared" si="9"/>
        <v>Assumed 50% participation from customers on Interruptible Riders.</v>
      </c>
      <c r="H231" s="291" t="s">
        <v>271</v>
      </c>
    </row>
    <row r="232" spans="1:8" s="162" customFormat="1" x14ac:dyDescent="0.25">
      <c r="A232" s="224" t="s">
        <v>13</v>
      </c>
      <c r="B232" s="311" t="s">
        <v>98</v>
      </c>
      <c r="C232" s="311" t="s">
        <v>44</v>
      </c>
      <c r="D232" s="313" t="s">
        <v>281</v>
      </c>
      <c r="E232" s="290">
        <f t="shared" si="8"/>
        <v>0.5</v>
      </c>
      <c r="F232" s="290">
        <f t="shared" si="10"/>
        <v>0.25</v>
      </c>
      <c r="G232" s="293" t="str">
        <f t="shared" si="9"/>
        <v>Assumed 50% participation from customers on Interruptible Riders.</v>
      </c>
      <c r="H232" s="291" t="s">
        <v>271</v>
      </c>
    </row>
    <row r="233" spans="1:8" s="162" customFormat="1" x14ac:dyDescent="0.25">
      <c r="A233" s="224" t="s">
        <v>13</v>
      </c>
      <c r="B233" s="311" t="s">
        <v>99</v>
      </c>
      <c r="C233" s="311" t="s">
        <v>41</v>
      </c>
      <c r="D233" s="311" t="s">
        <v>280</v>
      </c>
      <c r="E233" s="290">
        <f t="shared" si="8"/>
        <v>0.2</v>
      </c>
      <c r="F233" s="290">
        <f t="shared" si="10"/>
        <v>0.1</v>
      </c>
      <c r="G233" s="293" t="str">
        <f t="shared" si="9"/>
        <v>Large offices are suitable candidates for DR participation.</v>
      </c>
      <c r="H233" s="291" t="s">
        <v>271</v>
      </c>
    </row>
    <row r="234" spans="1:8" s="162" customFormat="1" x14ac:dyDescent="0.25">
      <c r="A234" s="224" t="s">
        <v>13</v>
      </c>
      <c r="B234" s="311" t="s">
        <v>99</v>
      </c>
      <c r="C234" s="311" t="s">
        <v>41</v>
      </c>
      <c r="D234" s="311" t="s">
        <v>282</v>
      </c>
      <c r="E234" s="290">
        <f t="shared" si="8"/>
        <v>0.15</v>
      </c>
      <c r="F234" s="290">
        <f t="shared" si="10"/>
        <v>7.4999999999999997E-2</v>
      </c>
      <c r="G234" s="293" t="str">
        <f t="shared" si="9"/>
        <v>Lower likelihood of participation than offices.</v>
      </c>
      <c r="H234" s="291" t="s">
        <v>271</v>
      </c>
    </row>
    <row r="235" spans="1:8" s="162" customFormat="1" x14ac:dyDescent="0.25">
      <c r="A235" s="224" t="s">
        <v>13</v>
      </c>
      <c r="B235" s="311" t="s">
        <v>99</v>
      </c>
      <c r="C235" s="311" t="s">
        <v>43</v>
      </c>
      <c r="D235" s="311" t="s">
        <v>276</v>
      </c>
      <c r="E235" s="290">
        <f t="shared" si="8"/>
        <v>0.25</v>
      </c>
      <c r="F235" s="290">
        <f t="shared" si="10"/>
        <v>0.125</v>
      </c>
      <c r="G235" s="293" t="str">
        <f t="shared" si="9"/>
        <v>Program information from other jurisdictions indicate that manufacturing is a significant contributor to DR.</v>
      </c>
      <c r="H235" s="291" t="s">
        <v>271</v>
      </c>
    </row>
    <row r="236" spans="1:8" s="162" customFormat="1" x14ac:dyDescent="0.25">
      <c r="A236" s="224" t="s">
        <v>13</v>
      </c>
      <c r="B236" s="311" t="s">
        <v>99</v>
      </c>
      <c r="C236" s="311" t="s">
        <v>43</v>
      </c>
      <c r="D236" s="311" t="s">
        <v>279</v>
      </c>
      <c r="E236" s="290">
        <f t="shared" si="8"/>
        <v>0.05</v>
      </c>
      <c r="F236" s="290">
        <f t="shared" si="10"/>
        <v>2.5000000000000001E-2</v>
      </c>
      <c r="G236" s="293" t="str">
        <f t="shared" si="9"/>
        <v>Assumed participation for miscellaneous facility types.</v>
      </c>
      <c r="H236" s="291" t="s">
        <v>271</v>
      </c>
    </row>
    <row r="237" spans="1:8" s="162" customFormat="1" x14ac:dyDescent="0.25">
      <c r="A237" s="224" t="s">
        <v>13</v>
      </c>
      <c r="B237" s="311" t="s">
        <v>99</v>
      </c>
      <c r="C237" s="311" t="s">
        <v>43</v>
      </c>
      <c r="D237" s="311" t="s">
        <v>280</v>
      </c>
      <c r="E237" s="290">
        <f t="shared" si="8"/>
        <v>0.2</v>
      </c>
      <c r="F237" s="290">
        <f t="shared" si="10"/>
        <v>0.1</v>
      </c>
      <c r="G237" s="293" t="str">
        <f t="shared" si="9"/>
        <v>Large offices are suitable candidates for DR participation.</v>
      </c>
      <c r="H237" s="291" t="s">
        <v>271</v>
      </c>
    </row>
    <row r="238" spans="1:8" s="162" customFormat="1" x14ac:dyDescent="0.25">
      <c r="A238" s="224" t="s">
        <v>13</v>
      </c>
      <c r="B238" s="311" t="s">
        <v>99</v>
      </c>
      <c r="C238" s="311" t="s">
        <v>43</v>
      </c>
      <c r="D238" s="311" t="s">
        <v>281</v>
      </c>
      <c r="E238" s="290">
        <f t="shared" si="8"/>
        <v>0.25</v>
      </c>
      <c r="F238" s="290">
        <f t="shared" si="10"/>
        <v>0.125</v>
      </c>
      <c r="G238" s="293" t="str">
        <f t="shared" si="9"/>
        <v>Retail facilities are good candidates for DR; therefore assumed relatively high participation.</v>
      </c>
      <c r="H238" s="291" t="s">
        <v>271</v>
      </c>
    </row>
    <row r="239" spans="1:8" s="162" customFormat="1" x14ac:dyDescent="0.25">
      <c r="A239" s="224" t="s">
        <v>13</v>
      </c>
      <c r="B239" s="311" t="s">
        <v>99</v>
      </c>
      <c r="C239" s="311" t="s">
        <v>43</v>
      </c>
      <c r="D239" s="311" t="s">
        <v>282</v>
      </c>
      <c r="E239" s="290">
        <f t="shared" si="8"/>
        <v>0.15</v>
      </c>
      <c r="F239" s="290">
        <f t="shared" si="10"/>
        <v>7.4999999999999997E-2</v>
      </c>
      <c r="G239" s="293" t="str">
        <f t="shared" si="9"/>
        <v>Lower likelihood of participation than offices.</v>
      </c>
      <c r="H239" s="291" t="s">
        <v>271</v>
      </c>
    </row>
    <row r="240" spans="1:8" s="162" customFormat="1" x14ac:dyDescent="0.25">
      <c r="A240" s="224" t="s">
        <v>13</v>
      </c>
      <c r="B240" s="311" t="s">
        <v>99</v>
      </c>
      <c r="C240" s="311" t="s">
        <v>44</v>
      </c>
      <c r="D240" s="313" t="s">
        <v>276</v>
      </c>
      <c r="E240" s="290">
        <f t="shared" si="8"/>
        <v>0.5</v>
      </c>
      <c r="F240" s="290">
        <f t="shared" si="10"/>
        <v>0.25</v>
      </c>
      <c r="G240" s="293" t="str">
        <f t="shared" si="9"/>
        <v>Assumed 50% participation from customers on Interruptible Riders.</v>
      </c>
      <c r="H240" s="291" t="s">
        <v>271</v>
      </c>
    </row>
    <row r="241" spans="1:8" s="162" customFormat="1" x14ac:dyDescent="0.25">
      <c r="A241" s="224" t="s">
        <v>13</v>
      </c>
      <c r="B241" s="311" t="s">
        <v>99</v>
      </c>
      <c r="C241" s="311" t="s">
        <v>44</v>
      </c>
      <c r="D241" s="313" t="s">
        <v>279</v>
      </c>
      <c r="E241" s="290">
        <f t="shared" si="8"/>
        <v>0.5</v>
      </c>
      <c r="F241" s="290">
        <f t="shared" si="10"/>
        <v>0.25</v>
      </c>
      <c r="G241" s="293" t="str">
        <f t="shared" si="9"/>
        <v>Assumed 50% participation from customers on Interruptible Riders.</v>
      </c>
      <c r="H241" s="291" t="s">
        <v>271</v>
      </c>
    </row>
    <row r="242" spans="1:8" s="162" customFormat="1" x14ac:dyDescent="0.25">
      <c r="A242" s="224" t="s">
        <v>13</v>
      </c>
      <c r="B242" s="311" t="s">
        <v>99</v>
      </c>
      <c r="C242" s="311" t="s">
        <v>44</v>
      </c>
      <c r="D242" s="313" t="s">
        <v>281</v>
      </c>
      <c r="E242" s="290">
        <f t="shared" si="8"/>
        <v>0.5</v>
      </c>
      <c r="F242" s="290">
        <f t="shared" si="10"/>
        <v>0.25</v>
      </c>
      <c r="G242" s="293" t="str">
        <f t="shared" si="9"/>
        <v>Assumed 50% participation from customers on Interruptible Riders.</v>
      </c>
      <c r="H242" s="291" t="s">
        <v>271</v>
      </c>
    </row>
    <row r="243" spans="1:8" s="162" customFormat="1" x14ac:dyDescent="0.25">
      <c r="A243" s="224" t="s">
        <v>13</v>
      </c>
      <c r="B243" s="310" t="s">
        <v>129</v>
      </c>
      <c r="C243" s="311" t="s">
        <v>41</v>
      </c>
      <c r="D243" s="311" t="s">
        <v>280</v>
      </c>
      <c r="E243" s="290">
        <f t="shared" si="8"/>
        <v>0.2</v>
      </c>
      <c r="F243" s="290">
        <f t="shared" si="10"/>
        <v>0.1</v>
      </c>
      <c r="G243" s="293" t="str">
        <f t="shared" si="9"/>
        <v>Large offices are suitable candidates for DR participation.</v>
      </c>
      <c r="H243" s="291" t="s">
        <v>271</v>
      </c>
    </row>
    <row r="244" spans="1:8" s="162" customFormat="1" x14ac:dyDescent="0.25">
      <c r="A244" s="224" t="s">
        <v>13</v>
      </c>
      <c r="B244" s="310" t="s">
        <v>129</v>
      </c>
      <c r="C244" s="311" t="s">
        <v>41</v>
      </c>
      <c r="D244" s="311" t="s">
        <v>282</v>
      </c>
      <c r="E244" s="290">
        <f t="shared" si="8"/>
        <v>0.15</v>
      </c>
      <c r="F244" s="290">
        <f t="shared" si="10"/>
        <v>7.4999999999999997E-2</v>
      </c>
      <c r="G244" s="293" t="str">
        <f t="shared" si="9"/>
        <v>Lower likelihood of participation than offices.</v>
      </c>
      <c r="H244" s="291" t="s">
        <v>271</v>
      </c>
    </row>
    <row r="245" spans="1:8" s="162" customFormat="1" x14ac:dyDescent="0.25">
      <c r="A245" s="224" t="s">
        <v>13</v>
      </c>
      <c r="B245" s="310" t="s">
        <v>129</v>
      </c>
      <c r="C245" s="311" t="s">
        <v>43</v>
      </c>
      <c r="D245" s="311" t="s">
        <v>276</v>
      </c>
      <c r="E245" s="290">
        <f t="shared" si="8"/>
        <v>0.25</v>
      </c>
      <c r="F245" s="290">
        <f t="shared" si="10"/>
        <v>0.125</v>
      </c>
      <c r="G245" s="293" t="str">
        <f t="shared" si="9"/>
        <v>Program information from other jurisdictions indicate that manufacturing is a significant contributor to DR.</v>
      </c>
      <c r="H245" s="291" t="s">
        <v>271</v>
      </c>
    </row>
    <row r="246" spans="1:8" s="162" customFormat="1" x14ac:dyDescent="0.25">
      <c r="A246" s="224" t="s">
        <v>13</v>
      </c>
      <c r="B246" s="310" t="s">
        <v>129</v>
      </c>
      <c r="C246" s="311" t="s">
        <v>43</v>
      </c>
      <c r="D246" s="311" t="s">
        <v>279</v>
      </c>
      <c r="E246" s="290">
        <f t="shared" si="8"/>
        <v>0.05</v>
      </c>
      <c r="F246" s="290">
        <f t="shared" si="10"/>
        <v>2.5000000000000001E-2</v>
      </c>
      <c r="G246" s="293" t="str">
        <f t="shared" si="9"/>
        <v>Assumed participation for miscellaneous facility types.</v>
      </c>
      <c r="H246" s="291" t="s">
        <v>271</v>
      </c>
    </row>
    <row r="247" spans="1:8" s="162" customFormat="1" x14ac:dyDescent="0.25">
      <c r="A247" s="224" t="s">
        <v>13</v>
      </c>
      <c r="B247" s="310" t="s">
        <v>129</v>
      </c>
      <c r="C247" s="311" t="s">
        <v>43</v>
      </c>
      <c r="D247" s="311" t="s">
        <v>280</v>
      </c>
      <c r="E247" s="290">
        <f t="shared" si="8"/>
        <v>0.2</v>
      </c>
      <c r="F247" s="290">
        <f t="shared" si="10"/>
        <v>0.1</v>
      </c>
      <c r="G247" s="293" t="str">
        <f t="shared" si="9"/>
        <v>Large offices are suitable candidates for DR participation.</v>
      </c>
      <c r="H247" s="291" t="s">
        <v>271</v>
      </c>
    </row>
    <row r="248" spans="1:8" s="162" customFormat="1" x14ac:dyDescent="0.25">
      <c r="A248" s="224" t="s">
        <v>13</v>
      </c>
      <c r="B248" s="310" t="s">
        <v>129</v>
      </c>
      <c r="C248" s="311" t="s">
        <v>43</v>
      </c>
      <c r="D248" s="311" t="s">
        <v>281</v>
      </c>
      <c r="E248" s="290">
        <f t="shared" si="8"/>
        <v>0.25</v>
      </c>
      <c r="F248" s="290">
        <f t="shared" si="10"/>
        <v>0.125</v>
      </c>
      <c r="G248" s="293" t="str">
        <f t="shared" si="9"/>
        <v>Retail facilities are good candidates for DR; therefore assumed relatively high participation.</v>
      </c>
      <c r="H248" s="291" t="s">
        <v>271</v>
      </c>
    </row>
    <row r="249" spans="1:8" s="162" customFormat="1" x14ac:dyDescent="0.25">
      <c r="A249" s="224" t="s">
        <v>13</v>
      </c>
      <c r="B249" s="310" t="s">
        <v>129</v>
      </c>
      <c r="C249" s="311" t="s">
        <v>43</v>
      </c>
      <c r="D249" s="311" t="s">
        <v>282</v>
      </c>
      <c r="E249" s="290">
        <f t="shared" si="8"/>
        <v>0.15</v>
      </c>
      <c r="F249" s="290">
        <f t="shared" si="10"/>
        <v>7.4999999999999997E-2</v>
      </c>
      <c r="G249" s="293" t="str">
        <f t="shared" si="9"/>
        <v>Lower likelihood of participation than offices.</v>
      </c>
      <c r="H249" s="291" t="s">
        <v>271</v>
      </c>
    </row>
    <row r="250" spans="1:8" s="162" customFormat="1" x14ac:dyDescent="0.25">
      <c r="A250" s="224" t="s">
        <v>13</v>
      </c>
      <c r="B250" s="310" t="s">
        <v>129</v>
      </c>
      <c r="C250" s="311" t="s">
        <v>44</v>
      </c>
      <c r="D250" s="313" t="s">
        <v>276</v>
      </c>
      <c r="E250" s="290">
        <f t="shared" si="8"/>
        <v>0.5</v>
      </c>
      <c r="F250" s="290">
        <f t="shared" si="10"/>
        <v>0.25</v>
      </c>
      <c r="G250" s="293" t="str">
        <f t="shared" si="9"/>
        <v>Assumed 50% participation from customers on Interruptible Riders.</v>
      </c>
      <c r="H250" s="291" t="s">
        <v>271</v>
      </c>
    </row>
    <row r="251" spans="1:8" s="162" customFormat="1" x14ac:dyDescent="0.25">
      <c r="A251" s="224" t="s">
        <v>13</v>
      </c>
      <c r="B251" s="310" t="s">
        <v>129</v>
      </c>
      <c r="C251" s="311" t="s">
        <v>44</v>
      </c>
      <c r="D251" s="313" t="s">
        <v>279</v>
      </c>
      <c r="E251" s="290">
        <f t="shared" si="8"/>
        <v>0.5</v>
      </c>
      <c r="F251" s="290">
        <f t="shared" si="10"/>
        <v>0.25</v>
      </c>
      <c r="G251" s="293" t="str">
        <f t="shared" si="9"/>
        <v>Assumed 50% participation from customers on Interruptible Riders.</v>
      </c>
      <c r="H251" s="291" t="s">
        <v>271</v>
      </c>
    </row>
    <row r="252" spans="1:8" s="162" customFormat="1" x14ac:dyDescent="0.25">
      <c r="A252" s="224" t="s">
        <v>13</v>
      </c>
      <c r="B252" s="310" t="s">
        <v>129</v>
      </c>
      <c r="C252" s="311" t="s">
        <v>44</v>
      </c>
      <c r="D252" s="313" t="s">
        <v>281</v>
      </c>
      <c r="E252" s="290">
        <f t="shared" si="8"/>
        <v>0.5</v>
      </c>
      <c r="F252" s="290">
        <f t="shared" si="10"/>
        <v>0.25</v>
      </c>
      <c r="G252" s="293" t="str">
        <f t="shared" si="9"/>
        <v>Assumed 50% participation from customers on Interruptible Riders.</v>
      </c>
      <c r="H252" s="291" t="s">
        <v>271</v>
      </c>
    </row>
    <row r="253" spans="1:8" s="162" customFormat="1" x14ac:dyDescent="0.25">
      <c r="A253" s="224" t="s">
        <v>13</v>
      </c>
      <c r="B253" s="310" t="s">
        <v>100</v>
      </c>
      <c r="C253" s="311" t="s">
        <v>43</v>
      </c>
      <c r="D253" s="311" t="s">
        <v>276</v>
      </c>
      <c r="E253" s="290">
        <f t="shared" si="8"/>
        <v>0.25</v>
      </c>
      <c r="F253" s="290">
        <f t="shared" si="10"/>
        <v>0.125</v>
      </c>
      <c r="G253" s="293" t="str">
        <f t="shared" si="9"/>
        <v>Program information from other jurisdictions indicate that manufacturing is a significant contributor to DR.</v>
      </c>
      <c r="H253" s="291" t="s">
        <v>271</v>
      </c>
    </row>
    <row r="254" spans="1:8" s="162" customFormat="1" x14ac:dyDescent="0.25">
      <c r="A254" s="224" t="s">
        <v>13</v>
      </c>
      <c r="B254" s="310" t="s">
        <v>100</v>
      </c>
      <c r="C254" s="311" t="s">
        <v>44</v>
      </c>
      <c r="D254" s="313" t="s">
        <v>276</v>
      </c>
      <c r="E254" s="290">
        <f t="shared" si="8"/>
        <v>0.5</v>
      </c>
      <c r="F254" s="290">
        <f t="shared" si="10"/>
        <v>0.25</v>
      </c>
      <c r="G254" s="293" t="str">
        <f t="shared" si="9"/>
        <v>Assumed 50% participation from customers on Interruptible Riders.</v>
      </c>
      <c r="H254" s="291" t="s">
        <v>271</v>
      </c>
    </row>
    <row r="255" spans="1:8" s="162" customFormat="1" ht="14.55" customHeight="1" x14ac:dyDescent="0.3">
      <c r="A255" s="224" t="s">
        <v>13</v>
      </c>
      <c r="B255" s="234" t="s">
        <v>101</v>
      </c>
      <c r="C255" s="314" t="s">
        <v>44</v>
      </c>
      <c r="D255" s="311" t="s">
        <v>276</v>
      </c>
      <c r="E255" s="302">
        <v>0</v>
      </c>
      <c r="F255" s="290">
        <v>0</v>
      </c>
      <c r="G255" s="228" t="s">
        <v>294</v>
      </c>
      <c r="H255" s="291" t="s">
        <v>271</v>
      </c>
    </row>
    <row r="256" spans="1:8" s="162" customFormat="1" ht="14.4" x14ac:dyDescent="0.3">
      <c r="A256" s="224" t="s">
        <v>13</v>
      </c>
      <c r="B256" s="234" t="s">
        <v>101</v>
      </c>
      <c r="C256" s="314" t="s">
        <v>44</v>
      </c>
      <c r="D256" s="311" t="s">
        <v>279</v>
      </c>
      <c r="E256" s="302">
        <v>0</v>
      </c>
      <c r="F256" s="290">
        <v>0</v>
      </c>
      <c r="G256" s="228" t="s">
        <v>294</v>
      </c>
      <c r="H256" s="291" t="s">
        <v>271</v>
      </c>
    </row>
    <row r="257" spans="1:8" s="162" customFormat="1" ht="14.4" x14ac:dyDescent="0.3">
      <c r="A257" s="224" t="s">
        <v>13</v>
      </c>
      <c r="B257" s="234" t="s">
        <v>101</v>
      </c>
      <c r="C257" s="314" t="s">
        <v>44</v>
      </c>
      <c r="D257" s="311" t="s">
        <v>281</v>
      </c>
      <c r="E257" s="302">
        <v>0</v>
      </c>
      <c r="F257" s="290">
        <v>0</v>
      </c>
      <c r="G257" s="228" t="s">
        <v>294</v>
      </c>
      <c r="H257" s="291" t="s">
        <v>271</v>
      </c>
    </row>
    <row r="258" spans="1:8" s="162" customFormat="1" ht="14.4" x14ac:dyDescent="0.3">
      <c r="A258" s="224" t="s">
        <v>13</v>
      </c>
      <c r="B258" s="234" t="s">
        <v>101</v>
      </c>
      <c r="C258" s="314" t="s">
        <v>41</v>
      </c>
      <c r="D258" s="311" t="s">
        <v>280</v>
      </c>
      <c r="E258" s="302">
        <v>0</v>
      </c>
      <c r="F258" s="290">
        <v>0</v>
      </c>
      <c r="G258" s="228" t="s">
        <v>294</v>
      </c>
      <c r="H258" s="291" t="s">
        <v>271</v>
      </c>
    </row>
    <row r="259" spans="1:8" s="162" customFormat="1" ht="14.4" x14ac:dyDescent="0.3">
      <c r="A259" s="224" t="s">
        <v>13</v>
      </c>
      <c r="B259" s="234" t="s">
        <v>101</v>
      </c>
      <c r="C259" s="314" t="s">
        <v>41</v>
      </c>
      <c r="D259" s="311" t="s">
        <v>282</v>
      </c>
      <c r="E259" s="302">
        <v>0</v>
      </c>
      <c r="F259" s="290">
        <v>0</v>
      </c>
      <c r="G259" s="228" t="s">
        <v>294</v>
      </c>
      <c r="H259" s="291" t="s">
        <v>271</v>
      </c>
    </row>
    <row r="260" spans="1:8" s="162" customFormat="1" ht="14.4" x14ac:dyDescent="0.3">
      <c r="A260" s="224" t="s">
        <v>13</v>
      </c>
      <c r="B260" s="234" t="s">
        <v>101</v>
      </c>
      <c r="C260" s="314" t="s">
        <v>43</v>
      </c>
      <c r="D260" s="311" t="s">
        <v>276</v>
      </c>
      <c r="E260" s="302">
        <v>0</v>
      </c>
      <c r="F260" s="290">
        <v>0</v>
      </c>
      <c r="G260" s="228" t="s">
        <v>294</v>
      </c>
      <c r="H260" s="291" t="s">
        <v>271</v>
      </c>
    </row>
    <row r="261" spans="1:8" s="162" customFormat="1" ht="14.4" x14ac:dyDescent="0.3">
      <c r="A261" s="224" t="s">
        <v>13</v>
      </c>
      <c r="B261" s="234" t="s">
        <v>101</v>
      </c>
      <c r="C261" s="314" t="s">
        <v>43</v>
      </c>
      <c r="D261" s="311" t="s">
        <v>279</v>
      </c>
      <c r="E261" s="302">
        <v>0</v>
      </c>
      <c r="F261" s="290">
        <v>0</v>
      </c>
      <c r="G261" s="228" t="s">
        <v>294</v>
      </c>
      <c r="H261" s="291" t="s">
        <v>271</v>
      </c>
    </row>
    <row r="262" spans="1:8" s="162" customFormat="1" ht="23.25" customHeight="1" x14ac:dyDescent="0.3">
      <c r="A262" s="224" t="s">
        <v>13</v>
      </c>
      <c r="B262" s="234" t="s">
        <v>101</v>
      </c>
      <c r="C262" s="314" t="s">
        <v>43</v>
      </c>
      <c r="D262" s="311" t="s">
        <v>280</v>
      </c>
      <c r="E262" s="302">
        <v>0</v>
      </c>
      <c r="F262" s="290">
        <v>0</v>
      </c>
      <c r="G262" s="228" t="s">
        <v>294</v>
      </c>
      <c r="H262" s="291" t="s">
        <v>271</v>
      </c>
    </row>
    <row r="263" spans="1:8" s="162" customFormat="1" ht="23.25" customHeight="1" x14ac:dyDescent="0.3">
      <c r="A263" s="224" t="s">
        <v>13</v>
      </c>
      <c r="B263" s="234" t="s">
        <v>101</v>
      </c>
      <c r="C263" s="314" t="s">
        <v>43</v>
      </c>
      <c r="D263" s="311" t="s">
        <v>281</v>
      </c>
      <c r="E263" s="302">
        <v>0</v>
      </c>
      <c r="F263" s="290">
        <v>0</v>
      </c>
      <c r="G263" s="228" t="s">
        <v>294</v>
      </c>
      <c r="H263" s="291" t="s">
        <v>271</v>
      </c>
    </row>
    <row r="264" spans="1:8" s="162" customFormat="1" ht="23.25" customHeight="1" x14ac:dyDescent="0.3">
      <c r="A264" s="224" t="s">
        <v>13</v>
      </c>
      <c r="B264" s="234" t="s">
        <v>101</v>
      </c>
      <c r="C264" s="314" t="s">
        <v>43</v>
      </c>
      <c r="D264" s="311" t="s">
        <v>282</v>
      </c>
      <c r="E264" s="302">
        <v>0</v>
      </c>
      <c r="F264" s="290">
        <v>0</v>
      </c>
      <c r="G264" s="228" t="s">
        <v>294</v>
      </c>
      <c r="H264" s="291" t="s">
        <v>271</v>
      </c>
    </row>
    <row r="265" spans="1:8" s="162" customFormat="1" ht="18.75" customHeight="1" x14ac:dyDescent="0.3">
      <c r="A265" s="224" t="s">
        <v>13</v>
      </c>
      <c r="B265" s="234" t="s">
        <v>101</v>
      </c>
      <c r="C265" s="314" t="s">
        <v>45</v>
      </c>
      <c r="D265" s="311" t="s">
        <v>269</v>
      </c>
      <c r="E265" s="303">
        <v>0.15</v>
      </c>
      <c r="F265" s="290">
        <v>0</v>
      </c>
      <c r="G265" s="304" t="s">
        <v>295</v>
      </c>
      <c r="H265" s="291" t="s">
        <v>271</v>
      </c>
    </row>
    <row r="266" spans="1:8" s="162" customFormat="1" ht="14.4" x14ac:dyDescent="0.3">
      <c r="A266" s="224" t="s">
        <v>13</v>
      </c>
      <c r="B266" s="234" t="s">
        <v>101</v>
      </c>
      <c r="C266" s="314" t="s">
        <v>45</v>
      </c>
      <c r="D266" s="311" t="s">
        <v>272</v>
      </c>
      <c r="E266" s="303">
        <v>0.15</v>
      </c>
      <c r="F266" s="290">
        <v>0</v>
      </c>
      <c r="G266" s="304" t="s">
        <v>295</v>
      </c>
      <c r="H266" s="291" t="s">
        <v>271</v>
      </c>
    </row>
    <row r="267" spans="1:8" s="162" customFormat="1" ht="43.5" customHeight="1" x14ac:dyDescent="0.3">
      <c r="A267" s="224" t="s">
        <v>13</v>
      </c>
      <c r="B267" s="234" t="s">
        <v>101</v>
      </c>
      <c r="C267" s="314" t="s">
        <v>40</v>
      </c>
      <c r="D267" s="311" t="s">
        <v>276</v>
      </c>
      <c r="E267" s="303">
        <v>0.15</v>
      </c>
      <c r="F267" s="290">
        <v>0</v>
      </c>
      <c r="G267" s="304" t="s">
        <v>295</v>
      </c>
      <c r="H267" s="291" t="s">
        <v>271</v>
      </c>
    </row>
    <row r="268" spans="1:8" s="162" customFormat="1" ht="14.4" x14ac:dyDescent="0.3">
      <c r="A268" s="224" t="s">
        <v>13</v>
      </c>
      <c r="B268" s="234" t="s">
        <v>101</v>
      </c>
      <c r="C268" s="314" t="s">
        <v>40</v>
      </c>
      <c r="D268" s="311" t="s">
        <v>279</v>
      </c>
      <c r="E268" s="303">
        <v>0.15</v>
      </c>
      <c r="F268" s="290">
        <v>0</v>
      </c>
      <c r="G268" s="304" t="s">
        <v>295</v>
      </c>
      <c r="H268" s="291" t="s">
        <v>271</v>
      </c>
    </row>
    <row r="269" spans="1:8" s="162" customFormat="1" ht="14.4" x14ac:dyDescent="0.3">
      <c r="A269" s="224" t="s">
        <v>13</v>
      </c>
      <c r="B269" s="234" t="s">
        <v>101</v>
      </c>
      <c r="C269" s="314" t="s">
        <v>40</v>
      </c>
      <c r="D269" s="311" t="s">
        <v>280</v>
      </c>
      <c r="E269" s="303">
        <v>0.15</v>
      </c>
      <c r="F269" s="290">
        <v>0</v>
      </c>
      <c r="G269" s="304" t="s">
        <v>295</v>
      </c>
      <c r="H269" s="291" t="s">
        <v>271</v>
      </c>
    </row>
    <row r="270" spans="1:8" s="162" customFormat="1" ht="14.4" x14ac:dyDescent="0.3">
      <c r="A270" s="224" t="s">
        <v>13</v>
      </c>
      <c r="B270" s="234" t="s">
        <v>101</v>
      </c>
      <c r="C270" s="314" t="s">
        <v>40</v>
      </c>
      <c r="D270" s="311" t="s">
        <v>281</v>
      </c>
      <c r="E270" s="303">
        <v>0.15</v>
      </c>
      <c r="F270" s="290">
        <v>0</v>
      </c>
      <c r="G270" s="304" t="s">
        <v>295</v>
      </c>
      <c r="H270" s="291" t="s">
        <v>271</v>
      </c>
    </row>
    <row r="271" spans="1:8" s="162" customFormat="1" ht="14.4" x14ac:dyDescent="0.3">
      <c r="A271" s="224" t="s">
        <v>13</v>
      </c>
      <c r="B271" s="234" t="s">
        <v>101</v>
      </c>
      <c r="C271" s="314" t="s">
        <v>40</v>
      </c>
      <c r="D271" s="311" t="s">
        <v>282</v>
      </c>
      <c r="E271" s="303">
        <v>0.15</v>
      </c>
      <c r="F271" s="290">
        <v>0</v>
      </c>
      <c r="G271" s="304" t="s">
        <v>295</v>
      </c>
      <c r="H271" s="291" t="s">
        <v>271</v>
      </c>
    </row>
    <row r="272" spans="1:8" s="162" customFormat="1" ht="14.4" x14ac:dyDescent="0.3">
      <c r="A272" s="224" t="s">
        <v>13</v>
      </c>
      <c r="B272" s="234" t="s">
        <v>101</v>
      </c>
      <c r="C272" s="314" t="s">
        <v>42</v>
      </c>
      <c r="D272" s="311" t="s">
        <v>276</v>
      </c>
      <c r="E272" s="303">
        <v>0.15</v>
      </c>
      <c r="F272" s="290">
        <v>0</v>
      </c>
      <c r="G272" s="304" t="s">
        <v>295</v>
      </c>
      <c r="H272" s="291" t="s">
        <v>271</v>
      </c>
    </row>
    <row r="273" spans="1:8" s="162" customFormat="1" ht="14.4" x14ac:dyDescent="0.3">
      <c r="A273" s="224" t="s">
        <v>13</v>
      </c>
      <c r="B273" s="234" t="s">
        <v>101</v>
      </c>
      <c r="C273" s="314" t="s">
        <v>42</v>
      </c>
      <c r="D273" s="311" t="s">
        <v>279</v>
      </c>
      <c r="E273" s="303">
        <v>0.15</v>
      </c>
      <c r="F273" s="290">
        <v>0</v>
      </c>
      <c r="G273" s="304" t="s">
        <v>295</v>
      </c>
      <c r="H273" s="291" t="s">
        <v>271</v>
      </c>
    </row>
    <row r="274" spans="1:8" s="162" customFormat="1" ht="14.4" x14ac:dyDescent="0.3">
      <c r="A274" s="224" t="s">
        <v>13</v>
      </c>
      <c r="B274" s="234" t="s">
        <v>101</v>
      </c>
      <c r="C274" s="314" t="s">
        <v>42</v>
      </c>
      <c r="D274" s="311" t="s">
        <v>280</v>
      </c>
      <c r="E274" s="303">
        <v>0.15</v>
      </c>
      <c r="F274" s="290">
        <v>0</v>
      </c>
      <c r="G274" s="304" t="s">
        <v>295</v>
      </c>
      <c r="H274" s="291" t="s">
        <v>271</v>
      </c>
    </row>
    <row r="275" spans="1:8" s="162" customFormat="1" ht="14.4" x14ac:dyDescent="0.3">
      <c r="A275" s="224" t="s">
        <v>13</v>
      </c>
      <c r="B275" s="234" t="s">
        <v>101</v>
      </c>
      <c r="C275" s="314" t="s">
        <v>42</v>
      </c>
      <c r="D275" s="311" t="s">
        <v>281</v>
      </c>
      <c r="E275" s="303">
        <v>0.15</v>
      </c>
      <c r="F275" s="290">
        <v>0</v>
      </c>
      <c r="G275" s="304" t="s">
        <v>295</v>
      </c>
      <c r="H275" s="291" t="s">
        <v>271</v>
      </c>
    </row>
    <row r="276" spans="1:8" s="162" customFormat="1" ht="14.4" x14ac:dyDescent="0.3">
      <c r="A276" s="224" t="s">
        <v>13</v>
      </c>
      <c r="B276" s="234" t="s">
        <v>101</v>
      </c>
      <c r="C276" s="314" t="s">
        <v>42</v>
      </c>
      <c r="D276" s="311" t="s">
        <v>282</v>
      </c>
      <c r="E276" s="303">
        <v>0.15</v>
      </c>
      <c r="F276" s="290">
        <v>0</v>
      </c>
      <c r="G276" s="304" t="s">
        <v>295</v>
      </c>
      <c r="H276" s="291" t="s">
        <v>271</v>
      </c>
    </row>
    <row r="277" spans="1:8" s="162" customFormat="1" ht="14.4" x14ac:dyDescent="0.3">
      <c r="A277" s="224" t="s">
        <v>13</v>
      </c>
      <c r="B277" s="234" t="s">
        <v>102</v>
      </c>
      <c r="C277" s="314" t="s">
        <v>44</v>
      </c>
      <c r="D277" s="311" t="s">
        <v>276</v>
      </c>
      <c r="E277" s="302">
        <v>0</v>
      </c>
      <c r="F277" s="290">
        <f t="shared" ref="F277:F285" si="11">$E277</f>
        <v>0</v>
      </c>
      <c r="G277" s="228" t="s">
        <v>294</v>
      </c>
      <c r="H277" s="305" t="s">
        <v>278</v>
      </c>
    </row>
    <row r="278" spans="1:8" s="162" customFormat="1" ht="14.4" x14ac:dyDescent="0.3">
      <c r="A278" s="224" t="s">
        <v>13</v>
      </c>
      <c r="B278" s="234" t="s">
        <v>102</v>
      </c>
      <c r="C278" s="314" t="s">
        <v>44</v>
      </c>
      <c r="D278" s="311" t="s">
        <v>279</v>
      </c>
      <c r="E278" s="302">
        <v>0</v>
      </c>
      <c r="F278" s="290">
        <f t="shared" si="11"/>
        <v>0</v>
      </c>
      <c r="G278" s="228" t="s">
        <v>294</v>
      </c>
      <c r="H278" s="305" t="s">
        <v>278</v>
      </c>
    </row>
    <row r="279" spans="1:8" s="162" customFormat="1" ht="14.4" x14ac:dyDescent="0.3">
      <c r="A279" s="224" t="s">
        <v>13</v>
      </c>
      <c r="B279" s="234" t="s">
        <v>102</v>
      </c>
      <c r="C279" s="314" t="s">
        <v>44</v>
      </c>
      <c r="D279" s="311" t="s">
        <v>281</v>
      </c>
      <c r="E279" s="302">
        <v>0</v>
      </c>
      <c r="F279" s="290">
        <f t="shared" si="11"/>
        <v>0</v>
      </c>
      <c r="G279" s="228" t="s">
        <v>294</v>
      </c>
      <c r="H279" s="305" t="s">
        <v>278</v>
      </c>
    </row>
    <row r="280" spans="1:8" s="162" customFormat="1" ht="14.4" x14ac:dyDescent="0.3">
      <c r="A280" s="224" t="s">
        <v>13</v>
      </c>
      <c r="B280" s="234" t="s">
        <v>102</v>
      </c>
      <c r="C280" s="314" t="s">
        <v>41</v>
      </c>
      <c r="D280" s="311" t="s">
        <v>280</v>
      </c>
      <c r="E280" s="302">
        <v>0</v>
      </c>
      <c r="F280" s="290">
        <f t="shared" si="11"/>
        <v>0</v>
      </c>
      <c r="G280" s="228" t="s">
        <v>294</v>
      </c>
      <c r="H280" s="305" t="s">
        <v>278</v>
      </c>
    </row>
    <row r="281" spans="1:8" s="162" customFormat="1" ht="14.4" x14ac:dyDescent="0.3">
      <c r="A281" s="224" t="s">
        <v>13</v>
      </c>
      <c r="B281" s="234" t="s">
        <v>102</v>
      </c>
      <c r="C281" s="314" t="s">
        <v>41</v>
      </c>
      <c r="D281" s="311" t="s">
        <v>282</v>
      </c>
      <c r="E281" s="302">
        <v>0</v>
      </c>
      <c r="F281" s="290">
        <f t="shared" si="11"/>
        <v>0</v>
      </c>
      <c r="G281" s="228" t="s">
        <v>294</v>
      </c>
      <c r="H281" s="305" t="s">
        <v>278</v>
      </c>
    </row>
    <row r="282" spans="1:8" s="162" customFormat="1" ht="14.4" x14ac:dyDescent="0.3">
      <c r="A282" s="224" t="s">
        <v>13</v>
      </c>
      <c r="B282" s="234" t="s">
        <v>102</v>
      </c>
      <c r="C282" s="314" t="s">
        <v>43</v>
      </c>
      <c r="D282" s="311" t="s">
        <v>276</v>
      </c>
      <c r="E282" s="302">
        <v>0</v>
      </c>
      <c r="F282" s="290">
        <f t="shared" si="11"/>
        <v>0</v>
      </c>
      <c r="G282" s="228" t="s">
        <v>294</v>
      </c>
      <c r="H282" s="305" t="s">
        <v>278</v>
      </c>
    </row>
    <row r="283" spans="1:8" s="162" customFormat="1" ht="14.4" x14ac:dyDescent="0.3">
      <c r="A283" s="224" t="s">
        <v>13</v>
      </c>
      <c r="B283" s="234" t="s">
        <v>102</v>
      </c>
      <c r="C283" s="314" t="s">
        <v>43</v>
      </c>
      <c r="D283" s="311" t="s">
        <v>279</v>
      </c>
      <c r="E283" s="302">
        <v>0</v>
      </c>
      <c r="F283" s="290">
        <f t="shared" si="11"/>
        <v>0</v>
      </c>
      <c r="G283" s="228" t="s">
        <v>294</v>
      </c>
      <c r="H283" s="305" t="s">
        <v>278</v>
      </c>
    </row>
    <row r="284" spans="1:8" s="162" customFormat="1" ht="14.4" x14ac:dyDescent="0.3">
      <c r="A284" s="224" t="s">
        <v>13</v>
      </c>
      <c r="B284" s="234" t="s">
        <v>102</v>
      </c>
      <c r="C284" s="314" t="s">
        <v>43</v>
      </c>
      <c r="D284" s="311" t="s">
        <v>280</v>
      </c>
      <c r="E284" s="302">
        <v>0</v>
      </c>
      <c r="F284" s="290">
        <f t="shared" si="11"/>
        <v>0</v>
      </c>
      <c r="G284" s="228" t="s">
        <v>294</v>
      </c>
      <c r="H284" s="305" t="s">
        <v>278</v>
      </c>
    </row>
    <row r="285" spans="1:8" s="162" customFormat="1" ht="14.4" x14ac:dyDescent="0.3">
      <c r="A285" s="224" t="s">
        <v>13</v>
      </c>
      <c r="B285" s="234" t="s">
        <v>102</v>
      </c>
      <c r="C285" s="314" t="s">
        <v>43</v>
      </c>
      <c r="D285" s="311" t="s">
        <v>281</v>
      </c>
      <c r="E285" s="302">
        <v>0</v>
      </c>
      <c r="F285" s="290">
        <f t="shared" si="11"/>
        <v>0</v>
      </c>
      <c r="G285" s="228" t="s">
        <v>294</v>
      </c>
      <c r="H285" s="305" t="s">
        <v>278</v>
      </c>
    </row>
    <row r="286" spans="1:8" s="162" customFormat="1" ht="14.4" x14ac:dyDescent="0.3">
      <c r="A286" s="224" t="s">
        <v>13</v>
      </c>
      <c r="B286" s="234" t="s">
        <v>102</v>
      </c>
      <c r="C286" s="314" t="s">
        <v>43</v>
      </c>
      <c r="D286" s="311" t="s">
        <v>282</v>
      </c>
      <c r="E286" s="302">
        <v>0</v>
      </c>
      <c r="F286" s="290">
        <f t="shared" ref="F286:F305" si="12">$E286</f>
        <v>0</v>
      </c>
      <c r="G286" s="228" t="s">
        <v>294</v>
      </c>
      <c r="H286" s="305" t="s">
        <v>278</v>
      </c>
    </row>
    <row r="287" spans="1:8" s="162" customFormat="1" ht="14.4" x14ac:dyDescent="0.3">
      <c r="A287" s="224" t="s">
        <v>13</v>
      </c>
      <c r="B287" s="234" t="s">
        <v>102</v>
      </c>
      <c r="C287" s="314" t="s">
        <v>45</v>
      </c>
      <c r="D287" s="311" t="s">
        <v>269</v>
      </c>
      <c r="E287" s="303">
        <v>0.15</v>
      </c>
      <c r="F287" s="290">
        <f t="shared" ref="F287:F298" si="13">E287/2</f>
        <v>7.4999999999999997E-2</v>
      </c>
      <c r="G287" s="304" t="s">
        <v>295</v>
      </c>
      <c r="H287" s="305" t="s">
        <v>278</v>
      </c>
    </row>
    <row r="288" spans="1:8" s="162" customFormat="1" ht="14.4" x14ac:dyDescent="0.3">
      <c r="A288" s="224" t="s">
        <v>13</v>
      </c>
      <c r="B288" s="234" t="s">
        <v>102</v>
      </c>
      <c r="C288" s="314" t="s">
        <v>45</v>
      </c>
      <c r="D288" s="311" t="s">
        <v>272</v>
      </c>
      <c r="E288" s="303">
        <v>0.15</v>
      </c>
      <c r="F288" s="290">
        <f t="shared" si="13"/>
        <v>7.4999999999999997E-2</v>
      </c>
      <c r="G288" s="304" t="s">
        <v>295</v>
      </c>
      <c r="H288" s="305" t="s">
        <v>278</v>
      </c>
    </row>
    <row r="289" spans="1:8" s="162" customFormat="1" ht="14.55" customHeight="1" x14ac:dyDescent="0.3">
      <c r="A289" s="224" t="s">
        <v>13</v>
      </c>
      <c r="B289" s="234" t="s">
        <v>102</v>
      </c>
      <c r="C289" s="314" t="s">
        <v>40</v>
      </c>
      <c r="D289" s="311" t="s">
        <v>276</v>
      </c>
      <c r="E289" s="303">
        <v>0.15</v>
      </c>
      <c r="F289" s="290">
        <f t="shared" si="13"/>
        <v>7.4999999999999997E-2</v>
      </c>
      <c r="G289" s="304" t="s">
        <v>295</v>
      </c>
      <c r="H289" s="305" t="s">
        <v>278</v>
      </c>
    </row>
    <row r="290" spans="1:8" s="162" customFormat="1" ht="14.4" x14ac:dyDescent="0.3">
      <c r="A290" s="224" t="s">
        <v>13</v>
      </c>
      <c r="B290" s="234" t="s">
        <v>102</v>
      </c>
      <c r="C290" s="314" t="s">
        <v>40</v>
      </c>
      <c r="D290" s="311" t="s">
        <v>279</v>
      </c>
      <c r="E290" s="303">
        <v>0.15</v>
      </c>
      <c r="F290" s="290">
        <f t="shared" si="13"/>
        <v>7.4999999999999997E-2</v>
      </c>
      <c r="G290" s="304" t="s">
        <v>295</v>
      </c>
      <c r="H290" s="305" t="s">
        <v>278</v>
      </c>
    </row>
    <row r="291" spans="1:8" s="162" customFormat="1" ht="14.4" x14ac:dyDescent="0.3">
      <c r="A291" s="224" t="s">
        <v>13</v>
      </c>
      <c r="B291" s="234" t="s">
        <v>102</v>
      </c>
      <c r="C291" s="314" t="s">
        <v>40</v>
      </c>
      <c r="D291" s="311" t="s">
        <v>280</v>
      </c>
      <c r="E291" s="303">
        <v>0.15</v>
      </c>
      <c r="F291" s="290">
        <f t="shared" si="13"/>
        <v>7.4999999999999997E-2</v>
      </c>
      <c r="G291" s="304" t="s">
        <v>295</v>
      </c>
      <c r="H291" s="305" t="s">
        <v>278</v>
      </c>
    </row>
    <row r="292" spans="1:8" s="162" customFormat="1" ht="14.4" x14ac:dyDescent="0.3">
      <c r="A292" s="224" t="s">
        <v>13</v>
      </c>
      <c r="B292" s="234" t="s">
        <v>102</v>
      </c>
      <c r="C292" s="314" t="s">
        <v>40</v>
      </c>
      <c r="D292" s="311" t="s">
        <v>281</v>
      </c>
      <c r="E292" s="303">
        <v>0.15</v>
      </c>
      <c r="F292" s="290">
        <f t="shared" si="13"/>
        <v>7.4999999999999997E-2</v>
      </c>
      <c r="G292" s="304" t="s">
        <v>295</v>
      </c>
      <c r="H292" s="305" t="s">
        <v>278</v>
      </c>
    </row>
    <row r="293" spans="1:8" s="162" customFormat="1" ht="14.4" x14ac:dyDescent="0.3">
      <c r="A293" s="224" t="s">
        <v>13</v>
      </c>
      <c r="B293" s="234" t="s">
        <v>102</v>
      </c>
      <c r="C293" s="314" t="s">
        <v>40</v>
      </c>
      <c r="D293" s="311" t="s">
        <v>282</v>
      </c>
      <c r="E293" s="303">
        <v>0.15</v>
      </c>
      <c r="F293" s="290">
        <f t="shared" si="13"/>
        <v>7.4999999999999997E-2</v>
      </c>
      <c r="G293" s="304" t="s">
        <v>295</v>
      </c>
      <c r="H293" s="305" t="s">
        <v>278</v>
      </c>
    </row>
    <row r="294" spans="1:8" s="162" customFormat="1" ht="14.4" x14ac:dyDescent="0.3">
      <c r="A294" s="224" t="s">
        <v>13</v>
      </c>
      <c r="B294" s="234" t="s">
        <v>102</v>
      </c>
      <c r="C294" s="314" t="s">
        <v>42</v>
      </c>
      <c r="D294" s="311" t="s">
        <v>276</v>
      </c>
      <c r="E294" s="303">
        <v>0.15</v>
      </c>
      <c r="F294" s="290">
        <f t="shared" si="13"/>
        <v>7.4999999999999997E-2</v>
      </c>
      <c r="G294" s="304" t="s">
        <v>295</v>
      </c>
      <c r="H294" s="305" t="s">
        <v>278</v>
      </c>
    </row>
    <row r="295" spans="1:8" s="162" customFormat="1" ht="14.4" x14ac:dyDescent="0.3">
      <c r="A295" s="224" t="s">
        <v>13</v>
      </c>
      <c r="B295" s="234" t="s">
        <v>102</v>
      </c>
      <c r="C295" s="314" t="s">
        <v>42</v>
      </c>
      <c r="D295" s="311" t="s">
        <v>279</v>
      </c>
      <c r="E295" s="303">
        <v>0.15</v>
      </c>
      <c r="F295" s="290">
        <f t="shared" si="13"/>
        <v>7.4999999999999997E-2</v>
      </c>
      <c r="G295" s="304" t="s">
        <v>295</v>
      </c>
      <c r="H295" s="305" t="s">
        <v>278</v>
      </c>
    </row>
    <row r="296" spans="1:8" s="162" customFormat="1" ht="14.4" x14ac:dyDescent="0.3">
      <c r="A296" s="224" t="s">
        <v>13</v>
      </c>
      <c r="B296" s="234" t="s">
        <v>102</v>
      </c>
      <c r="C296" s="314" t="s">
        <v>42</v>
      </c>
      <c r="D296" s="311" t="s">
        <v>280</v>
      </c>
      <c r="E296" s="303">
        <v>0.15</v>
      </c>
      <c r="F296" s="290">
        <f t="shared" si="13"/>
        <v>7.4999999999999997E-2</v>
      </c>
      <c r="G296" s="304" t="s">
        <v>295</v>
      </c>
      <c r="H296" s="305" t="s">
        <v>278</v>
      </c>
    </row>
    <row r="297" spans="1:8" s="162" customFormat="1" ht="14.4" x14ac:dyDescent="0.3">
      <c r="A297" s="224" t="s">
        <v>13</v>
      </c>
      <c r="B297" s="234" t="s">
        <v>102</v>
      </c>
      <c r="C297" s="314" t="s">
        <v>42</v>
      </c>
      <c r="D297" s="311" t="s">
        <v>281</v>
      </c>
      <c r="E297" s="303">
        <v>0.15</v>
      </c>
      <c r="F297" s="290">
        <f t="shared" si="13"/>
        <v>7.4999999999999997E-2</v>
      </c>
      <c r="G297" s="304" t="s">
        <v>295</v>
      </c>
      <c r="H297" s="305" t="s">
        <v>278</v>
      </c>
    </row>
    <row r="298" spans="1:8" s="162" customFormat="1" ht="14.4" x14ac:dyDescent="0.3">
      <c r="A298" s="224" t="s">
        <v>13</v>
      </c>
      <c r="B298" s="234" t="s">
        <v>102</v>
      </c>
      <c r="C298" s="314" t="s">
        <v>42</v>
      </c>
      <c r="D298" s="311" t="s">
        <v>282</v>
      </c>
      <c r="E298" s="303">
        <v>0.15</v>
      </c>
      <c r="F298" s="290">
        <f t="shared" si="13"/>
        <v>7.4999999999999997E-2</v>
      </c>
      <c r="G298" s="304" t="s">
        <v>295</v>
      </c>
      <c r="H298" s="305" t="s">
        <v>278</v>
      </c>
    </row>
    <row r="299" spans="1:8" s="162" customFormat="1" x14ac:dyDescent="0.25">
      <c r="A299" s="224" t="s">
        <v>13</v>
      </c>
      <c r="B299" s="311" t="s">
        <v>55</v>
      </c>
      <c r="C299" s="314" t="s">
        <v>46</v>
      </c>
      <c r="D299" s="311" t="s">
        <v>46</v>
      </c>
      <c r="E299" s="292">
        <v>0.2</v>
      </c>
      <c r="F299" s="290">
        <v>0</v>
      </c>
      <c r="G299" s="253"/>
      <c r="H299" s="291" t="s">
        <v>271</v>
      </c>
    </row>
    <row r="300" spans="1:8" s="162" customFormat="1" x14ac:dyDescent="0.25">
      <c r="A300" s="224" t="s">
        <v>13</v>
      </c>
      <c r="B300" s="310" t="s">
        <v>54</v>
      </c>
      <c r="C300" s="311" t="s">
        <v>45</v>
      </c>
      <c r="D300" s="311" t="s">
        <v>269</v>
      </c>
      <c r="E300" s="290">
        <v>0.5</v>
      </c>
      <c r="F300" s="290">
        <f t="shared" ref="F300:F301" si="14">E300/2</f>
        <v>0.25</v>
      </c>
      <c r="G300" s="294" t="s">
        <v>288</v>
      </c>
      <c r="H300" s="291" t="s">
        <v>271</v>
      </c>
    </row>
    <row r="301" spans="1:8" s="162" customFormat="1" x14ac:dyDescent="0.25">
      <c r="A301" s="224" t="s">
        <v>13</v>
      </c>
      <c r="B301" s="310" t="s">
        <v>54</v>
      </c>
      <c r="C301" s="311" t="s">
        <v>45</v>
      </c>
      <c r="D301" s="311" t="s">
        <v>272</v>
      </c>
      <c r="E301" s="290">
        <v>0.5</v>
      </c>
      <c r="F301" s="290">
        <f t="shared" si="14"/>
        <v>0.25</v>
      </c>
      <c r="G301" s="294" t="s">
        <v>288</v>
      </c>
      <c r="H301" s="291" t="s">
        <v>271</v>
      </c>
    </row>
    <row r="302" spans="1:8" s="162" customFormat="1" ht="33" customHeight="1" x14ac:dyDescent="0.25">
      <c r="A302" s="224" t="s">
        <v>13</v>
      </c>
      <c r="B302" s="313" t="s">
        <v>57</v>
      </c>
      <c r="C302" s="311" t="s">
        <v>45</v>
      </c>
      <c r="D302" s="311" t="s">
        <v>269</v>
      </c>
      <c r="E302" s="290">
        <v>0.2</v>
      </c>
      <c r="F302" s="290">
        <v>0</v>
      </c>
      <c r="G302" s="296" t="s">
        <v>548</v>
      </c>
      <c r="H302" s="305" t="s">
        <v>278</v>
      </c>
    </row>
    <row r="303" spans="1:8" s="162" customFormat="1" ht="33" customHeight="1" x14ac:dyDescent="0.25">
      <c r="A303" s="224" t="s">
        <v>13</v>
      </c>
      <c r="B303" s="313" t="s">
        <v>57</v>
      </c>
      <c r="C303" s="311" t="s">
        <v>45</v>
      </c>
      <c r="D303" s="311" t="s">
        <v>272</v>
      </c>
      <c r="E303" s="290">
        <v>0.2</v>
      </c>
      <c r="F303" s="290">
        <v>0</v>
      </c>
      <c r="G303" s="296" t="s">
        <v>548</v>
      </c>
      <c r="H303" s="305" t="s">
        <v>278</v>
      </c>
    </row>
    <row r="304" spans="1:8" s="162" customFormat="1" ht="33" customHeight="1" x14ac:dyDescent="0.3">
      <c r="A304" s="224" t="s">
        <v>13</v>
      </c>
      <c r="B304" s="234" t="s">
        <v>56</v>
      </c>
      <c r="C304" s="314" t="s">
        <v>44</v>
      </c>
      <c r="D304" s="311" t="s">
        <v>276</v>
      </c>
      <c r="E304" s="302">
        <v>0</v>
      </c>
      <c r="F304" s="290">
        <f t="shared" si="12"/>
        <v>0</v>
      </c>
      <c r="G304" s="253" t="s">
        <v>296</v>
      </c>
      <c r="H304" s="305" t="s">
        <v>278</v>
      </c>
    </row>
    <row r="305" spans="1:8" s="162" customFormat="1" ht="33" customHeight="1" x14ac:dyDescent="0.3">
      <c r="A305" s="224" t="s">
        <v>13</v>
      </c>
      <c r="B305" s="234" t="s">
        <v>56</v>
      </c>
      <c r="C305" s="314" t="s">
        <v>44</v>
      </c>
      <c r="D305" s="311" t="s">
        <v>279</v>
      </c>
      <c r="E305" s="302">
        <v>0</v>
      </c>
      <c r="F305" s="290">
        <f t="shared" si="12"/>
        <v>0</v>
      </c>
      <c r="G305" s="253" t="s">
        <v>296</v>
      </c>
      <c r="H305" s="305" t="s">
        <v>278</v>
      </c>
    </row>
    <row r="306" spans="1:8" s="162" customFormat="1" ht="14.4" x14ac:dyDescent="0.3">
      <c r="A306" s="224" t="s">
        <v>13</v>
      </c>
      <c r="B306" s="234" t="s">
        <v>56</v>
      </c>
      <c r="C306" s="314" t="s">
        <v>44</v>
      </c>
      <c r="D306" s="311" t="s">
        <v>281</v>
      </c>
      <c r="E306" s="302">
        <v>0</v>
      </c>
      <c r="F306" s="290">
        <f t="shared" ref="F306:F325" si="15">$E306</f>
        <v>0</v>
      </c>
      <c r="G306" s="253" t="s">
        <v>296</v>
      </c>
      <c r="H306" s="305" t="s">
        <v>278</v>
      </c>
    </row>
    <row r="307" spans="1:8" s="162" customFormat="1" ht="14.4" x14ac:dyDescent="0.3">
      <c r="A307" s="224" t="s">
        <v>13</v>
      </c>
      <c r="B307" s="234" t="s">
        <v>56</v>
      </c>
      <c r="C307" s="314" t="s">
        <v>41</v>
      </c>
      <c r="D307" s="311" t="s">
        <v>280</v>
      </c>
      <c r="E307" s="302">
        <v>0</v>
      </c>
      <c r="F307" s="290">
        <f t="shared" si="15"/>
        <v>0</v>
      </c>
      <c r="G307" s="253" t="s">
        <v>296</v>
      </c>
      <c r="H307" s="305" t="s">
        <v>278</v>
      </c>
    </row>
    <row r="308" spans="1:8" s="162" customFormat="1" ht="14.4" x14ac:dyDescent="0.3">
      <c r="A308" s="224" t="s">
        <v>13</v>
      </c>
      <c r="B308" s="234" t="s">
        <v>56</v>
      </c>
      <c r="C308" s="314" t="s">
        <v>41</v>
      </c>
      <c r="D308" s="311" t="s">
        <v>282</v>
      </c>
      <c r="E308" s="302">
        <v>0</v>
      </c>
      <c r="F308" s="290">
        <f t="shared" si="15"/>
        <v>0</v>
      </c>
      <c r="G308" s="253" t="s">
        <v>296</v>
      </c>
      <c r="H308" s="305" t="s">
        <v>278</v>
      </c>
    </row>
    <row r="309" spans="1:8" s="162" customFormat="1" ht="14.4" x14ac:dyDescent="0.3">
      <c r="A309" s="224" t="s">
        <v>13</v>
      </c>
      <c r="B309" s="234" t="s">
        <v>56</v>
      </c>
      <c r="C309" s="314" t="s">
        <v>43</v>
      </c>
      <c r="D309" s="311" t="s">
        <v>276</v>
      </c>
      <c r="E309" s="302">
        <v>0</v>
      </c>
      <c r="F309" s="290">
        <f t="shared" si="15"/>
        <v>0</v>
      </c>
      <c r="G309" s="253" t="s">
        <v>296</v>
      </c>
      <c r="H309" s="305" t="s">
        <v>278</v>
      </c>
    </row>
    <row r="310" spans="1:8" s="162" customFormat="1" ht="14.4" x14ac:dyDescent="0.3">
      <c r="A310" s="224" t="s">
        <v>13</v>
      </c>
      <c r="B310" s="234" t="s">
        <v>56</v>
      </c>
      <c r="C310" s="314" t="s">
        <v>43</v>
      </c>
      <c r="D310" s="311" t="s">
        <v>279</v>
      </c>
      <c r="E310" s="302">
        <v>0</v>
      </c>
      <c r="F310" s="290">
        <f t="shared" si="15"/>
        <v>0</v>
      </c>
      <c r="G310" s="253" t="s">
        <v>296</v>
      </c>
      <c r="H310" s="305" t="s">
        <v>278</v>
      </c>
    </row>
    <row r="311" spans="1:8" s="162" customFormat="1" ht="14.4" x14ac:dyDescent="0.3">
      <c r="A311" s="224" t="s">
        <v>13</v>
      </c>
      <c r="B311" s="234" t="s">
        <v>56</v>
      </c>
      <c r="C311" s="314" t="s">
        <v>43</v>
      </c>
      <c r="D311" s="311" t="s">
        <v>280</v>
      </c>
      <c r="E311" s="302">
        <v>0</v>
      </c>
      <c r="F311" s="290">
        <f t="shared" si="15"/>
        <v>0</v>
      </c>
      <c r="G311" s="253" t="s">
        <v>296</v>
      </c>
      <c r="H311" s="305" t="s">
        <v>278</v>
      </c>
    </row>
    <row r="312" spans="1:8" s="162" customFormat="1" ht="14.4" x14ac:dyDescent="0.3">
      <c r="A312" s="224" t="s">
        <v>13</v>
      </c>
      <c r="B312" s="234" t="s">
        <v>56</v>
      </c>
      <c r="C312" s="314" t="s">
        <v>43</v>
      </c>
      <c r="D312" s="311" t="s">
        <v>281</v>
      </c>
      <c r="E312" s="302">
        <v>0</v>
      </c>
      <c r="F312" s="290">
        <f t="shared" si="15"/>
        <v>0</v>
      </c>
      <c r="G312" s="253" t="s">
        <v>296</v>
      </c>
      <c r="H312" s="305" t="s">
        <v>278</v>
      </c>
    </row>
    <row r="313" spans="1:8" s="162" customFormat="1" ht="14.4" x14ac:dyDescent="0.3">
      <c r="A313" s="224" t="s">
        <v>13</v>
      </c>
      <c r="B313" s="234" t="s">
        <v>56</v>
      </c>
      <c r="C313" s="314" t="s">
        <v>43</v>
      </c>
      <c r="D313" s="311" t="s">
        <v>282</v>
      </c>
      <c r="E313" s="302">
        <v>0</v>
      </c>
      <c r="F313" s="290">
        <f t="shared" si="15"/>
        <v>0</v>
      </c>
      <c r="G313" s="253" t="s">
        <v>296</v>
      </c>
      <c r="H313" s="305" t="s">
        <v>278</v>
      </c>
    </row>
    <row r="314" spans="1:8" s="162" customFormat="1" ht="28.2" x14ac:dyDescent="0.3">
      <c r="A314" s="224" t="s">
        <v>13</v>
      </c>
      <c r="B314" s="234" t="s">
        <v>56</v>
      </c>
      <c r="C314" s="314" t="s">
        <v>45</v>
      </c>
      <c r="D314" s="311" t="s">
        <v>269</v>
      </c>
      <c r="E314" s="303">
        <v>0.17499999999999999</v>
      </c>
      <c r="F314" s="290">
        <f t="shared" si="15"/>
        <v>0.17499999999999999</v>
      </c>
      <c r="G314" s="253" t="s">
        <v>464</v>
      </c>
      <c r="H314" s="305" t="s">
        <v>278</v>
      </c>
    </row>
    <row r="315" spans="1:8" s="162" customFormat="1" ht="28.2" x14ac:dyDescent="0.3">
      <c r="A315" s="224" t="s">
        <v>13</v>
      </c>
      <c r="B315" s="234" t="s">
        <v>56</v>
      </c>
      <c r="C315" s="314" t="s">
        <v>45</v>
      </c>
      <c r="D315" s="311" t="s">
        <v>272</v>
      </c>
      <c r="E315" s="303">
        <v>0.17499999999999999</v>
      </c>
      <c r="F315" s="290">
        <f t="shared" si="15"/>
        <v>0.17499999999999999</v>
      </c>
      <c r="G315" s="253" t="s">
        <v>464</v>
      </c>
      <c r="H315" s="305" t="s">
        <v>278</v>
      </c>
    </row>
    <row r="316" spans="1:8" s="162" customFormat="1" ht="14.4" x14ac:dyDescent="0.3">
      <c r="A316" s="224" t="s">
        <v>13</v>
      </c>
      <c r="B316" s="234" t="s">
        <v>56</v>
      </c>
      <c r="C316" s="314" t="s">
        <v>40</v>
      </c>
      <c r="D316" s="311" t="s">
        <v>276</v>
      </c>
      <c r="E316" s="302">
        <v>0.15</v>
      </c>
      <c r="F316" s="290">
        <f t="shared" si="15"/>
        <v>0.15</v>
      </c>
      <c r="G316" s="253" t="s">
        <v>297</v>
      </c>
      <c r="H316" s="305" t="s">
        <v>278</v>
      </c>
    </row>
    <row r="317" spans="1:8" s="162" customFormat="1" ht="14.4" x14ac:dyDescent="0.3">
      <c r="A317" s="224" t="s">
        <v>13</v>
      </c>
      <c r="B317" s="234" t="s">
        <v>56</v>
      </c>
      <c r="C317" s="314" t="s">
        <v>40</v>
      </c>
      <c r="D317" s="311" t="s">
        <v>279</v>
      </c>
      <c r="E317" s="302">
        <v>0.15</v>
      </c>
      <c r="F317" s="290">
        <f t="shared" si="15"/>
        <v>0.15</v>
      </c>
      <c r="G317" s="253" t="s">
        <v>297</v>
      </c>
      <c r="H317" s="305" t="s">
        <v>278</v>
      </c>
    </row>
    <row r="318" spans="1:8" s="162" customFormat="1" ht="14.4" x14ac:dyDescent="0.3">
      <c r="A318" s="224" t="s">
        <v>13</v>
      </c>
      <c r="B318" s="234" t="s">
        <v>56</v>
      </c>
      <c r="C318" s="314" t="s">
        <v>40</v>
      </c>
      <c r="D318" s="311" t="s">
        <v>280</v>
      </c>
      <c r="E318" s="302">
        <v>0.15</v>
      </c>
      <c r="F318" s="290">
        <f t="shared" si="15"/>
        <v>0.15</v>
      </c>
      <c r="G318" s="253" t="s">
        <v>297</v>
      </c>
      <c r="H318" s="305" t="s">
        <v>278</v>
      </c>
    </row>
    <row r="319" spans="1:8" s="162" customFormat="1" ht="14.4" x14ac:dyDescent="0.3">
      <c r="A319" s="224" t="s">
        <v>13</v>
      </c>
      <c r="B319" s="234" t="s">
        <v>56</v>
      </c>
      <c r="C319" s="314" t="s">
        <v>40</v>
      </c>
      <c r="D319" s="311" t="s">
        <v>281</v>
      </c>
      <c r="E319" s="302">
        <v>0.15</v>
      </c>
      <c r="F319" s="290">
        <f t="shared" si="15"/>
        <v>0.15</v>
      </c>
      <c r="G319" s="253" t="s">
        <v>297</v>
      </c>
      <c r="H319" s="305" t="s">
        <v>278</v>
      </c>
    </row>
    <row r="320" spans="1:8" s="162" customFormat="1" ht="14.4" x14ac:dyDescent="0.3">
      <c r="A320" s="224" t="s">
        <v>13</v>
      </c>
      <c r="B320" s="234" t="s">
        <v>56</v>
      </c>
      <c r="C320" s="314" t="s">
        <v>40</v>
      </c>
      <c r="D320" s="311" t="s">
        <v>282</v>
      </c>
      <c r="E320" s="302">
        <v>0.15</v>
      </c>
      <c r="F320" s="290">
        <f t="shared" si="15"/>
        <v>0.15</v>
      </c>
      <c r="G320" s="253" t="s">
        <v>297</v>
      </c>
      <c r="H320" s="305" t="s">
        <v>278</v>
      </c>
    </row>
    <row r="321" spans="1:8" s="162" customFormat="1" ht="14.4" x14ac:dyDescent="0.3">
      <c r="A321" s="224" t="s">
        <v>13</v>
      </c>
      <c r="B321" s="234" t="s">
        <v>56</v>
      </c>
      <c r="C321" s="314" t="s">
        <v>42</v>
      </c>
      <c r="D321" s="311" t="s">
        <v>276</v>
      </c>
      <c r="E321" s="302">
        <v>0.15</v>
      </c>
      <c r="F321" s="290">
        <f t="shared" si="15"/>
        <v>0.15</v>
      </c>
      <c r="G321" s="253" t="s">
        <v>297</v>
      </c>
      <c r="H321" s="305" t="s">
        <v>278</v>
      </c>
    </row>
    <row r="322" spans="1:8" s="162" customFormat="1" ht="14.4" x14ac:dyDescent="0.3">
      <c r="A322" s="224" t="s">
        <v>13</v>
      </c>
      <c r="B322" s="234" t="s">
        <v>56</v>
      </c>
      <c r="C322" s="314" t="s">
        <v>42</v>
      </c>
      <c r="D322" s="311" t="s">
        <v>279</v>
      </c>
      <c r="E322" s="302">
        <v>0.15</v>
      </c>
      <c r="F322" s="290">
        <f t="shared" si="15"/>
        <v>0.15</v>
      </c>
      <c r="G322" s="253" t="s">
        <v>297</v>
      </c>
      <c r="H322" s="305" t="s">
        <v>278</v>
      </c>
    </row>
    <row r="323" spans="1:8" s="162" customFormat="1" ht="14.4" x14ac:dyDescent="0.3">
      <c r="A323" s="224" t="s">
        <v>13</v>
      </c>
      <c r="B323" s="234" t="s">
        <v>56</v>
      </c>
      <c r="C323" s="314" t="s">
        <v>42</v>
      </c>
      <c r="D323" s="311" t="s">
        <v>280</v>
      </c>
      <c r="E323" s="302">
        <v>0.15</v>
      </c>
      <c r="F323" s="290">
        <f t="shared" si="15"/>
        <v>0.15</v>
      </c>
      <c r="G323" s="253" t="s">
        <v>297</v>
      </c>
      <c r="H323" s="305" t="s">
        <v>278</v>
      </c>
    </row>
    <row r="324" spans="1:8" s="162" customFormat="1" ht="14.4" x14ac:dyDescent="0.3">
      <c r="A324" s="224" t="s">
        <v>13</v>
      </c>
      <c r="B324" s="234" t="s">
        <v>56</v>
      </c>
      <c r="C324" s="314" t="s">
        <v>42</v>
      </c>
      <c r="D324" s="311" t="s">
        <v>281</v>
      </c>
      <c r="E324" s="302">
        <v>0.15</v>
      </c>
      <c r="F324" s="290">
        <f t="shared" si="15"/>
        <v>0.15</v>
      </c>
      <c r="G324" s="253" t="s">
        <v>297</v>
      </c>
      <c r="H324" s="305" t="s">
        <v>278</v>
      </c>
    </row>
    <row r="325" spans="1:8" s="162" customFormat="1" ht="14.4" x14ac:dyDescent="0.3">
      <c r="A325" s="224" t="s">
        <v>13</v>
      </c>
      <c r="B325" s="234" t="s">
        <v>56</v>
      </c>
      <c r="C325" s="314" t="s">
        <v>42</v>
      </c>
      <c r="D325" s="311" t="s">
        <v>282</v>
      </c>
      <c r="E325" s="302">
        <v>0.15</v>
      </c>
      <c r="F325" s="290">
        <f t="shared" si="15"/>
        <v>0.15</v>
      </c>
      <c r="G325" s="253" t="s">
        <v>297</v>
      </c>
      <c r="H325" s="305" t="s">
        <v>278</v>
      </c>
    </row>
    <row r="326" spans="1:8" s="162" customFormat="1" ht="12.75" customHeight="1" x14ac:dyDescent="0.25">
      <c r="B326" s="315"/>
      <c r="C326" s="315"/>
      <c r="D326" s="315"/>
      <c r="G326" s="252"/>
    </row>
    <row r="327" spans="1:8" s="162" customFormat="1" ht="12.75" customHeight="1" x14ac:dyDescent="0.25">
      <c r="B327" s="315"/>
      <c r="C327" s="315"/>
      <c r="D327" s="315"/>
      <c r="G327" s="252"/>
    </row>
    <row r="328" spans="1:8" s="162" customFormat="1" ht="12.75" customHeight="1" x14ac:dyDescent="0.25">
      <c r="B328" s="315"/>
      <c r="C328" s="315"/>
      <c r="D328" s="315"/>
      <c r="G328" s="252"/>
    </row>
    <row r="329" spans="1:8" s="162" customFormat="1" ht="12.75" customHeight="1" x14ac:dyDescent="0.25">
      <c r="B329" s="315"/>
      <c r="C329" s="315"/>
      <c r="D329" s="315"/>
      <c r="G329" s="252"/>
    </row>
    <row r="330" spans="1:8" s="162" customFormat="1" ht="12.75" customHeight="1" x14ac:dyDescent="0.25">
      <c r="B330" s="315"/>
      <c r="C330" s="315"/>
      <c r="D330" s="315"/>
      <c r="G330" s="252"/>
    </row>
    <row r="331" spans="1:8" s="162" customFormat="1" ht="12.75" customHeight="1" x14ac:dyDescent="0.25">
      <c r="B331" s="315"/>
      <c r="C331" s="315"/>
      <c r="D331" s="315"/>
      <c r="G331" s="252"/>
    </row>
    <row r="332" spans="1:8" s="162" customFormat="1" ht="12.75" customHeight="1" x14ac:dyDescent="0.25">
      <c r="B332" s="315"/>
      <c r="C332" s="315"/>
      <c r="D332" s="315"/>
      <c r="G332" s="252"/>
    </row>
    <row r="333" spans="1:8" s="162" customFormat="1" ht="12.75" customHeight="1" x14ac:dyDescent="0.25">
      <c r="B333" s="315"/>
      <c r="C333" s="315"/>
      <c r="D333" s="315"/>
      <c r="G333" s="252"/>
    </row>
    <row r="334" spans="1:8" s="162" customFormat="1" ht="12.75" customHeight="1" x14ac:dyDescent="0.25">
      <c r="B334" s="315"/>
      <c r="C334" s="315"/>
      <c r="D334" s="315"/>
      <c r="G334" s="252"/>
    </row>
    <row r="335" spans="1:8" s="162" customFormat="1" ht="12.75" customHeight="1" x14ac:dyDescent="0.25">
      <c r="B335" s="315"/>
      <c r="C335" s="315"/>
      <c r="D335" s="315"/>
      <c r="G335" s="252"/>
    </row>
    <row r="336" spans="1:8" s="162" customFormat="1" ht="12.75" customHeight="1" x14ac:dyDescent="0.25">
      <c r="B336" s="315"/>
      <c r="C336" s="315"/>
      <c r="D336" s="315"/>
      <c r="G336" s="252"/>
    </row>
    <row r="337" spans="2:7" s="162" customFormat="1" ht="12.75" customHeight="1" x14ac:dyDescent="0.25">
      <c r="B337" s="315"/>
      <c r="C337" s="315"/>
      <c r="D337" s="315"/>
      <c r="G337" s="252"/>
    </row>
    <row r="338" spans="2:7" s="162" customFormat="1" ht="12.75" customHeight="1" x14ac:dyDescent="0.25">
      <c r="B338" s="315"/>
      <c r="C338" s="315"/>
      <c r="D338" s="315"/>
      <c r="G338" s="252"/>
    </row>
    <row r="339" spans="2:7" s="162" customFormat="1" ht="12.75" customHeight="1" x14ac:dyDescent="0.25">
      <c r="B339" s="315"/>
      <c r="C339" s="315"/>
      <c r="D339" s="315"/>
      <c r="G339" s="252"/>
    </row>
    <row r="340" spans="2:7" s="162" customFormat="1" ht="12.75" customHeight="1" x14ac:dyDescent="0.25">
      <c r="B340" s="315"/>
      <c r="C340" s="315"/>
      <c r="D340" s="315"/>
      <c r="G340" s="252"/>
    </row>
    <row r="341" spans="2:7" s="162" customFormat="1" ht="12.75" customHeight="1" x14ac:dyDescent="0.25">
      <c r="B341" s="315"/>
      <c r="C341" s="315"/>
      <c r="D341" s="315"/>
      <c r="G341" s="252"/>
    </row>
    <row r="342" spans="2:7" s="162" customFormat="1" ht="12.75" customHeight="1" x14ac:dyDescent="0.25">
      <c r="B342" s="315"/>
      <c r="C342" s="315"/>
      <c r="D342" s="315"/>
      <c r="G342" s="252"/>
    </row>
    <row r="343" spans="2:7" s="162" customFormat="1" ht="12.75" customHeight="1" x14ac:dyDescent="0.25">
      <c r="B343" s="315"/>
      <c r="C343" s="315"/>
      <c r="D343" s="315"/>
      <c r="G343" s="252"/>
    </row>
    <row r="344" spans="2:7" s="162" customFormat="1" ht="12.75" customHeight="1" x14ac:dyDescent="0.25">
      <c r="B344" s="315"/>
      <c r="C344" s="315"/>
      <c r="D344" s="315"/>
      <c r="G344" s="252"/>
    </row>
    <row r="345" spans="2:7" s="162" customFormat="1" ht="12.75" customHeight="1" x14ac:dyDescent="0.25">
      <c r="B345" s="315"/>
      <c r="C345" s="315"/>
      <c r="D345" s="315"/>
      <c r="G345" s="252"/>
    </row>
    <row r="346" spans="2:7" s="162" customFormat="1" ht="12.75" customHeight="1" x14ac:dyDescent="0.25">
      <c r="B346" s="315"/>
      <c r="C346" s="315"/>
      <c r="D346" s="315"/>
      <c r="G346" s="252"/>
    </row>
    <row r="347" spans="2:7" s="162" customFormat="1" ht="12.75" customHeight="1" x14ac:dyDescent="0.25">
      <c r="B347" s="315"/>
      <c r="C347" s="315"/>
      <c r="D347" s="315"/>
      <c r="G347" s="252"/>
    </row>
    <row r="348" spans="2:7" s="162" customFormat="1" ht="12.75" customHeight="1" x14ac:dyDescent="0.25">
      <c r="B348" s="315"/>
      <c r="C348" s="315"/>
      <c r="D348" s="315"/>
      <c r="G348" s="252"/>
    </row>
    <row r="349" spans="2:7" s="162" customFormat="1" ht="12.75" customHeight="1" x14ac:dyDescent="0.25">
      <c r="B349" s="315"/>
      <c r="C349" s="315"/>
      <c r="D349" s="315"/>
      <c r="G349" s="252"/>
    </row>
    <row r="350" spans="2:7" s="162" customFormat="1" ht="12.75" customHeight="1" x14ac:dyDescent="0.25">
      <c r="B350" s="315"/>
      <c r="C350" s="315"/>
      <c r="D350" s="315"/>
      <c r="G350" s="252"/>
    </row>
    <row r="351" spans="2:7" s="162" customFormat="1" ht="12.75" customHeight="1" x14ac:dyDescent="0.25">
      <c r="B351" s="315"/>
      <c r="C351" s="315"/>
      <c r="D351" s="315"/>
      <c r="G351" s="252"/>
    </row>
    <row r="352" spans="2:7" s="162" customFormat="1" ht="12.75" customHeight="1" x14ac:dyDescent="0.25">
      <c r="B352" s="315"/>
      <c r="C352" s="315"/>
      <c r="D352" s="315"/>
      <c r="G352" s="252"/>
    </row>
    <row r="353" spans="2:7" s="162" customFormat="1" ht="12.75" customHeight="1" x14ac:dyDescent="0.25">
      <c r="B353" s="315"/>
      <c r="C353" s="315"/>
      <c r="D353" s="315"/>
      <c r="G353" s="252"/>
    </row>
    <row r="354" spans="2:7" s="162" customFormat="1" ht="12.75" customHeight="1" x14ac:dyDescent="0.25">
      <c r="B354" s="315"/>
      <c r="C354" s="315"/>
      <c r="D354" s="315"/>
      <c r="G354" s="252"/>
    </row>
    <row r="355" spans="2:7" s="162" customFormat="1" ht="12.75" customHeight="1" x14ac:dyDescent="0.25">
      <c r="B355" s="315"/>
      <c r="C355" s="315"/>
      <c r="D355" s="315"/>
      <c r="G355" s="252"/>
    </row>
    <row r="356" spans="2:7" s="162" customFormat="1" ht="12.75" customHeight="1" x14ac:dyDescent="0.25">
      <c r="B356" s="315"/>
      <c r="C356" s="315"/>
      <c r="D356" s="315"/>
      <c r="G356" s="252"/>
    </row>
    <row r="357" spans="2:7" s="162" customFormat="1" ht="12.75" customHeight="1" x14ac:dyDescent="0.25">
      <c r="B357" s="315"/>
      <c r="C357" s="315"/>
      <c r="D357" s="315"/>
      <c r="G357" s="252"/>
    </row>
    <row r="358" spans="2:7" s="162" customFormat="1" ht="12.75" customHeight="1" x14ac:dyDescent="0.25">
      <c r="B358" s="315"/>
      <c r="C358" s="315"/>
      <c r="D358" s="315"/>
      <c r="G358" s="252"/>
    </row>
    <row r="359" spans="2:7" s="162" customFormat="1" ht="12.75" customHeight="1" x14ac:dyDescent="0.25">
      <c r="B359" s="315"/>
      <c r="C359" s="315"/>
      <c r="D359" s="315"/>
      <c r="G359" s="252"/>
    </row>
    <row r="360" spans="2:7" s="162" customFormat="1" ht="12.75" customHeight="1" x14ac:dyDescent="0.25">
      <c r="B360" s="315"/>
      <c r="C360" s="315"/>
      <c r="D360" s="315"/>
      <c r="G360" s="252"/>
    </row>
    <row r="361" spans="2:7" s="162" customFormat="1" ht="12.75" customHeight="1" x14ac:dyDescent="0.25">
      <c r="B361" s="315"/>
      <c r="C361" s="315"/>
      <c r="D361" s="315"/>
      <c r="G361" s="252"/>
    </row>
    <row r="362" spans="2:7" s="162" customFormat="1" ht="12.75" customHeight="1" x14ac:dyDescent="0.25">
      <c r="B362" s="315"/>
      <c r="C362" s="315"/>
      <c r="D362" s="315"/>
      <c r="G362" s="252"/>
    </row>
    <row r="363" spans="2:7" s="162" customFormat="1" ht="12.75" customHeight="1" x14ac:dyDescent="0.25">
      <c r="B363" s="315"/>
      <c r="C363" s="315"/>
      <c r="D363" s="315"/>
      <c r="G363" s="252"/>
    </row>
    <row r="364" spans="2:7" s="162" customFormat="1" ht="12.75" customHeight="1" x14ac:dyDescent="0.25">
      <c r="B364" s="315"/>
      <c r="C364" s="315"/>
      <c r="D364" s="315"/>
      <c r="G364" s="252"/>
    </row>
    <row r="365" spans="2:7" s="162" customFormat="1" ht="12.75" customHeight="1" x14ac:dyDescent="0.25">
      <c r="B365" s="315"/>
      <c r="C365" s="315"/>
      <c r="D365" s="315"/>
      <c r="G365" s="252"/>
    </row>
    <row r="366" spans="2:7" s="162" customFormat="1" ht="12.75" customHeight="1" x14ac:dyDescent="0.25">
      <c r="B366" s="315"/>
      <c r="C366" s="315"/>
      <c r="D366" s="315"/>
      <c r="G366" s="252"/>
    </row>
    <row r="367" spans="2:7" s="162" customFormat="1" ht="12.75" customHeight="1" x14ac:dyDescent="0.25">
      <c r="B367" s="315"/>
      <c r="C367" s="315"/>
      <c r="D367" s="315"/>
      <c r="G367" s="252"/>
    </row>
    <row r="368" spans="2:7" s="162" customFormat="1" ht="12.75" customHeight="1" x14ac:dyDescent="0.25">
      <c r="B368" s="315"/>
      <c r="C368" s="315"/>
      <c r="D368" s="315"/>
      <c r="G368" s="252"/>
    </row>
    <row r="369" spans="2:7" s="162" customFormat="1" ht="12.75" customHeight="1" x14ac:dyDescent="0.25">
      <c r="B369" s="315"/>
      <c r="C369" s="315"/>
      <c r="D369" s="315"/>
      <c r="G369" s="252"/>
    </row>
    <row r="370" spans="2:7" s="162" customFormat="1" ht="12.75" customHeight="1" x14ac:dyDescent="0.25">
      <c r="B370" s="315"/>
      <c r="C370" s="315"/>
      <c r="D370" s="315"/>
      <c r="G370" s="252"/>
    </row>
    <row r="371" spans="2:7" s="162" customFormat="1" ht="12.75" customHeight="1" x14ac:dyDescent="0.25">
      <c r="B371" s="315"/>
      <c r="C371" s="315"/>
      <c r="D371" s="315"/>
      <c r="G371" s="252"/>
    </row>
    <row r="372" spans="2:7" s="162" customFormat="1" ht="12.75" customHeight="1" x14ac:dyDescent="0.25">
      <c r="B372" s="315"/>
      <c r="C372" s="315"/>
      <c r="D372" s="315"/>
      <c r="G372" s="252"/>
    </row>
    <row r="373" spans="2:7" s="162" customFormat="1" ht="12.75" customHeight="1" x14ac:dyDescent="0.25">
      <c r="B373" s="315"/>
      <c r="C373" s="315"/>
      <c r="D373" s="315"/>
      <c r="G373" s="252"/>
    </row>
    <row r="374" spans="2:7" s="162" customFormat="1" ht="12.75" customHeight="1" x14ac:dyDescent="0.25">
      <c r="B374" s="315"/>
      <c r="C374" s="315"/>
      <c r="D374" s="315"/>
      <c r="G374" s="252"/>
    </row>
    <row r="375" spans="2:7" s="162" customFormat="1" ht="12.75" customHeight="1" x14ac:dyDescent="0.25">
      <c r="B375" s="315"/>
      <c r="C375" s="315"/>
      <c r="D375" s="315"/>
      <c r="G375" s="252"/>
    </row>
    <row r="376" spans="2:7" s="162" customFormat="1" ht="12.75" customHeight="1" x14ac:dyDescent="0.25">
      <c r="B376" s="315"/>
      <c r="C376" s="315"/>
      <c r="D376" s="315"/>
      <c r="G376" s="252"/>
    </row>
    <row r="377" spans="2:7" s="162" customFormat="1" ht="12.75" customHeight="1" x14ac:dyDescent="0.25">
      <c r="B377" s="315"/>
      <c r="C377" s="315"/>
      <c r="D377" s="315"/>
      <c r="G377" s="252"/>
    </row>
    <row r="378" spans="2:7" s="162" customFormat="1" ht="12.75" customHeight="1" x14ac:dyDescent="0.25">
      <c r="B378" s="315"/>
      <c r="C378" s="315"/>
      <c r="D378" s="315"/>
      <c r="G378" s="252"/>
    </row>
    <row r="379" spans="2:7" s="162" customFormat="1" ht="12.75" customHeight="1" x14ac:dyDescent="0.25">
      <c r="B379" s="315"/>
      <c r="C379" s="315"/>
      <c r="D379" s="315"/>
      <c r="G379" s="252"/>
    </row>
    <row r="380" spans="2:7" s="162" customFormat="1" ht="12.75" customHeight="1" x14ac:dyDescent="0.25">
      <c r="B380" s="315"/>
      <c r="C380" s="315"/>
      <c r="D380" s="315"/>
      <c r="G380" s="252"/>
    </row>
    <row r="381" spans="2:7" s="162" customFormat="1" ht="12.75" customHeight="1" x14ac:dyDescent="0.25">
      <c r="B381" s="315"/>
      <c r="C381" s="315"/>
      <c r="D381" s="315"/>
      <c r="G381" s="252"/>
    </row>
    <row r="382" spans="2:7" s="162" customFormat="1" ht="12.75" customHeight="1" x14ac:dyDescent="0.25">
      <c r="B382" s="315"/>
      <c r="C382" s="315"/>
      <c r="D382" s="315"/>
      <c r="G382" s="252"/>
    </row>
    <row r="383" spans="2:7" s="162" customFormat="1" ht="12.75" customHeight="1" x14ac:dyDescent="0.25">
      <c r="B383" s="315"/>
      <c r="C383" s="315"/>
      <c r="D383" s="315"/>
      <c r="G383" s="252"/>
    </row>
    <row r="384" spans="2:7" s="162" customFormat="1" ht="12.75" customHeight="1" x14ac:dyDescent="0.25">
      <c r="B384" s="315"/>
      <c r="C384" s="315"/>
      <c r="D384" s="315"/>
      <c r="G384" s="252"/>
    </row>
    <row r="385" spans="2:7" s="162" customFormat="1" ht="12.75" customHeight="1" x14ac:dyDescent="0.25">
      <c r="B385" s="315"/>
      <c r="C385" s="315"/>
      <c r="D385" s="315"/>
      <c r="G385" s="252"/>
    </row>
    <row r="386" spans="2:7" s="162" customFormat="1" ht="12.75" customHeight="1" x14ac:dyDescent="0.25">
      <c r="B386" s="315"/>
      <c r="C386" s="315"/>
      <c r="D386" s="315"/>
      <c r="G386" s="252"/>
    </row>
    <row r="387" spans="2:7" s="162" customFormat="1" ht="12.75" customHeight="1" x14ac:dyDescent="0.25">
      <c r="B387" s="315"/>
      <c r="C387" s="315"/>
      <c r="D387" s="315"/>
      <c r="G387" s="252"/>
    </row>
    <row r="388" spans="2:7" s="162" customFormat="1" ht="12.75" customHeight="1" x14ac:dyDescent="0.25">
      <c r="B388" s="315"/>
      <c r="C388" s="315"/>
      <c r="D388" s="315"/>
      <c r="G388" s="252"/>
    </row>
    <row r="389" spans="2:7" s="162" customFormat="1" ht="12.75" customHeight="1" x14ac:dyDescent="0.25">
      <c r="B389" s="315"/>
      <c r="C389" s="315"/>
      <c r="D389" s="315"/>
      <c r="G389" s="252"/>
    </row>
    <row r="390" spans="2:7" s="162" customFormat="1" ht="12.75" customHeight="1" x14ac:dyDescent="0.25">
      <c r="B390" s="315"/>
      <c r="C390" s="315"/>
      <c r="D390" s="315"/>
      <c r="G390" s="252"/>
    </row>
    <row r="391" spans="2:7" s="162" customFormat="1" ht="12.75" customHeight="1" x14ac:dyDescent="0.25">
      <c r="B391" s="315"/>
      <c r="C391" s="315"/>
      <c r="D391" s="315"/>
      <c r="G391" s="252"/>
    </row>
    <row r="392" spans="2:7" s="162" customFormat="1" ht="12.75" customHeight="1" x14ac:dyDescent="0.25">
      <c r="B392" s="315"/>
      <c r="C392" s="315"/>
      <c r="D392" s="315"/>
      <c r="G392" s="252"/>
    </row>
    <row r="393" spans="2:7" s="162" customFormat="1" ht="12.75" customHeight="1" x14ac:dyDescent="0.25">
      <c r="B393" s="315"/>
      <c r="C393" s="315"/>
      <c r="D393" s="315"/>
      <c r="G393" s="252"/>
    </row>
    <row r="394" spans="2:7" s="162" customFormat="1" ht="12.75" customHeight="1" x14ac:dyDescent="0.25">
      <c r="B394" s="315"/>
      <c r="C394" s="315"/>
      <c r="D394" s="315"/>
      <c r="G394" s="252"/>
    </row>
    <row r="395" spans="2:7" s="162" customFormat="1" ht="12.75" customHeight="1" x14ac:dyDescent="0.25">
      <c r="B395" s="315"/>
      <c r="C395" s="315"/>
      <c r="D395" s="315"/>
      <c r="G395" s="252"/>
    </row>
    <row r="396" spans="2:7" s="162" customFormat="1" ht="12.75" customHeight="1" x14ac:dyDescent="0.25">
      <c r="B396" s="315"/>
      <c r="C396" s="315"/>
      <c r="D396" s="315"/>
      <c r="G396" s="252"/>
    </row>
    <row r="397" spans="2:7" s="162" customFormat="1" ht="12.75" customHeight="1" x14ac:dyDescent="0.25">
      <c r="B397" s="315"/>
      <c r="C397" s="315"/>
      <c r="D397" s="315"/>
      <c r="G397" s="252"/>
    </row>
    <row r="398" spans="2:7" s="162" customFormat="1" ht="12.75" customHeight="1" x14ac:dyDescent="0.25">
      <c r="B398" s="315"/>
      <c r="C398" s="315"/>
      <c r="D398" s="315"/>
      <c r="G398" s="252"/>
    </row>
    <row r="399" spans="2:7" s="162" customFormat="1" ht="12.75" customHeight="1" x14ac:dyDescent="0.25">
      <c r="B399" s="315"/>
      <c r="C399" s="315"/>
      <c r="D399" s="315"/>
      <c r="G399" s="252"/>
    </row>
    <row r="400" spans="2:7" s="162" customFormat="1" ht="12.75" customHeight="1" x14ac:dyDescent="0.25">
      <c r="B400" s="315"/>
      <c r="C400" s="315"/>
      <c r="D400" s="315"/>
      <c r="G400" s="252"/>
    </row>
    <row r="401" spans="2:7" s="162" customFormat="1" ht="12.75" customHeight="1" x14ac:dyDescent="0.25">
      <c r="B401" s="315"/>
      <c r="C401" s="315"/>
      <c r="D401" s="315"/>
      <c r="G401" s="252"/>
    </row>
    <row r="402" spans="2:7" s="162" customFormat="1" ht="12.75" customHeight="1" x14ac:dyDescent="0.25">
      <c r="B402" s="315"/>
      <c r="C402" s="315"/>
      <c r="D402" s="315"/>
      <c r="G402" s="252"/>
    </row>
    <row r="403" spans="2:7" s="162" customFormat="1" ht="12.75" customHeight="1" x14ac:dyDescent="0.25">
      <c r="B403" s="315"/>
      <c r="C403" s="315"/>
      <c r="D403" s="315"/>
      <c r="G403" s="252"/>
    </row>
    <row r="404" spans="2:7" s="162" customFormat="1" ht="12.75" customHeight="1" x14ac:dyDescent="0.25">
      <c r="B404" s="315"/>
      <c r="C404" s="315"/>
      <c r="D404" s="315"/>
      <c r="G404" s="252"/>
    </row>
    <row r="405" spans="2:7" s="162" customFormat="1" ht="12.75" customHeight="1" x14ac:dyDescent="0.25">
      <c r="B405" s="315"/>
      <c r="C405" s="315"/>
      <c r="D405" s="315"/>
      <c r="G405" s="252"/>
    </row>
    <row r="406" spans="2:7" s="162" customFormat="1" ht="12.75" customHeight="1" x14ac:dyDescent="0.25">
      <c r="B406" s="315"/>
      <c r="C406" s="315"/>
      <c r="D406" s="315"/>
      <c r="G406" s="252"/>
    </row>
    <row r="407" spans="2:7" s="162" customFormat="1" ht="12.75" customHeight="1" x14ac:dyDescent="0.25">
      <c r="B407" s="315"/>
      <c r="C407" s="315"/>
      <c r="D407" s="315"/>
      <c r="G407" s="252"/>
    </row>
    <row r="408" spans="2:7" s="162" customFormat="1" ht="12.75" customHeight="1" x14ac:dyDescent="0.25">
      <c r="B408" s="315"/>
      <c r="C408" s="315"/>
      <c r="D408" s="315"/>
      <c r="G408" s="252"/>
    </row>
    <row r="409" spans="2:7" s="162" customFormat="1" ht="12.75" customHeight="1" x14ac:dyDescent="0.25">
      <c r="B409" s="315"/>
      <c r="C409" s="315"/>
      <c r="D409" s="315"/>
      <c r="G409" s="252"/>
    </row>
    <row r="410" spans="2:7" s="162" customFormat="1" ht="12.75" customHeight="1" x14ac:dyDescent="0.25">
      <c r="B410" s="315"/>
      <c r="C410" s="315"/>
      <c r="D410" s="315"/>
      <c r="G410" s="252"/>
    </row>
    <row r="411" spans="2:7" s="162" customFormat="1" ht="12.75" customHeight="1" x14ac:dyDescent="0.25">
      <c r="B411" s="315"/>
      <c r="C411" s="315"/>
      <c r="D411" s="315"/>
      <c r="G411" s="252"/>
    </row>
    <row r="412" spans="2:7" s="162" customFormat="1" ht="12.75" customHeight="1" x14ac:dyDescent="0.25">
      <c r="B412" s="315"/>
      <c r="C412" s="315"/>
      <c r="D412" s="315"/>
      <c r="G412" s="252"/>
    </row>
    <row r="413" spans="2:7" s="162" customFormat="1" ht="12.75" customHeight="1" x14ac:dyDescent="0.25">
      <c r="B413" s="315"/>
      <c r="C413" s="315"/>
      <c r="D413" s="315"/>
      <c r="G413" s="252"/>
    </row>
    <row r="414" spans="2:7" s="162" customFormat="1" ht="12.75" customHeight="1" x14ac:dyDescent="0.25">
      <c r="B414" s="315"/>
      <c r="C414" s="315"/>
      <c r="D414" s="315"/>
      <c r="G414" s="252"/>
    </row>
    <row r="415" spans="2:7" s="162" customFormat="1" ht="12.75" customHeight="1" x14ac:dyDescent="0.25">
      <c r="B415" s="315"/>
      <c r="C415" s="315"/>
      <c r="D415" s="315"/>
      <c r="G415" s="252"/>
    </row>
    <row r="416" spans="2:7" s="162" customFormat="1" ht="12.75" customHeight="1" x14ac:dyDescent="0.25">
      <c r="B416" s="315"/>
      <c r="C416" s="315"/>
      <c r="D416" s="315"/>
      <c r="G416" s="252"/>
    </row>
    <row r="417" spans="2:7" s="162" customFormat="1" ht="12.75" customHeight="1" x14ac:dyDescent="0.25">
      <c r="B417" s="315"/>
      <c r="C417" s="315"/>
      <c r="D417" s="315"/>
      <c r="G417" s="252"/>
    </row>
    <row r="418" spans="2:7" s="162" customFormat="1" ht="12.75" customHeight="1" x14ac:dyDescent="0.25">
      <c r="B418" s="315"/>
      <c r="C418" s="315"/>
      <c r="D418" s="315"/>
      <c r="G418" s="252"/>
    </row>
    <row r="419" spans="2:7" s="162" customFormat="1" ht="12.75" customHeight="1" x14ac:dyDescent="0.25">
      <c r="B419" s="315"/>
      <c r="C419" s="315"/>
      <c r="D419" s="315"/>
      <c r="G419" s="252"/>
    </row>
    <row r="420" spans="2:7" s="162" customFormat="1" ht="12.75" customHeight="1" x14ac:dyDescent="0.25">
      <c r="B420" s="315"/>
      <c r="C420" s="315"/>
      <c r="D420" s="315"/>
      <c r="G420" s="252"/>
    </row>
    <row r="421" spans="2:7" s="162" customFormat="1" ht="12.75" customHeight="1" x14ac:dyDescent="0.25">
      <c r="B421" s="315"/>
      <c r="C421" s="315"/>
      <c r="D421" s="315"/>
      <c r="G421" s="252"/>
    </row>
    <row r="422" spans="2:7" s="162" customFormat="1" ht="12.75" customHeight="1" x14ac:dyDescent="0.25">
      <c r="B422" s="315"/>
      <c r="C422" s="315"/>
      <c r="D422" s="315"/>
      <c r="G422" s="252"/>
    </row>
    <row r="423" spans="2:7" s="162" customFormat="1" ht="12.75" customHeight="1" x14ac:dyDescent="0.25">
      <c r="B423" s="315"/>
      <c r="C423" s="315"/>
      <c r="D423" s="315"/>
      <c r="G423" s="252"/>
    </row>
    <row r="424" spans="2:7" s="162" customFormat="1" ht="12.75" customHeight="1" x14ac:dyDescent="0.25">
      <c r="B424" s="315"/>
      <c r="C424" s="315"/>
      <c r="D424" s="315"/>
      <c r="G424" s="252"/>
    </row>
    <row r="425" spans="2:7" s="162" customFormat="1" ht="12.75" customHeight="1" x14ac:dyDescent="0.25">
      <c r="B425" s="315"/>
      <c r="C425" s="315"/>
      <c r="D425" s="315"/>
      <c r="G425" s="252"/>
    </row>
    <row r="426" spans="2:7" s="162" customFormat="1" ht="12.75" customHeight="1" x14ac:dyDescent="0.25">
      <c r="B426" s="315"/>
      <c r="C426" s="315"/>
      <c r="D426" s="315"/>
      <c r="G426" s="252"/>
    </row>
    <row r="427" spans="2:7" s="162" customFormat="1" ht="12.75" customHeight="1" x14ac:dyDescent="0.25">
      <c r="B427" s="315"/>
      <c r="C427" s="315"/>
      <c r="D427" s="315"/>
      <c r="G427" s="252"/>
    </row>
    <row r="428" spans="2:7" s="162" customFormat="1" ht="12.75" customHeight="1" x14ac:dyDescent="0.25">
      <c r="B428" s="315"/>
      <c r="C428" s="315"/>
      <c r="D428" s="315"/>
      <c r="G428" s="252"/>
    </row>
    <row r="429" spans="2:7" s="162" customFormat="1" ht="12.75" customHeight="1" x14ac:dyDescent="0.25">
      <c r="B429" s="315"/>
      <c r="C429" s="315"/>
      <c r="D429" s="315"/>
      <c r="G429" s="252"/>
    </row>
    <row r="430" spans="2:7" s="162" customFormat="1" ht="12.75" customHeight="1" x14ac:dyDescent="0.25">
      <c r="B430" s="315"/>
      <c r="C430" s="315"/>
      <c r="D430" s="315"/>
      <c r="G430" s="252"/>
    </row>
    <row r="431" spans="2:7" s="162" customFormat="1" ht="12.75" customHeight="1" x14ac:dyDescent="0.25">
      <c r="B431" s="315"/>
      <c r="C431" s="315"/>
      <c r="D431" s="315"/>
      <c r="G431" s="252"/>
    </row>
    <row r="432" spans="2:7" s="162" customFormat="1" ht="12.75" customHeight="1" x14ac:dyDescent="0.25">
      <c r="B432" s="315"/>
      <c r="C432" s="315"/>
      <c r="D432" s="315"/>
      <c r="G432" s="252"/>
    </row>
    <row r="433" spans="2:7" s="162" customFormat="1" ht="12.75" customHeight="1" x14ac:dyDescent="0.25">
      <c r="B433" s="315"/>
      <c r="C433" s="315"/>
      <c r="D433" s="315"/>
      <c r="G433" s="252"/>
    </row>
    <row r="434" spans="2:7" s="162" customFormat="1" ht="12.75" customHeight="1" x14ac:dyDescent="0.25">
      <c r="B434" s="315"/>
      <c r="C434" s="315"/>
      <c r="D434" s="315"/>
      <c r="G434" s="252"/>
    </row>
    <row r="435" spans="2:7" s="162" customFormat="1" ht="12.75" customHeight="1" x14ac:dyDescent="0.25">
      <c r="B435" s="315"/>
      <c r="C435" s="315"/>
      <c r="D435" s="315"/>
      <c r="G435" s="252"/>
    </row>
    <row r="436" spans="2:7" s="162" customFormat="1" ht="12.75" customHeight="1" x14ac:dyDescent="0.25">
      <c r="B436" s="315"/>
      <c r="C436" s="315"/>
      <c r="D436" s="315"/>
      <c r="G436" s="252"/>
    </row>
    <row r="437" spans="2:7" s="162" customFormat="1" ht="12.75" customHeight="1" x14ac:dyDescent="0.25">
      <c r="B437" s="315"/>
      <c r="C437" s="315"/>
      <c r="D437" s="315"/>
      <c r="G437" s="252"/>
    </row>
    <row r="438" spans="2:7" s="162" customFormat="1" ht="12.75" customHeight="1" x14ac:dyDescent="0.25">
      <c r="B438" s="315"/>
      <c r="C438" s="315"/>
      <c r="D438" s="315"/>
      <c r="G438" s="252"/>
    </row>
    <row r="439" spans="2:7" s="162" customFormat="1" ht="12.75" customHeight="1" x14ac:dyDescent="0.25">
      <c r="B439" s="315"/>
      <c r="C439" s="315"/>
      <c r="D439" s="315"/>
      <c r="G439" s="252"/>
    </row>
    <row r="440" spans="2:7" s="162" customFormat="1" ht="12.75" customHeight="1" x14ac:dyDescent="0.25">
      <c r="B440" s="315"/>
      <c r="C440" s="315"/>
      <c r="D440" s="315"/>
      <c r="G440" s="252"/>
    </row>
    <row r="441" spans="2:7" s="162" customFormat="1" ht="12.75" customHeight="1" x14ac:dyDescent="0.25">
      <c r="B441" s="315"/>
      <c r="C441" s="315"/>
      <c r="D441" s="315"/>
      <c r="G441" s="252"/>
    </row>
    <row r="442" spans="2:7" s="162" customFormat="1" ht="12.75" customHeight="1" x14ac:dyDescent="0.25">
      <c r="B442" s="315"/>
      <c r="C442" s="315"/>
      <c r="D442" s="315"/>
      <c r="G442" s="252"/>
    </row>
    <row r="443" spans="2:7" s="162" customFormat="1" ht="12.75" customHeight="1" x14ac:dyDescent="0.25">
      <c r="B443" s="315"/>
      <c r="C443" s="315"/>
      <c r="D443" s="315"/>
      <c r="G443" s="252"/>
    </row>
    <row r="444" spans="2:7" s="162" customFormat="1" ht="12.75" customHeight="1" x14ac:dyDescent="0.25">
      <c r="B444" s="315"/>
      <c r="C444" s="315"/>
      <c r="D444" s="315"/>
      <c r="G444" s="252"/>
    </row>
    <row r="445" spans="2:7" s="162" customFormat="1" ht="12.75" customHeight="1" x14ac:dyDescent="0.25">
      <c r="B445" s="315"/>
      <c r="C445" s="315"/>
      <c r="D445" s="315"/>
      <c r="G445" s="252"/>
    </row>
    <row r="446" spans="2:7" s="162" customFormat="1" ht="12.75" customHeight="1" x14ac:dyDescent="0.25">
      <c r="B446" s="315"/>
      <c r="C446" s="315"/>
      <c r="D446" s="315"/>
      <c r="G446" s="252"/>
    </row>
    <row r="447" spans="2:7" s="162" customFormat="1" ht="12.75" customHeight="1" x14ac:dyDescent="0.25">
      <c r="B447" s="315"/>
      <c r="C447" s="315"/>
      <c r="D447" s="315"/>
      <c r="G447" s="252"/>
    </row>
    <row r="448" spans="2:7" s="162" customFormat="1" ht="12.75" customHeight="1" x14ac:dyDescent="0.25">
      <c r="B448" s="315"/>
      <c r="C448" s="315"/>
      <c r="D448" s="315"/>
      <c r="G448" s="252"/>
    </row>
    <row r="449" spans="2:7" s="162" customFormat="1" ht="12.75" customHeight="1" x14ac:dyDescent="0.25">
      <c r="B449" s="315"/>
      <c r="C449" s="315"/>
      <c r="D449" s="315"/>
      <c r="G449" s="252"/>
    </row>
    <row r="450" spans="2:7" s="162" customFormat="1" ht="12.75" customHeight="1" x14ac:dyDescent="0.25">
      <c r="B450" s="315"/>
      <c r="C450" s="315"/>
      <c r="D450" s="315"/>
      <c r="G450" s="252"/>
    </row>
    <row r="451" spans="2:7" s="162" customFormat="1" ht="12.75" customHeight="1" x14ac:dyDescent="0.25">
      <c r="B451" s="315"/>
      <c r="C451" s="315"/>
      <c r="D451" s="315"/>
      <c r="G451" s="252"/>
    </row>
    <row r="452" spans="2:7" s="162" customFormat="1" ht="12.75" customHeight="1" x14ac:dyDescent="0.25">
      <c r="B452" s="315"/>
      <c r="C452" s="315"/>
      <c r="D452" s="315"/>
      <c r="G452" s="252"/>
    </row>
    <row r="453" spans="2:7" s="162" customFormat="1" ht="12.75" customHeight="1" x14ac:dyDescent="0.25">
      <c r="B453" s="315"/>
      <c r="C453" s="315"/>
      <c r="D453" s="315"/>
      <c r="G453" s="252"/>
    </row>
    <row r="454" spans="2:7" s="162" customFormat="1" ht="12.75" customHeight="1" x14ac:dyDescent="0.25">
      <c r="B454" s="315"/>
      <c r="C454" s="315"/>
      <c r="D454" s="315"/>
      <c r="G454" s="252"/>
    </row>
    <row r="455" spans="2:7" s="162" customFormat="1" ht="12.75" customHeight="1" x14ac:dyDescent="0.25">
      <c r="B455" s="315"/>
      <c r="C455" s="315"/>
      <c r="D455" s="315"/>
      <c r="G455" s="252"/>
    </row>
    <row r="456" spans="2:7" s="162" customFormat="1" ht="12.75" customHeight="1" x14ac:dyDescent="0.25">
      <c r="B456" s="315"/>
      <c r="C456" s="315"/>
      <c r="D456" s="315"/>
      <c r="G456" s="252"/>
    </row>
    <row r="457" spans="2:7" s="162" customFormat="1" ht="12.75" customHeight="1" x14ac:dyDescent="0.25">
      <c r="B457" s="315"/>
      <c r="C457" s="315"/>
      <c r="D457" s="315"/>
      <c r="G457" s="252"/>
    </row>
    <row r="458" spans="2:7" s="162" customFormat="1" ht="12.75" customHeight="1" x14ac:dyDescent="0.25">
      <c r="B458" s="315"/>
      <c r="C458" s="315"/>
      <c r="D458" s="315"/>
      <c r="G458" s="252"/>
    </row>
    <row r="459" spans="2:7" s="162" customFormat="1" ht="12.75" customHeight="1" x14ac:dyDescent="0.25">
      <c r="B459" s="315"/>
      <c r="C459" s="315"/>
      <c r="D459" s="315"/>
      <c r="G459" s="252"/>
    </row>
    <row r="460" spans="2:7" s="162" customFormat="1" ht="12.75" customHeight="1" x14ac:dyDescent="0.25">
      <c r="B460" s="315"/>
      <c r="C460" s="315"/>
      <c r="D460" s="315"/>
      <c r="G460" s="252"/>
    </row>
    <row r="461" spans="2:7" s="162" customFormat="1" ht="12.75" customHeight="1" x14ac:dyDescent="0.25">
      <c r="B461" s="315"/>
      <c r="C461" s="315"/>
      <c r="D461" s="315"/>
      <c r="G461" s="252"/>
    </row>
    <row r="462" spans="2:7" s="162" customFormat="1" ht="12.75" customHeight="1" x14ac:dyDescent="0.25">
      <c r="B462" s="315"/>
      <c r="C462" s="315"/>
      <c r="D462" s="315"/>
      <c r="G462" s="252"/>
    </row>
    <row r="463" spans="2:7" s="162" customFormat="1" ht="12.75" customHeight="1" x14ac:dyDescent="0.25">
      <c r="B463" s="315"/>
      <c r="C463" s="315"/>
      <c r="D463" s="315"/>
      <c r="G463" s="252"/>
    </row>
    <row r="464" spans="2:7" s="162" customFormat="1" ht="12.75" customHeight="1" x14ac:dyDescent="0.25">
      <c r="B464" s="315"/>
      <c r="C464" s="315"/>
      <c r="D464" s="315"/>
      <c r="G464" s="252"/>
    </row>
    <row r="465" spans="2:7" s="162" customFormat="1" ht="12.75" customHeight="1" x14ac:dyDescent="0.25">
      <c r="B465" s="315"/>
      <c r="C465" s="315"/>
      <c r="D465" s="315"/>
      <c r="G465" s="252"/>
    </row>
    <row r="466" spans="2:7" s="162" customFormat="1" ht="12.75" customHeight="1" x14ac:dyDescent="0.25">
      <c r="B466" s="315"/>
      <c r="C466" s="315"/>
      <c r="D466" s="315"/>
      <c r="G466" s="252"/>
    </row>
    <row r="467" spans="2:7" s="162" customFormat="1" ht="12.75" customHeight="1" x14ac:dyDescent="0.25">
      <c r="B467" s="315"/>
      <c r="C467" s="315"/>
      <c r="D467" s="315"/>
      <c r="G467" s="252"/>
    </row>
    <row r="468" spans="2:7" s="162" customFormat="1" ht="12.75" customHeight="1" x14ac:dyDescent="0.25">
      <c r="B468" s="315"/>
      <c r="C468" s="315"/>
      <c r="D468" s="315"/>
      <c r="G468" s="252"/>
    </row>
    <row r="469" spans="2:7" s="162" customFormat="1" ht="12.75" customHeight="1" x14ac:dyDescent="0.25">
      <c r="B469" s="315"/>
      <c r="C469" s="315"/>
      <c r="D469" s="315"/>
      <c r="G469" s="252"/>
    </row>
    <row r="470" spans="2:7" s="162" customFormat="1" ht="12.75" customHeight="1" x14ac:dyDescent="0.25">
      <c r="B470" s="315"/>
      <c r="C470" s="315"/>
      <c r="D470" s="315"/>
      <c r="G470" s="252"/>
    </row>
    <row r="471" spans="2:7" s="162" customFormat="1" ht="12.75" customHeight="1" x14ac:dyDescent="0.25">
      <c r="B471" s="315"/>
      <c r="C471" s="315"/>
      <c r="D471" s="315"/>
      <c r="G471" s="252"/>
    </row>
    <row r="472" spans="2:7" s="162" customFormat="1" ht="12.75" customHeight="1" x14ac:dyDescent="0.25">
      <c r="B472" s="315"/>
      <c r="C472" s="315"/>
      <c r="D472" s="315"/>
      <c r="G472" s="252"/>
    </row>
    <row r="473" spans="2:7" s="162" customFormat="1" ht="12.75" customHeight="1" x14ac:dyDescent="0.25">
      <c r="B473" s="315"/>
      <c r="C473" s="315"/>
      <c r="D473" s="315"/>
      <c r="G473" s="252"/>
    </row>
    <row r="474" spans="2:7" s="162" customFormat="1" ht="12.75" customHeight="1" x14ac:dyDescent="0.25">
      <c r="B474" s="315"/>
      <c r="C474" s="315"/>
      <c r="D474" s="315"/>
      <c r="G474" s="252"/>
    </row>
    <row r="475" spans="2:7" s="162" customFormat="1" ht="12.75" customHeight="1" x14ac:dyDescent="0.25">
      <c r="B475" s="315"/>
      <c r="C475" s="315"/>
      <c r="D475" s="315"/>
      <c r="G475" s="252"/>
    </row>
    <row r="476" spans="2:7" s="162" customFormat="1" ht="12.75" customHeight="1" x14ac:dyDescent="0.25">
      <c r="B476" s="315"/>
      <c r="C476" s="315"/>
      <c r="D476" s="315"/>
      <c r="G476" s="252"/>
    </row>
    <row r="477" spans="2:7" s="162" customFormat="1" ht="12.75" customHeight="1" x14ac:dyDescent="0.25">
      <c r="B477" s="315"/>
      <c r="C477" s="315"/>
      <c r="D477" s="315"/>
      <c r="G477" s="252"/>
    </row>
    <row r="478" spans="2:7" x14ac:dyDescent="0.25">
      <c r="E478" s="157"/>
      <c r="F478" s="157"/>
    </row>
    <row r="479" spans="2:7" x14ac:dyDescent="0.25">
      <c r="E479" s="157"/>
      <c r="F479" s="157"/>
    </row>
    <row r="480" spans="2:7" x14ac:dyDescent="0.25">
      <c r="E480" s="157"/>
      <c r="F480" s="157"/>
    </row>
    <row r="481" spans="5:6" x14ac:dyDescent="0.25">
      <c r="E481" s="157"/>
      <c r="F481" s="157"/>
    </row>
    <row r="482" spans="5:6" x14ac:dyDescent="0.25">
      <c r="E482" s="287"/>
      <c r="F482" s="287"/>
    </row>
  </sheetData>
  <autoFilter ref="A4:K325" xr:uid="{7A4D742A-95B8-4DEC-9F92-7AABB8F61A0B}"/>
  <mergeCells count="3">
    <mergeCell ref="G13:G22"/>
    <mergeCell ref="G41:G50"/>
    <mergeCell ref="G23:G32"/>
  </mergeCells>
  <dataValidations count="1">
    <dataValidation type="list" allowBlank="1" showInputMessage="1" showErrorMessage="1" sqref="D277:D292 D299 D255:D270 C253:C254 D111:D115 D304:D319 C300:C303 C191:C192 C5:C110" xr:uid="{00000000-0002-0000-1300-000000000000}">
      <formula1>CustomerClasses</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07B36E5-5634-4B5E-8A47-49F43DFC1A54}">
          <x14:formula1>
            <xm:f>EditableIndexes!$E$5:$E$33</xm:f>
          </x14:formula1>
          <xm:sqref>B5:B10 B255:B325 B13:B50 B61:B130</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5"/>
  </sheetPr>
  <dimension ref="A1:AP645"/>
  <sheetViews>
    <sheetView zoomScale="60" zoomScaleNormal="60" workbookViewId="0">
      <selection activeCell="A23" sqref="A23"/>
    </sheetView>
  </sheetViews>
  <sheetFormatPr defaultColWidth="9.09765625" defaultRowHeight="13.8" x14ac:dyDescent="0.25"/>
  <cols>
    <col min="1" max="1" width="40" customWidth="1"/>
    <col min="2" max="2" width="18.796875" customWidth="1"/>
    <col min="3" max="3" width="16.59765625" customWidth="1"/>
    <col min="4" max="4" width="25.796875" customWidth="1"/>
    <col min="5" max="21" width="8.69921875" customWidth="1"/>
    <col min="22" max="22" width="115.296875" style="31" customWidth="1"/>
    <col min="23" max="23" width="31.69921875" style="31" hidden="1" customWidth="1"/>
    <col min="24" max="24" width="50.59765625" hidden="1" customWidth="1"/>
    <col min="25" max="42" width="0" hidden="1" customWidth="1"/>
  </cols>
  <sheetData>
    <row r="1" spans="1:42" ht="83.55" customHeight="1" x14ac:dyDescent="0.25">
      <c r="H1" s="36"/>
      <c r="I1" s="45"/>
    </row>
    <row r="2" spans="1:42" ht="18" customHeight="1" x14ac:dyDescent="0.25">
      <c r="A2" s="322" t="s">
        <v>7</v>
      </c>
      <c r="B2" s="322"/>
      <c r="C2" s="258" t="s">
        <v>8</v>
      </c>
      <c r="D2" s="258"/>
      <c r="E2" s="258"/>
      <c r="F2" s="198"/>
      <c r="G2" s="198"/>
      <c r="H2" s="323"/>
      <c r="I2" s="324"/>
      <c r="J2" s="198"/>
      <c r="K2" s="198"/>
      <c r="L2" s="198"/>
      <c r="M2" s="198"/>
      <c r="N2" s="198"/>
      <c r="O2" s="198"/>
      <c r="P2" s="198"/>
      <c r="Q2" s="198"/>
      <c r="R2" s="198"/>
      <c r="S2" s="198"/>
      <c r="T2" s="198"/>
      <c r="U2" s="198"/>
      <c r="V2" s="260"/>
      <c r="W2" s="260"/>
      <c r="X2" s="198"/>
      <c r="Y2" s="157"/>
      <c r="Z2" s="157"/>
      <c r="AA2" s="157"/>
      <c r="AB2" s="157"/>
      <c r="AC2" s="157"/>
      <c r="AD2" s="157"/>
      <c r="AE2" s="157"/>
      <c r="AF2" s="157"/>
      <c r="AG2" s="157"/>
      <c r="AH2" s="157"/>
      <c r="AI2" s="157"/>
      <c r="AJ2" s="157"/>
      <c r="AK2" s="157"/>
      <c r="AL2" s="157"/>
      <c r="AM2" s="157"/>
      <c r="AN2" s="157"/>
      <c r="AO2" s="157"/>
      <c r="AP2" s="157"/>
    </row>
    <row r="3" spans="1:42" s="30" customFormat="1" ht="28.8" x14ac:dyDescent="0.3">
      <c r="A3" s="319" t="s">
        <v>298</v>
      </c>
      <c r="B3" s="319" t="s">
        <v>315</v>
      </c>
      <c r="C3" s="325" t="s">
        <v>175</v>
      </c>
      <c r="D3" s="325" t="s">
        <v>299</v>
      </c>
      <c r="E3" s="257">
        <v>2021</v>
      </c>
      <c r="F3" s="257">
        <v>2022</v>
      </c>
      <c r="G3" s="257">
        <v>2023</v>
      </c>
      <c r="H3" s="257">
        <v>2024</v>
      </c>
      <c r="I3" s="257">
        <v>2025</v>
      </c>
      <c r="J3" s="257">
        <v>2026</v>
      </c>
      <c r="K3" s="257">
        <v>2027</v>
      </c>
      <c r="L3" s="257">
        <v>2028</v>
      </c>
      <c r="M3" s="257">
        <v>2029</v>
      </c>
      <c r="N3" s="257">
        <v>2030</v>
      </c>
      <c r="O3" s="257">
        <v>2031</v>
      </c>
      <c r="P3" s="257">
        <v>2032</v>
      </c>
      <c r="Q3" s="257">
        <v>2033</v>
      </c>
      <c r="R3" s="257">
        <v>2034</v>
      </c>
      <c r="S3" s="257">
        <v>2035</v>
      </c>
      <c r="T3" s="257">
        <v>2036</v>
      </c>
      <c r="U3" s="257">
        <v>2037</v>
      </c>
      <c r="V3" s="326" t="s">
        <v>26</v>
      </c>
      <c r="W3" s="326" t="s">
        <v>182</v>
      </c>
      <c r="X3" s="257" t="s">
        <v>134</v>
      </c>
      <c r="Y3" s="317" t="s">
        <v>300</v>
      </c>
      <c r="Z3" s="317"/>
      <c r="AA3" s="317"/>
      <c r="AB3" s="317"/>
      <c r="AC3" s="317"/>
      <c r="AD3" s="317"/>
      <c r="AE3" s="317"/>
      <c r="AF3" s="317"/>
      <c r="AG3" s="317"/>
      <c r="AH3" s="317"/>
      <c r="AI3" s="317"/>
      <c r="AJ3" s="317"/>
      <c r="AK3" s="317"/>
      <c r="AL3" s="317"/>
      <c r="AM3" s="317"/>
      <c r="AN3" s="317"/>
      <c r="AO3" s="317"/>
      <c r="AP3" s="317"/>
    </row>
    <row r="4" spans="1:42" ht="14.4" x14ac:dyDescent="0.25">
      <c r="A4" s="225" t="str">
        <f>'Participation Assumptions'!B5</f>
        <v>DLC-Switch-Water Heating</v>
      </c>
      <c r="B4" s="225" t="s">
        <v>397</v>
      </c>
      <c r="C4" s="225" t="str">
        <f>'Participation Assumptions'!C5</f>
        <v>Residential</v>
      </c>
      <c r="D4" s="225" t="str">
        <f>'Participation Assumptions'!D5</f>
        <v>Residential LI</v>
      </c>
      <c r="E4" s="330">
        <f>1-E6</f>
        <v>0.97</v>
      </c>
      <c r="F4" s="330">
        <f t="shared" ref="F4:U4" si="0">1-F6</f>
        <v>0.97</v>
      </c>
      <c r="G4" s="330">
        <f t="shared" si="0"/>
        <v>0.97</v>
      </c>
      <c r="H4" s="330">
        <f t="shared" si="0"/>
        <v>0.97</v>
      </c>
      <c r="I4" s="330">
        <f t="shared" si="0"/>
        <v>0.97</v>
      </c>
      <c r="J4" s="330">
        <f t="shared" si="0"/>
        <v>0.97</v>
      </c>
      <c r="K4" s="330">
        <f t="shared" si="0"/>
        <v>0.97</v>
      </c>
      <c r="L4" s="330">
        <f t="shared" si="0"/>
        <v>0.97</v>
      </c>
      <c r="M4" s="330">
        <f t="shared" si="0"/>
        <v>0.97</v>
      </c>
      <c r="N4" s="330">
        <f t="shared" si="0"/>
        <v>0.97</v>
      </c>
      <c r="O4" s="330">
        <f t="shared" si="0"/>
        <v>0.97</v>
      </c>
      <c r="P4" s="330">
        <f t="shared" si="0"/>
        <v>0.97</v>
      </c>
      <c r="Q4" s="330">
        <f t="shared" si="0"/>
        <v>0.97</v>
      </c>
      <c r="R4" s="330">
        <f t="shared" si="0"/>
        <v>0.97</v>
      </c>
      <c r="S4" s="330">
        <f t="shared" si="0"/>
        <v>0.97</v>
      </c>
      <c r="T4" s="330">
        <f t="shared" si="0"/>
        <v>0.97</v>
      </c>
      <c r="U4" s="330">
        <f t="shared" si="0"/>
        <v>0.97</v>
      </c>
      <c r="V4" s="327" t="s">
        <v>301</v>
      </c>
      <c r="W4" s="200" t="str">
        <f>TRIM(IF(ISNUMBER(SEARCH("Interruptible", C4)), "Large", IFERROR(LEFT(C4,SEARCH(" ",C4)), C4)))</f>
        <v>Residential</v>
      </c>
      <c r="X4" s="198" t="str">
        <f t="shared" ref="X4:X67" si="1">_xlfn.CONCAT(A4,W4)</f>
        <v>DLC-Switch-Water HeatingResidential</v>
      </c>
      <c r="Y4" s="157" t="b">
        <f>ISNUMBER(MATCH(X4,'ProCESS CSE'!W:W,0))</f>
        <v>0</v>
      </c>
      <c r="Z4" s="157"/>
      <c r="AA4" s="157"/>
      <c r="AB4" s="157"/>
      <c r="AC4" s="157"/>
      <c r="AD4" s="157"/>
      <c r="AE4" s="157"/>
      <c r="AF4" s="157"/>
      <c r="AG4" s="157"/>
      <c r="AH4" s="157"/>
      <c r="AI4" s="157"/>
      <c r="AJ4" s="157"/>
      <c r="AK4" s="157"/>
      <c r="AL4" s="157"/>
      <c r="AM4" s="157"/>
      <c r="AN4" s="157"/>
      <c r="AO4" s="157"/>
      <c r="AP4" s="157"/>
    </row>
    <row r="5" spans="1:42" ht="14.4" x14ac:dyDescent="0.25">
      <c r="A5" s="225" t="str">
        <f>'Participation Assumptions'!B6</f>
        <v>DLC-Switch-Water Heating</v>
      </c>
      <c r="B5" s="225" t="s">
        <v>397</v>
      </c>
      <c r="C5" s="225" t="str">
        <f>'Participation Assumptions'!C6</f>
        <v>Residential</v>
      </c>
      <c r="D5" s="225" t="str">
        <f>'Participation Assumptions'!D6</f>
        <v>Residential Market Rate</v>
      </c>
      <c r="E5" s="330">
        <f>1-E7</f>
        <v>0.97</v>
      </c>
      <c r="F5" s="330">
        <f t="shared" ref="F5:U5" si="2">1-F7</f>
        <v>0.97</v>
      </c>
      <c r="G5" s="330">
        <f t="shared" si="2"/>
        <v>0.97</v>
      </c>
      <c r="H5" s="330">
        <f t="shared" si="2"/>
        <v>0.97</v>
      </c>
      <c r="I5" s="330">
        <f t="shared" si="2"/>
        <v>0.97</v>
      </c>
      <c r="J5" s="330">
        <f t="shared" si="2"/>
        <v>0.97</v>
      </c>
      <c r="K5" s="330">
        <f t="shared" si="2"/>
        <v>0.97</v>
      </c>
      <c r="L5" s="330">
        <f t="shared" si="2"/>
        <v>0.97</v>
      </c>
      <c r="M5" s="330">
        <f t="shared" si="2"/>
        <v>0.97</v>
      </c>
      <c r="N5" s="330">
        <f t="shared" si="2"/>
        <v>0.97</v>
      </c>
      <c r="O5" s="330">
        <f t="shared" si="2"/>
        <v>0.97</v>
      </c>
      <c r="P5" s="330">
        <f t="shared" si="2"/>
        <v>0.97</v>
      </c>
      <c r="Q5" s="330">
        <f t="shared" si="2"/>
        <v>0.97</v>
      </c>
      <c r="R5" s="330">
        <f t="shared" si="2"/>
        <v>0.97</v>
      </c>
      <c r="S5" s="330">
        <f t="shared" si="2"/>
        <v>0.97</v>
      </c>
      <c r="T5" s="330">
        <f t="shared" si="2"/>
        <v>0.97</v>
      </c>
      <c r="U5" s="330">
        <f t="shared" si="2"/>
        <v>0.97</v>
      </c>
      <c r="V5" s="327" t="s">
        <v>301</v>
      </c>
      <c r="W5" s="200" t="str">
        <f t="shared" ref="W5:W68" si="3">TRIM(IF(ISNUMBER(SEARCH("Interruptible", C5)), "Large", IFERROR(LEFT(C5,SEARCH(" ",C5)), C5)))</f>
        <v>Residential</v>
      </c>
      <c r="X5" s="198" t="str">
        <f t="shared" si="1"/>
        <v>DLC-Switch-Water HeatingResidential</v>
      </c>
      <c r="Y5" s="157" t="b">
        <f>ISNUMBER(MATCH(X5,'ProCESS CSE'!W:W,0))</f>
        <v>0</v>
      </c>
      <c r="Z5" s="157"/>
      <c r="AA5" s="157"/>
      <c r="AB5" s="157"/>
      <c r="AC5" s="157"/>
      <c r="AD5" s="157"/>
      <c r="AE5" s="157"/>
      <c r="AF5" s="157"/>
      <c r="AG5" s="157"/>
      <c r="AH5" s="157"/>
      <c r="AI5" s="157"/>
      <c r="AJ5" s="157"/>
      <c r="AK5" s="157"/>
      <c r="AL5" s="157"/>
      <c r="AM5" s="157"/>
      <c r="AN5" s="157"/>
      <c r="AO5" s="157"/>
      <c r="AP5" s="157"/>
    </row>
    <row r="6" spans="1:42" ht="14.4" x14ac:dyDescent="0.25">
      <c r="A6" s="225" t="str">
        <f>'Participation Assumptions'!B7</f>
        <v>DLC-BYOD-Water Heating</v>
      </c>
      <c r="B6" s="225" t="s">
        <v>397</v>
      </c>
      <c r="C6" s="225" t="str">
        <f>'Participation Assumptions'!C7</f>
        <v>Residential</v>
      </c>
      <c r="D6" s="225" t="str">
        <f>'Participation Assumptions'!D7</f>
        <v>Residential LI</v>
      </c>
      <c r="E6" s="330">
        <v>0.03</v>
      </c>
      <c r="F6" s="330">
        <v>0.03</v>
      </c>
      <c r="G6" s="330">
        <v>0.03</v>
      </c>
      <c r="H6" s="330">
        <v>0.03</v>
      </c>
      <c r="I6" s="330">
        <v>0.03</v>
      </c>
      <c r="J6" s="330">
        <v>0.03</v>
      </c>
      <c r="K6" s="330">
        <v>0.03</v>
      </c>
      <c r="L6" s="330">
        <v>0.03</v>
      </c>
      <c r="M6" s="330">
        <v>0.03</v>
      </c>
      <c r="N6" s="330">
        <v>0.03</v>
      </c>
      <c r="O6" s="330">
        <v>0.03</v>
      </c>
      <c r="P6" s="330">
        <v>0.03</v>
      </c>
      <c r="Q6" s="330">
        <v>0.03</v>
      </c>
      <c r="R6" s="330">
        <v>0.03</v>
      </c>
      <c r="S6" s="330">
        <v>0.03</v>
      </c>
      <c r="T6" s="330">
        <v>0.03</v>
      </c>
      <c r="U6" s="330">
        <v>0.03</v>
      </c>
      <c r="V6" s="327" t="s">
        <v>302</v>
      </c>
      <c r="W6" s="200" t="str">
        <f t="shared" si="3"/>
        <v>Residential</v>
      </c>
      <c r="X6" s="198" t="str">
        <f t="shared" si="1"/>
        <v>DLC-BYOD-Water HeatingResidential</v>
      </c>
      <c r="Y6" s="157" t="b">
        <f>ISNUMBER(MATCH(X6,'ProCESS CSE'!W:W,0))</f>
        <v>0</v>
      </c>
      <c r="Z6" s="157"/>
      <c r="AA6" s="157"/>
      <c r="AB6" s="157"/>
      <c r="AC6" s="157"/>
      <c r="AD6" s="157"/>
      <c r="AE6" s="157"/>
      <c r="AF6" s="157"/>
      <c r="AG6" s="157"/>
      <c r="AH6" s="157"/>
      <c r="AI6" s="157"/>
      <c r="AJ6" s="157"/>
      <c r="AK6" s="157"/>
      <c r="AL6" s="157"/>
      <c r="AM6" s="157"/>
      <c r="AN6" s="157"/>
      <c r="AO6" s="157"/>
      <c r="AP6" s="157"/>
    </row>
    <row r="7" spans="1:42" ht="14.4" x14ac:dyDescent="0.25">
      <c r="A7" s="225" t="str">
        <f>'Participation Assumptions'!B8</f>
        <v>DLC-BYOD-Water Heating</v>
      </c>
      <c r="B7" s="225" t="s">
        <v>397</v>
      </c>
      <c r="C7" s="225" t="str">
        <f>'Participation Assumptions'!C8</f>
        <v>Residential</v>
      </c>
      <c r="D7" s="225" t="str">
        <f>'Participation Assumptions'!D8</f>
        <v>Residential Market Rate</v>
      </c>
      <c r="E7" s="330">
        <v>0.03</v>
      </c>
      <c r="F7" s="330">
        <v>0.03</v>
      </c>
      <c r="G7" s="330">
        <v>0.03</v>
      </c>
      <c r="H7" s="330">
        <v>0.03</v>
      </c>
      <c r="I7" s="330">
        <v>0.03</v>
      </c>
      <c r="J7" s="330">
        <v>0.03</v>
      </c>
      <c r="K7" s="330">
        <v>0.03</v>
      </c>
      <c r="L7" s="330">
        <v>0.03</v>
      </c>
      <c r="M7" s="330">
        <v>0.03</v>
      </c>
      <c r="N7" s="330">
        <v>0.03</v>
      </c>
      <c r="O7" s="330">
        <v>0.03</v>
      </c>
      <c r="P7" s="330">
        <v>0.03</v>
      </c>
      <c r="Q7" s="330">
        <v>0.03</v>
      </c>
      <c r="R7" s="330">
        <v>0.03</v>
      </c>
      <c r="S7" s="330">
        <v>0.03</v>
      </c>
      <c r="T7" s="330">
        <v>0.03</v>
      </c>
      <c r="U7" s="330">
        <v>0.03</v>
      </c>
      <c r="V7" s="327" t="s">
        <v>302</v>
      </c>
      <c r="W7" s="200" t="str">
        <f t="shared" si="3"/>
        <v>Residential</v>
      </c>
      <c r="X7" s="198" t="str">
        <f t="shared" si="1"/>
        <v>DLC-BYOD-Water HeatingResidential</v>
      </c>
      <c r="Y7" s="157" t="b">
        <f>ISNUMBER(MATCH(X7,'ProCESS CSE'!W:W,0))</f>
        <v>0</v>
      </c>
      <c r="Z7" s="157"/>
      <c r="AA7" s="157"/>
      <c r="AB7" s="157"/>
      <c r="AC7" s="157"/>
      <c r="AD7" s="157"/>
      <c r="AE7" s="157"/>
      <c r="AF7" s="157"/>
      <c r="AG7" s="157"/>
      <c r="AH7" s="157"/>
      <c r="AI7" s="157"/>
      <c r="AJ7" s="157"/>
      <c r="AK7" s="157"/>
      <c r="AL7" s="157"/>
      <c r="AM7" s="157"/>
      <c r="AN7" s="157"/>
      <c r="AO7" s="157"/>
      <c r="AP7" s="157"/>
    </row>
    <row r="8" spans="1:42" ht="14.55" customHeight="1" x14ac:dyDescent="0.25">
      <c r="A8" s="225" t="str">
        <f>'Participation Assumptions'!B9</f>
        <v>DLC-Thermostat-DI-Central Heat Pump</v>
      </c>
      <c r="B8" s="225" t="s">
        <v>397</v>
      </c>
      <c r="C8" s="225" t="str">
        <f>'Participation Assumptions'!C9</f>
        <v>Residential</v>
      </c>
      <c r="D8" s="225" t="str">
        <f>'Participation Assumptions'!D9</f>
        <v>Residential LI</v>
      </c>
      <c r="E8" s="330">
        <f>IFERROR((F8/G8)*F8,0)</f>
        <v>3.2040122729589951E-5</v>
      </c>
      <c r="F8" s="330">
        <f>IFERROR((G8/H8)*G8,0)</f>
        <v>9.4393683856015844E-5</v>
      </c>
      <c r="G8" s="330">
        <f>AVERAGEIF('ProCESS CSE'!$W:$W,'Control Strategy Eligibility'!$X8,'ProCESS CSE'!P:P)</f>
        <v>2.7809405185831815E-4</v>
      </c>
      <c r="H8" s="330">
        <f>AVERAGEIF('ProCESS CSE'!$W:$W,'Control Strategy Eligibility'!$X8,'ProCESS CSE'!Q:Q)</f>
        <v>8.1929530154732047E-4</v>
      </c>
      <c r="I8" s="330">
        <f>AVERAGEIF('ProCESS CSE'!$W:$W,'Control Strategy Eligibility'!$X8,'ProCESS CSE'!R:R)</f>
        <v>9.4756638019184323E-4</v>
      </c>
      <c r="J8" s="330">
        <f>IFERROR(MIN(1,(I8/H8)*I8),0)</f>
        <v>1.0959199243229314E-3</v>
      </c>
      <c r="K8" s="330">
        <f t="shared" ref="K8:U8" si="4">IFERROR(MIN(1,(J8/I8)*J8),0)</f>
        <v>1.2675000988161046E-3</v>
      </c>
      <c r="L8" s="330">
        <f t="shared" si="4"/>
        <v>1.4659433274665382E-3</v>
      </c>
      <c r="M8" s="330">
        <f t="shared" si="4"/>
        <v>1.6954553623711019E-3</v>
      </c>
      <c r="N8" s="330">
        <f t="shared" si="4"/>
        <v>1.9609004195003847E-3</v>
      </c>
      <c r="O8" s="330">
        <f t="shared" si="4"/>
        <v>2.2679042695759048E-3</v>
      </c>
      <c r="P8" s="330">
        <f t="shared" si="4"/>
        <v>2.6229734691326635E-3</v>
      </c>
      <c r="Q8" s="330">
        <f t="shared" si="4"/>
        <v>3.0336332587179212E-3</v>
      </c>
      <c r="R8" s="330">
        <f t="shared" si="4"/>
        <v>3.5085870508033156E-3</v>
      </c>
      <c r="S8" s="330">
        <f t="shared" si="4"/>
        <v>4.0579008875539745E-3</v>
      </c>
      <c r="T8" s="330">
        <f t="shared" si="4"/>
        <v>4.6932167778026774E-3</v>
      </c>
      <c r="U8" s="330">
        <f t="shared" si="4"/>
        <v>5.4279994346351735E-3</v>
      </c>
      <c r="V8" s="328" t="s">
        <v>550</v>
      </c>
      <c r="W8" s="200" t="str">
        <f t="shared" si="3"/>
        <v>Residential</v>
      </c>
      <c r="X8" s="198" t="str">
        <f t="shared" si="1"/>
        <v>DLC-Thermostat-DI-Central Heat PumpResidential</v>
      </c>
      <c r="Y8" s="157" t="b">
        <f>ISNUMBER(MATCH(X8,'ProCESS CSE'!W:W,0))</f>
        <v>1</v>
      </c>
      <c r="Z8" s="157"/>
      <c r="AA8" s="157"/>
      <c r="AB8" s="157"/>
      <c r="AC8" s="157"/>
      <c r="AD8" s="157"/>
      <c r="AE8" s="157"/>
      <c r="AF8" s="157"/>
      <c r="AG8" s="157"/>
      <c r="AH8" s="157"/>
      <c r="AI8" s="157"/>
      <c r="AJ8" s="157"/>
      <c r="AK8" s="157"/>
      <c r="AL8" s="157"/>
      <c r="AM8" s="157"/>
      <c r="AN8" s="157"/>
      <c r="AO8" s="157"/>
      <c r="AP8" s="157"/>
    </row>
    <row r="9" spans="1:42" ht="14.4" x14ac:dyDescent="0.25">
      <c r="A9" s="225" t="str">
        <f>'Participation Assumptions'!B10</f>
        <v>DLC-Thermostat-DI-Central Heat Pump</v>
      </c>
      <c r="B9" s="225" t="s">
        <v>397</v>
      </c>
      <c r="C9" s="225" t="str">
        <f>'Participation Assumptions'!C10</f>
        <v>Residential</v>
      </c>
      <c r="D9" s="225" t="str">
        <f>'Participation Assumptions'!D10</f>
        <v>Residential Market Rate</v>
      </c>
      <c r="E9" s="330">
        <f>IFERROR((F9/G9)*F9,0)</f>
        <v>3.2040122729589951E-5</v>
      </c>
      <c r="F9" s="330">
        <f>IFERROR((G9/H9)*G9,0)</f>
        <v>9.4393683856015844E-5</v>
      </c>
      <c r="G9" s="330">
        <f>AVERAGEIF('ProCESS CSE'!$W:$W,'Control Strategy Eligibility'!$X9,'ProCESS CSE'!P:P)</f>
        <v>2.7809405185831815E-4</v>
      </c>
      <c r="H9" s="330">
        <f>AVERAGEIF('ProCESS CSE'!$W:$W,'Control Strategy Eligibility'!$X9,'ProCESS CSE'!Q:Q)</f>
        <v>8.1929530154732047E-4</v>
      </c>
      <c r="I9" s="330">
        <f>AVERAGEIF('ProCESS CSE'!$W:$W,'Control Strategy Eligibility'!$X9,'ProCESS CSE'!R:R)</f>
        <v>9.4756638019184323E-4</v>
      </c>
      <c r="J9" s="330">
        <f>IFERROR(MIN(1,(I9/H9)*I9),0)</f>
        <v>1.0959199243229314E-3</v>
      </c>
      <c r="K9" s="330">
        <f t="shared" ref="K9:U9" si="5">IFERROR(MIN(1,(J9/I9)*J9),0)</f>
        <v>1.2675000988161046E-3</v>
      </c>
      <c r="L9" s="330">
        <f t="shared" si="5"/>
        <v>1.4659433274665382E-3</v>
      </c>
      <c r="M9" s="330">
        <f t="shared" si="5"/>
        <v>1.6954553623711019E-3</v>
      </c>
      <c r="N9" s="330">
        <f t="shared" si="5"/>
        <v>1.9609004195003847E-3</v>
      </c>
      <c r="O9" s="330">
        <f t="shared" si="5"/>
        <v>2.2679042695759048E-3</v>
      </c>
      <c r="P9" s="330">
        <f t="shared" si="5"/>
        <v>2.6229734691326635E-3</v>
      </c>
      <c r="Q9" s="330">
        <f t="shared" si="5"/>
        <v>3.0336332587179212E-3</v>
      </c>
      <c r="R9" s="330">
        <f t="shared" si="5"/>
        <v>3.5085870508033156E-3</v>
      </c>
      <c r="S9" s="330">
        <f t="shared" si="5"/>
        <v>4.0579008875539745E-3</v>
      </c>
      <c r="T9" s="330">
        <f t="shared" si="5"/>
        <v>4.6932167778026774E-3</v>
      </c>
      <c r="U9" s="330">
        <f t="shared" si="5"/>
        <v>5.4279994346351735E-3</v>
      </c>
      <c r="V9" s="328"/>
      <c r="W9" s="200" t="str">
        <f t="shared" si="3"/>
        <v>Residential</v>
      </c>
      <c r="X9" s="198" t="str">
        <f t="shared" si="1"/>
        <v>DLC-Thermostat-DI-Central Heat PumpResidential</v>
      </c>
      <c r="Y9" s="157" t="b">
        <f>ISNUMBER(MATCH(X9,'ProCESS CSE'!W:W,0))</f>
        <v>1</v>
      </c>
      <c r="Z9" s="157"/>
      <c r="AA9" s="157"/>
      <c r="AB9" s="157"/>
      <c r="AC9" s="157"/>
      <c r="AD9" s="157"/>
      <c r="AE9" s="157"/>
      <c r="AF9" s="157"/>
      <c r="AG9" s="157"/>
      <c r="AH9" s="157"/>
      <c r="AI9" s="157"/>
      <c r="AJ9" s="157"/>
      <c r="AK9" s="157"/>
      <c r="AL9" s="157"/>
      <c r="AM9" s="157"/>
      <c r="AN9" s="157"/>
      <c r="AO9" s="157"/>
      <c r="AP9" s="157"/>
    </row>
    <row r="10" spans="1:42" ht="14.55" customHeight="1" x14ac:dyDescent="0.25">
      <c r="A10" s="225" t="str">
        <f>'Participation Assumptions'!B11</f>
        <v>DLC-Thermostat-BYOT-Central Heat Pump</v>
      </c>
      <c r="B10" s="225" t="s">
        <v>397</v>
      </c>
      <c r="C10" s="225" t="str">
        <f>'Participation Assumptions'!C11</f>
        <v>Residential</v>
      </c>
      <c r="D10" s="225" t="str">
        <f>'Participation Assumptions'!D11</f>
        <v>Residential LI</v>
      </c>
      <c r="E10" s="330">
        <v>0.09</v>
      </c>
      <c r="F10" s="330">
        <v>0.09</v>
      </c>
      <c r="G10" s="330">
        <v>0.09</v>
      </c>
      <c r="H10" s="330">
        <v>0.09</v>
      </c>
      <c r="I10" s="330">
        <v>0.09</v>
      </c>
      <c r="J10" s="330">
        <v>0.09</v>
      </c>
      <c r="K10" s="330">
        <v>0.09</v>
      </c>
      <c r="L10" s="330">
        <v>0.09</v>
      </c>
      <c r="M10" s="330">
        <v>0.09</v>
      </c>
      <c r="N10" s="330">
        <v>0.09</v>
      </c>
      <c r="O10" s="330">
        <v>0.09</v>
      </c>
      <c r="P10" s="330">
        <v>0.09</v>
      </c>
      <c r="Q10" s="330">
        <v>0.09</v>
      </c>
      <c r="R10" s="330">
        <v>0.09</v>
      </c>
      <c r="S10" s="330">
        <v>0.09</v>
      </c>
      <c r="T10" s="330">
        <v>0.09</v>
      </c>
      <c r="U10" s="330">
        <v>0.09</v>
      </c>
      <c r="V10" s="429" t="s">
        <v>303</v>
      </c>
      <c r="W10" s="200" t="str">
        <f t="shared" si="3"/>
        <v>Residential</v>
      </c>
      <c r="X10" s="198" t="str">
        <f t="shared" si="1"/>
        <v>DLC-Thermostat-BYOT-Central Heat PumpResidential</v>
      </c>
      <c r="Y10" s="157" t="b">
        <f>ISNUMBER(MATCH(X10,'ProCESS CSE'!W:W,0))</f>
        <v>0</v>
      </c>
      <c r="Z10" s="157"/>
      <c r="AA10" s="157"/>
      <c r="AB10" s="157"/>
      <c r="AC10" s="157"/>
      <c r="AD10" s="157"/>
      <c r="AE10" s="157"/>
      <c r="AF10" s="157"/>
      <c r="AG10" s="157"/>
      <c r="AH10" s="157"/>
      <c r="AI10" s="157"/>
      <c r="AJ10" s="157"/>
      <c r="AK10" s="157"/>
      <c r="AL10" s="157"/>
      <c r="AM10" s="157"/>
      <c r="AN10" s="157"/>
      <c r="AO10" s="157"/>
      <c r="AP10" s="157"/>
    </row>
    <row r="11" spans="1:42" ht="14.4" x14ac:dyDescent="0.25">
      <c r="A11" s="225" t="str">
        <f>'Participation Assumptions'!B12</f>
        <v>DLC-Thermostat-BYOT-Central Heat Pump</v>
      </c>
      <c r="B11" s="225" t="s">
        <v>397</v>
      </c>
      <c r="C11" s="225" t="str">
        <f>'Participation Assumptions'!C12</f>
        <v>Residential</v>
      </c>
      <c r="D11" s="225" t="str">
        <f>'Participation Assumptions'!D12</f>
        <v>Residential Market Rate</v>
      </c>
      <c r="E11" s="330">
        <v>0.09</v>
      </c>
      <c r="F11" s="330">
        <v>0.09</v>
      </c>
      <c r="G11" s="330">
        <v>0.09</v>
      </c>
      <c r="H11" s="330">
        <v>0.09</v>
      </c>
      <c r="I11" s="330">
        <v>0.09</v>
      </c>
      <c r="J11" s="330">
        <v>0.09</v>
      </c>
      <c r="K11" s="330">
        <v>0.09</v>
      </c>
      <c r="L11" s="330">
        <v>0.09</v>
      </c>
      <c r="M11" s="330">
        <v>0.09</v>
      </c>
      <c r="N11" s="330">
        <v>0.09</v>
      </c>
      <c r="O11" s="330">
        <v>0.09</v>
      </c>
      <c r="P11" s="330">
        <v>0.09</v>
      </c>
      <c r="Q11" s="330">
        <v>0.09</v>
      </c>
      <c r="R11" s="330">
        <v>0.09</v>
      </c>
      <c r="S11" s="330">
        <v>0.09</v>
      </c>
      <c r="T11" s="330">
        <v>0.09</v>
      </c>
      <c r="U11" s="330">
        <v>0.09</v>
      </c>
      <c r="V11" s="429"/>
      <c r="W11" s="200" t="str">
        <f t="shared" si="3"/>
        <v>Residential</v>
      </c>
      <c r="X11" s="198" t="str">
        <f t="shared" si="1"/>
        <v>DLC-Thermostat-BYOT-Central Heat PumpResidential</v>
      </c>
      <c r="Y11" s="157" t="b">
        <f>ISNUMBER(MATCH(X11,'ProCESS CSE'!W:W,0))</f>
        <v>0</v>
      </c>
      <c r="Z11" s="157"/>
      <c r="AA11" s="157"/>
      <c r="AB11" s="157"/>
      <c r="AC11" s="157"/>
      <c r="AD11" s="157"/>
      <c r="AE11" s="157"/>
      <c r="AF11" s="157"/>
      <c r="AG11" s="157"/>
      <c r="AH11" s="157"/>
      <c r="AI11" s="157"/>
      <c r="AJ11" s="157"/>
      <c r="AK11" s="157"/>
      <c r="AL11" s="157"/>
      <c r="AM11" s="157"/>
      <c r="AN11" s="157"/>
      <c r="AO11" s="157"/>
      <c r="AP11" s="157"/>
    </row>
    <row r="12" spans="1:42" ht="43.5" customHeight="1" x14ac:dyDescent="0.25">
      <c r="A12" s="225" t="str">
        <f>'Participation Assumptions'!B13</f>
        <v>DLC-Switch-Water Heating</v>
      </c>
      <c r="B12" s="225" t="s">
        <v>397</v>
      </c>
      <c r="C12" s="225" t="str">
        <f>'Participation Assumptions'!C13</f>
        <v>Small Commercial</v>
      </c>
      <c r="D12" s="225" t="str">
        <f>'Participation Assumptions'!D13</f>
        <v>Manufacturing</v>
      </c>
      <c r="E12" s="330">
        <f t="shared" ref="E12:U12" si="6">1-E22</f>
        <v>0.89</v>
      </c>
      <c r="F12" s="330">
        <f t="shared" si="6"/>
        <v>0.89</v>
      </c>
      <c r="G12" s="330">
        <f t="shared" si="6"/>
        <v>0.89</v>
      </c>
      <c r="H12" s="330">
        <f t="shared" si="6"/>
        <v>0.89</v>
      </c>
      <c r="I12" s="330">
        <f t="shared" si="6"/>
        <v>0.89</v>
      </c>
      <c r="J12" s="330">
        <f t="shared" si="6"/>
        <v>0.89</v>
      </c>
      <c r="K12" s="330">
        <f t="shared" si="6"/>
        <v>0.89</v>
      </c>
      <c r="L12" s="330">
        <f t="shared" si="6"/>
        <v>0.89</v>
      </c>
      <c r="M12" s="330">
        <f t="shared" si="6"/>
        <v>0.89</v>
      </c>
      <c r="N12" s="330">
        <f t="shared" si="6"/>
        <v>0.89</v>
      </c>
      <c r="O12" s="330">
        <f t="shared" si="6"/>
        <v>0.89</v>
      </c>
      <c r="P12" s="330">
        <f t="shared" si="6"/>
        <v>0.89</v>
      </c>
      <c r="Q12" s="330">
        <f t="shared" si="6"/>
        <v>0.89</v>
      </c>
      <c r="R12" s="330">
        <f t="shared" si="6"/>
        <v>0.89</v>
      </c>
      <c r="S12" s="330">
        <f t="shared" si="6"/>
        <v>0.89</v>
      </c>
      <c r="T12" s="330">
        <f t="shared" si="6"/>
        <v>0.89</v>
      </c>
      <c r="U12" s="330">
        <f t="shared" si="6"/>
        <v>0.89</v>
      </c>
      <c r="V12" s="430" t="s">
        <v>304</v>
      </c>
      <c r="W12" s="200" t="str">
        <f t="shared" si="3"/>
        <v>Small</v>
      </c>
      <c r="X12" s="198" t="str">
        <f t="shared" si="1"/>
        <v>DLC-Switch-Water HeatingSmall</v>
      </c>
      <c r="Y12" s="157" t="b">
        <f>ISNUMBER(MATCH(X12,'ProCESS CSE'!W:W,0))</f>
        <v>0</v>
      </c>
      <c r="Z12" s="157"/>
      <c r="AA12" s="157"/>
      <c r="AB12" s="157"/>
      <c r="AC12" s="157"/>
      <c r="AD12" s="157"/>
      <c r="AE12" s="157"/>
      <c r="AF12" s="157"/>
      <c r="AG12" s="157"/>
      <c r="AH12" s="157"/>
      <c r="AI12" s="157"/>
      <c r="AJ12" s="157"/>
      <c r="AK12" s="157"/>
      <c r="AL12" s="157"/>
      <c r="AM12" s="157"/>
      <c r="AN12" s="157"/>
      <c r="AO12" s="157"/>
      <c r="AP12" s="157"/>
    </row>
    <row r="13" spans="1:42" ht="14.4" x14ac:dyDescent="0.25">
      <c r="A13" s="225" t="str">
        <f>'Participation Assumptions'!B14</f>
        <v>DLC-Switch-Water Heating</v>
      </c>
      <c r="B13" s="225" t="s">
        <v>397</v>
      </c>
      <c r="C13" s="225" t="str">
        <f>'Participation Assumptions'!C14</f>
        <v>Small Commercial</v>
      </c>
      <c r="D13" s="225" t="str">
        <f>'Participation Assumptions'!D14</f>
        <v>Miscellaneous</v>
      </c>
      <c r="E13" s="330">
        <f t="shared" ref="E13:U13" si="7">1-E23</f>
        <v>0.89</v>
      </c>
      <c r="F13" s="330">
        <f t="shared" si="7"/>
        <v>0.89</v>
      </c>
      <c r="G13" s="330">
        <f t="shared" si="7"/>
        <v>0.89</v>
      </c>
      <c r="H13" s="330">
        <f t="shared" si="7"/>
        <v>0.89</v>
      </c>
      <c r="I13" s="330">
        <f t="shared" si="7"/>
        <v>0.89</v>
      </c>
      <c r="J13" s="330">
        <f t="shared" si="7"/>
        <v>0.89</v>
      </c>
      <c r="K13" s="330">
        <f t="shared" si="7"/>
        <v>0.89</v>
      </c>
      <c r="L13" s="330">
        <f t="shared" si="7"/>
        <v>0.89</v>
      </c>
      <c r="M13" s="330">
        <f t="shared" si="7"/>
        <v>0.89</v>
      </c>
      <c r="N13" s="330">
        <f t="shared" si="7"/>
        <v>0.89</v>
      </c>
      <c r="O13" s="330">
        <f t="shared" si="7"/>
        <v>0.89</v>
      </c>
      <c r="P13" s="330">
        <f t="shared" si="7"/>
        <v>0.89</v>
      </c>
      <c r="Q13" s="330">
        <f t="shared" si="7"/>
        <v>0.89</v>
      </c>
      <c r="R13" s="330">
        <f t="shared" si="7"/>
        <v>0.89</v>
      </c>
      <c r="S13" s="330">
        <f t="shared" si="7"/>
        <v>0.89</v>
      </c>
      <c r="T13" s="330">
        <f t="shared" si="7"/>
        <v>0.89</v>
      </c>
      <c r="U13" s="330">
        <f t="shared" si="7"/>
        <v>0.89</v>
      </c>
      <c r="V13" s="430"/>
      <c r="W13" s="200" t="str">
        <f t="shared" si="3"/>
        <v>Small</v>
      </c>
      <c r="X13" s="198" t="str">
        <f t="shared" si="1"/>
        <v>DLC-Switch-Water HeatingSmall</v>
      </c>
      <c r="Y13" s="157" t="b">
        <f>ISNUMBER(MATCH(X13,'ProCESS CSE'!W:W,0))</f>
        <v>0</v>
      </c>
      <c r="Z13" s="157"/>
      <c r="AA13" s="157"/>
      <c r="AB13" s="157"/>
      <c r="AC13" s="157"/>
      <c r="AD13" s="157"/>
      <c r="AE13" s="157"/>
      <c r="AF13" s="157"/>
      <c r="AG13" s="157"/>
      <c r="AH13" s="157"/>
      <c r="AI13" s="157"/>
      <c r="AJ13" s="157"/>
      <c r="AK13" s="157"/>
      <c r="AL13" s="157"/>
      <c r="AM13" s="157"/>
      <c r="AN13" s="157"/>
      <c r="AO13" s="157"/>
      <c r="AP13" s="157"/>
    </row>
    <row r="14" spans="1:42" ht="14.4" x14ac:dyDescent="0.25">
      <c r="A14" s="225" t="str">
        <f>'Participation Assumptions'!B15</f>
        <v>DLC-Switch-Water Heating</v>
      </c>
      <c r="B14" s="225" t="s">
        <v>397</v>
      </c>
      <c r="C14" s="225" t="str">
        <f>'Participation Assumptions'!C15</f>
        <v>Small Commercial</v>
      </c>
      <c r="D14" s="225" t="str">
        <f>'Participation Assumptions'!D15</f>
        <v>Offices</v>
      </c>
      <c r="E14" s="330">
        <f t="shared" ref="E14:U14" si="8">1-E24</f>
        <v>0.89</v>
      </c>
      <c r="F14" s="330">
        <f t="shared" si="8"/>
        <v>0.89</v>
      </c>
      <c r="G14" s="330">
        <f t="shared" si="8"/>
        <v>0.89</v>
      </c>
      <c r="H14" s="330">
        <f t="shared" si="8"/>
        <v>0.89</v>
      </c>
      <c r="I14" s="330">
        <f t="shared" si="8"/>
        <v>0.89</v>
      </c>
      <c r="J14" s="330">
        <f t="shared" si="8"/>
        <v>0.89</v>
      </c>
      <c r="K14" s="330">
        <f t="shared" si="8"/>
        <v>0.89</v>
      </c>
      <c r="L14" s="330">
        <f t="shared" si="8"/>
        <v>0.89</v>
      </c>
      <c r="M14" s="330">
        <f t="shared" si="8"/>
        <v>0.89</v>
      </c>
      <c r="N14" s="330">
        <f t="shared" si="8"/>
        <v>0.89</v>
      </c>
      <c r="O14" s="330">
        <f t="shared" si="8"/>
        <v>0.89</v>
      </c>
      <c r="P14" s="330">
        <f t="shared" si="8"/>
        <v>0.89</v>
      </c>
      <c r="Q14" s="330">
        <f t="shared" si="8"/>
        <v>0.89</v>
      </c>
      <c r="R14" s="330">
        <f t="shared" si="8"/>
        <v>0.89</v>
      </c>
      <c r="S14" s="330">
        <f t="shared" si="8"/>
        <v>0.89</v>
      </c>
      <c r="T14" s="330">
        <f t="shared" si="8"/>
        <v>0.89</v>
      </c>
      <c r="U14" s="330">
        <f t="shared" si="8"/>
        <v>0.89</v>
      </c>
      <c r="V14" s="430"/>
      <c r="W14" s="200" t="str">
        <f t="shared" si="3"/>
        <v>Small</v>
      </c>
      <c r="X14" s="198" t="str">
        <f t="shared" si="1"/>
        <v>DLC-Switch-Water HeatingSmall</v>
      </c>
      <c r="Y14" s="157" t="b">
        <f>ISNUMBER(MATCH(X14,'ProCESS CSE'!W:W,0))</f>
        <v>0</v>
      </c>
      <c r="Z14" s="157"/>
      <c r="AA14" s="157"/>
      <c r="AB14" s="157"/>
      <c r="AC14" s="157"/>
      <c r="AD14" s="157"/>
      <c r="AE14" s="157"/>
      <c r="AF14" s="157"/>
      <c r="AG14" s="157"/>
      <c r="AH14" s="157"/>
      <c r="AI14" s="157"/>
      <c r="AJ14" s="157"/>
      <c r="AK14" s="157"/>
      <c r="AL14" s="157"/>
      <c r="AM14" s="157"/>
      <c r="AN14" s="157"/>
      <c r="AO14" s="157"/>
      <c r="AP14" s="157"/>
    </row>
    <row r="15" spans="1:42" ht="14.4" x14ac:dyDescent="0.25">
      <c r="A15" s="225" t="str">
        <f>'Participation Assumptions'!B16</f>
        <v>DLC-Switch-Water Heating</v>
      </c>
      <c r="B15" s="225" t="s">
        <v>397</v>
      </c>
      <c r="C15" s="225" t="str">
        <f>'Participation Assumptions'!C16</f>
        <v>Small Commercial</v>
      </c>
      <c r="D15" s="225" t="str">
        <f>'Participation Assumptions'!D16</f>
        <v>Retail Trade</v>
      </c>
      <c r="E15" s="330">
        <f t="shared" ref="E15:U15" si="9">1-E25</f>
        <v>0.89</v>
      </c>
      <c r="F15" s="330">
        <f t="shared" si="9"/>
        <v>0.89</v>
      </c>
      <c r="G15" s="330">
        <f t="shared" si="9"/>
        <v>0.89</v>
      </c>
      <c r="H15" s="330">
        <f t="shared" si="9"/>
        <v>0.89</v>
      </c>
      <c r="I15" s="330">
        <f t="shared" si="9"/>
        <v>0.89</v>
      </c>
      <c r="J15" s="330">
        <f t="shared" si="9"/>
        <v>0.89</v>
      </c>
      <c r="K15" s="330">
        <f t="shared" si="9"/>
        <v>0.89</v>
      </c>
      <c r="L15" s="330">
        <f t="shared" si="9"/>
        <v>0.89</v>
      </c>
      <c r="M15" s="330">
        <f t="shared" si="9"/>
        <v>0.89</v>
      </c>
      <c r="N15" s="330">
        <f t="shared" si="9"/>
        <v>0.89</v>
      </c>
      <c r="O15" s="330">
        <f t="shared" si="9"/>
        <v>0.89</v>
      </c>
      <c r="P15" s="330">
        <f t="shared" si="9"/>
        <v>0.89</v>
      </c>
      <c r="Q15" s="330">
        <f t="shared" si="9"/>
        <v>0.89</v>
      </c>
      <c r="R15" s="330">
        <f t="shared" si="9"/>
        <v>0.89</v>
      </c>
      <c r="S15" s="330">
        <f t="shared" si="9"/>
        <v>0.89</v>
      </c>
      <c r="T15" s="330">
        <f t="shared" si="9"/>
        <v>0.89</v>
      </c>
      <c r="U15" s="330">
        <f t="shared" si="9"/>
        <v>0.89</v>
      </c>
      <c r="V15" s="430"/>
      <c r="W15" s="200" t="str">
        <f t="shared" si="3"/>
        <v>Small</v>
      </c>
      <c r="X15" s="198" t="str">
        <f t="shared" si="1"/>
        <v>DLC-Switch-Water HeatingSmall</v>
      </c>
      <c r="Y15" s="157" t="b">
        <f>ISNUMBER(MATCH(X15,'ProCESS CSE'!W:W,0))</f>
        <v>0</v>
      </c>
      <c r="Z15" s="157"/>
      <c r="AA15" s="157"/>
      <c r="AB15" s="157"/>
      <c r="AC15" s="157"/>
      <c r="AD15" s="157"/>
      <c r="AE15" s="157"/>
      <c r="AF15" s="157"/>
      <c r="AG15" s="157"/>
      <c r="AH15" s="157"/>
      <c r="AI15" s="157"/>
      <c r="AJ15" s="157"/>
      <c r="AK15" s="157"/>
      <c r="AL15" s="157"/>
      <c r="AM15" s="157"/>
      <c r="AN15" s="157"/>
      <c r="AO15" s="157"/>
      <c r="AP15" s="157"/>
    </row>
    <row r="16" spans="1:42" ht="14.4" x14ac:dyDescent="0.25">
      <c r="A16" s="225" t="str">
        <f>'Participation Assumptions'!B17</f>
        <v>DLC-Switch-Water Heating</v>
      </c>
      <c r="B16" s="225" t="s">
        <v>397</v>
      </c>
      <c r="C16" s="225" t="str">
        <f>'Participation Assumptions'!C17</f>
        <v>Small Commercial</v>
      </c>
      <c r="D16" s="225" t="str">
        <f>'Participation Assumptions'!D17</f>
        <v>Services</v>
      </c>
      <c r="E16" s="330">
        <f t="shared" ref="E16:U16" si="10">1-E26</f>
        <v>0.89</v>
      </c>
      <c r="F16" s="330">
        <f t="shared" si="10"/>
        <v>0.89</v>
      </c>
      <c r="G16" s="330">
        <f t="shared" si="10"/>
        <v>0.89</v>
      </c>
      <c r="H16" s="330">
        <f t="shared" si="10"/>
        <v>0.89</v>
      </c>
      <c r="I16" s="330">
        <f t="shared" si="10"/>
        <v>0.89</v>
      </c>
      <c r="J16" s="330">
        <f t="shared" si="10"/>
        <v>0.89</v>
      </c>
      <c r="K16" s="330">
        <f t="shared" si="10"/>
        <v>0.89</v>
      </c>
      <c r="L16" s="330">
        <f t="shared" si="10"/>
        <v>0.89</v>
      </c>
      <c r="M16" s="330">
        <f t="shared" si="10"/>
        <v>0.89</v>
      </c>
      <c r="N16" s="330">
        <f t="shared" si="10"/>
        <v>0.89</v>
      </c>
      <c r="O16" s="330">
        <f t="shared" si="10"/>
        <v>0.89</v>
      </c>
      <c r="P16" s="330">
        <f t="shared" si="10"/>
        <v>0.89</v>
      </c>
      <c r="Q16" s="330">
        <f t="shared" si="10"/>
        <v>0.89</v>
      </c>
      <c r="R16" s="330">
        <f t="shared" si="10"/>
        <v>0.89</v>
      </c>
      <c r="S16" s="330">
        <f t="shared" si="10"/>
        <v>0.89</v>
      </c>
      <c r="T16" s="330">
        <f t="shared" si="10"/>
        <v>0.89</v>
      </c>
      <c r="U16" s="330">
        <f t="shared" si="10"/>
        <v>0.89</v>
      </c>
      <c r="V16" s="430"/>
      <c r="W16" s="200" t="str">
        <f t="shared" si="3"/>
        <v>Small</v>
      </c>
      <c r="X16" s="198" t="str">
        <f t="shared" si="1"/>
        <v>DLC-Switch-Water HeatingSmall</v>
      </c>
      <c r="Y16" s="157" t="b">
        <f>ISNUMBER(MATCH(X16,'ProCESS CSE'!W:W,0))</f>
        <v>0</v>
      </c>
      <c r="Z16" s="157"/>
      <c r="AA16" s="157"/>
      <c r="AB16" s="157"/>
      <c r="AC16" s="157"/>
      <c r="AD16" s="157"/>
      <c r="AE16" s="157"/>
      <c r="AF16" s="157"/>
      <c r="AG16" s="157"/>
      <c r="AH16" s="157"/>
      <c r="AI16" s="157"/>
      <c r="AJ16" s="157"/>
      <c r="AK16" s="157"/>
      <c r="AL16" s="157"/>
      <c r="AM16" s="157"/>
      <c r="AN16" s="157"/>
      <c r="AO16" s="157"/>
      <c r="AP16" s="157"/>
    </row>
    <row r="17" spans="1:42" ht="14.4" x14ac:dyDescent="0.25">
      <c r="A17" s="225" t="str">
        <f>'Participation Assumptions'!B18</f>
        <v>DLC-Switch-Water Heating</v>
      </c>
      <c r="B17" s="225" t="s">
        <v>397</v>
      </c>
      <c r="C17" s="225" t="str">
        <f>'Participation Assumptions'!C18</f>
        <v>Small Industrial</v>
      </c>
      <c r="D17" s="225" t="str">
        <f>'Participation Assumptions'!D18</f>
        <v>Manufacturing</v>
      </c>
      <c r="E17" s="330">
        <f t="shared" ref="E17:U17" si="11">1-E27</f>
        <v>0.89</v>
      </c>
      <c r="F17" s="330">
        <f t="shared" si="11"/>
        <v>0.89</v>
      </c>
      <c r="G17" s="330">
        <f t="shared" si="11"/>
        <v>0.89</v>
      </c>
      <c r="H17" s="330">
        <f t="shared" si="11"/>
        <v>0.89</v>
      </c>
      <c r="I17" s="330">
        <f t="shared" si="11"/>
        <v>0.89</v>
      </c>
      <c r="J17" s="330">
        <f t="shared" si="11"/>
        <v>0.89</v>
      </c>
      <c r="K17" s="330">
        <f t="shared" si="11"/>
        <v>0.89</v>
      </c>
      <c r="L17" s="330">
        <f t="shared" si="11"/>
        <v>0.89</v>
      </c>
      <c r="M17" s="330">
        <f t="shared" si="11"/>
        <v>0.89</v>
      </c>
      <c r="N17" s="330">
        <f t="shared" si="11"/>
        <v>0.89</v>
      </c>
      <c r="O17" s="330">
        <f t="shared" si="11"/>
        <v>0.89</v>
      </c>
      <c r="P17" s="330">
        <f t="shared" si="11"/>
        <v>0.89</v>
      </c>
      <c r="Q17" s="330">
        <f t="shared" si="11"/>
        <v>0.89</v>
      </c>
      <c r="R17" s="330">
        <f t="shared" si="11"/>
        <v>0.89</v>
      </c>
      <c r="S17" s="330">
        <f t="shared" si="11"/>
        <v>0.89</v>
      </c>
      <c r="T17" s="330">
        <f t="shared" si="11"/>
        <v>0.89</v>
      </c>
      <c r="U17" s="330">
        <f t="shared" si="11"/>
        <v>0.89</v>
      </c>
      <c r="V17" s="430"/>
      <c r="W17" s="200" t="str">
        <f t="shared" si="3"/>
        <v>Small</v>
      </c>
      <c r="X17" s="198" t="str">
        <f t="shared" si="1"/>
        <v>DLC-Switch-Water HeatingSmall</v>
      </c>
      <c r="Y17" s="157" t="b">
        <f>ISNUMBER(MATCH(X17,'ProCESS CSE'!W:W,0))</f>
        <v>0</v>
      </c>
      <c r="Z17" s="157"/>
      <c r="AA17" s="157"/>
      <c r="AB17" s="157"/>
      <c r="AC17" s="157"/>
      <c r="AD17" s="157"/>
      <c r="AE17" s="157"/>
      <c r="AF17" s="157"/>
      <c r="AG17" s="157"/>
      <c r="AH17" s="157"/>
      <c r="AI17" s="157"/>
      <c r="AJ17" s="157"/>
      <c r="AK17" s="157"/>
      <c r="AL17" s="157"/>
      <c r="AM17" s="157"/>
      <c r="AN17" s="157"/>
      <c r="AO17" s="157"/>
      <c r="AP17" s="157"/>
    </row>
    <row r="18" spans="1:42" ht="14.4" x14ac:dyDescent="0.25">
      <c r="A18" s="225" t="str">
        <f>'Participation Assumptions'!B19</f>
        <v>DLC-Switch-Water Heating</v>
      </c>
      <c r="B18" s="225" t="s">
        <v>397</v>
      </c>
      <c r="C18" s="225" t="str">
        <f>'Participation Assumptions'!C19</f>
        <v>Small Industrial</v>
      </c>
      <c r="D18" s="225" t="str">
        <f>'Participation Assumptions'!D19</f>
        <v>Miscellaneous</v>
      </c>
      <c r="E18" s="330">
        <f t="shared" ref="E18:U18" si="12">1-E28</f>
        <v>0.89</v>
      </c>
      <c r="F18" s="330">
        <f t="shared" si="12"/>
        <v>0.89</v>
      </c>
      <c r="G18" s="330">
        <f t="shared" si="12"/>
        <v>0.89</v>
      </c>
      <c r="H18" s="330">
        <f t="shared" si="12"/>
        <v>0.89</v>
      </c>
      <c r="I18" s="330">
        <f t="shared" si="12"/>
        <v>0.89</v>
      </c>
      <c r="J18" s="330">
        <f t="shared" si="12"/>
        <v>0.89</v>
      </c>
      <c r="K18" s="330">
        <f t="shared" si="12"/>
        <v>0.89</v>
      </c>
      <c r="L18" s="330">
        <f t="shared" si="12"/>
        <v>0.89</v>
      </c>
      <c r="M18" s="330">
        <f t="shared" si="12"/>
        <v>0.89</v>
      </c>
      <c r="N18" s="330">
        <f t="shared" si="12"/>
        <v>0.89</v>
      </c>
      <c r="O18" s="330">
        <f t="shared" si="12"/>
        <v>0.89</v>
      </c>
      <c r="P18" s="330">
        <f t="shared" si="12"/>
        <v>0.89</v>
      </c>
      <c r="Q18" s="330">
        <f t="shared" si="12"/>
        <v>0.89</v>
      </c>
      <c r="R18" s="330">
        <f t="shared" si="12"/>
        <v>0.89</v>
      </c>
      <c r="S18" s="330">
        <f t="shared" si="12"/>
        <v>0.89</v>
      </c>
      <c r="T18" s="330">
        <f t="shared" si="12"/>
        <v>0.89</v>
      </c>
      <c r="U18" s="330">
        <f t="shared" si="12"/>
        <v>0.89</v>
      </c>
      <c r="V18" s="430"/>
      <c r="W18" s="200" t="str">
        <f t="shared" si="3"/>
        <v>Small</v>
      </c>
      <c r="X18" s="198" t="str">
        <f t="shared" si="1"/>
        <v>DLC-Switch-Water HeatingSmall</v>
      </c>
      <c r="Y18" s="157" t="b">
        <f>ISNUMBER(MATCH(X18,'ProCESS CSE'!W:W,0))</f>
        <v>0</v>
      </c>
      <c r="Z18" s="157"/>
      <c r="AA18" s="157"/>
      <c r="AB18" s="157"/>
      <c r="AC18" s="157"/>
      <c r="AD18" s="157"/>
      <c r="AE18" s="157"/>
      <c r="AF18" s="157"/>
      <c r="AG18" s="157"/>
      <c r="AH18" s="157"/>
      <c r="AI18" s="157"/>
      <c r="AJ18" s="157"/>
      <c r="AK18" s="157"/>
      <c r="AL18" s="157"/>
      <c r="AM18" s="157"/>
      <c r="AN18" s="157"/>
      <c r="AO18" s="157"/>
      <c r="AP18" s="157"/>
    </row>
    <row r="19" spans="1:42" ht="15" customHeight="1" x14ac:dyDescent="0.25">
      <c r="A19" s="225" t="str">
        <f>'Participation Assumptions'!B20</f>
        <v>DLC-Switch-Water Heating</v>
      </c>
      <c r="B19" s="225" t="s">
        <v>397</v>
      </c>
      <c r="C19" s="225" t="str">
        <f>'Participation Assumptions'!C20</f>
        <v>Small Industrial</v>
      </c>
      <c r="D19" s="225" t="str">
        <f>'Participation Assumptions'!D20</f>
        <v>Offices</v>
      </c>
      <c r="E19" s="330">
        <f t="shared" ref="E19:U19" si="13">1-E29</f>
        <v>0.89</v>
      </c>
      <c r="F19" s="330">
        <f t="shared" si="13"/>
        <v>0.89</v>
      </c>
      <c r="G19" s="330">
        <f t="shared" si="13"/>
        <v>0.89</v>
      </c>
      <c r="H19" s="330">
        <f t="shared" si="13"/>
        <v>0.89</v>
      </c>
      <c r="I19" s="330">
        <f t="shared" si="13"/>
        <v>0.89</v>
      </c>
      <c r="J19" s="330">
        <f t="shared" si="13"/>
        <v>0.89</v>
      </c>
      <c r="K19" s="330">
        <f t="shared" si="13"/>
        <v>0.89</v>
      </c>
      <c r="L19" s="330">
        <f t="shared" si="13"/>
        <v>0.89</v>
      </c>
      <c r="M19" s="330">
        <f t="shared" si="13"/>
        <v>0.89</v>
      </c>
      <c r="N19" s="330">
        <f t="shared" si="13"/>
        <v>0.89</v>
      </c>
      <c r="O19" s="330">
        <f t="shared" si="13"/>
        <v>0.89</v>
      </c>
      <c r="P19" s="330">
        <f t="shared" si="13"/>
        <v>0.89</v>
      </c>
      <c r="Q19" s="330">
        <f t="shared" si="13"/>
        <v>0.89</v>
      </c>
      <c r="R19" s="330">
        <f t="shared" si="13"/>
        <v>0.89</v>
      </c>
      <c r="S19" s="330">
        <f t="shared" si="13"/>
        <v>0.89</v>
      </c>
      <c r="T19" s="330">
        <f t="shared" si="13"/>
        <v>0.89</v>
      </c>
      <c r="U19" s="330">
        <f t="shared" si="13"/>
        <v>0.89</v>
      </c>
      <c r="V19" s="430"/>
      <c r="W19" s="200" t="str">
        <f t="shared" si="3"/>
        <v>Small</v>
      </c>
      <c r="X19" s="198" t="str">
        <f t="shared" si="1"/>
        <v>DLC-Switch-Water HeatingSmall</v>
      </c>
      <c r="Y19" s="157" t="b">
        <f>ISNUMBER(MATCH(X19,'ProCESS CSE'!W:W,0))</f>
        <v>0</v>
      </c>
      <c r="Z19" s="157"/>
      <c r="AA19" s="157"/>
      <c r="AB19" s="157"/>
      <c r="AC19" s="157"/>
      <c r="AD19" s="157"/>
      <c r="AE19" s="157"/>
      <c r="AF19" s="157"/>
      <c r="AG19" s="157"/>
      <c r="AH19" s="157"/>
      <c r="AI19" s="157"/>
      <c r="AJ19" s="157"/>
      <c r="AK19" s="157"/>
      <c r="AL19" s="157"/>
      <c r="AM19" s="157"/>
      <c r="AN19" s="157"/>
      <c r="AO19" s="157"/>
      <c r="AP19" s="157"/>
    </row>
    <row r="20" spans="1:42" ht="14.4" x14ac:dyDescent="0.25">
      <c r="A20" s="225" t="str">
        <f>'Participation Assumptions'!B21</f>
        <v>DLC-Switch-Water Heating</v>
      </c>
      <c r="B20" s="225" t="s">
        <v>397</v>
      </c>
      <c r="C20" s="225" t="str">
        <f>'Participation Assumptions'!C21</f>
        <v>Small Industrial</v>
      </c>
      <c r="D20" s="225" t="str">
        <f>'Participation Assumptions'!D21</f>
        <v>Retail Trade</v>
      </c>
      <c r="E20" s="330">
        <f t="shared" ref="E20:U20" si="14">1-E30</f>
        <v>0.89</v>
      </c>
      <c r="F20" s="330">
        <f t="shared" si="14"/>
        <v>0.89</v>
      </c>
      <c r="G20" s="330">
        <f t="shared" si="14"/>
        <v>0.89</v>
      </c>
      <c r="H20" s="330">
        <f t="shared" si="14"/>
        <v>0.89</v>
      </c>
      <c r="I20" s="330">
        <f t="shared" si="14"/>
        <v>0.89</v>
      </c>
      <c r="J20" s="330">
        <f t="shared" si="14"/>
        <v>0.89</v>
      </c>
      <c r="K20" s="330">
        <f t="shared" si="14"/>
        <v>0.89</v>
      </c>
      <c r="L20" s="330">
        <f t="shared" si="14"/>
        <v>0.89</v>
      </c>
      <c r="M20" s="330">
        <f t="shared" si="14"/>
        <v>0.89</v>
      </c>
      <c r="N20" s="330">
        <f t="shared" si="14"/>
        <v>0.89</v>
      </c>
      <c r="O20" s="330">
        <f t="shared" si="14"/>
        <v>0.89</v>
      </c>
      <c r="P20" s="330">
        <f t="shared" si="14"/>
        <v>0.89</v>
      </c>
      <c r="Q20" s="330">
        <f t="shared" si="14"/>
        <v>0.89</v>
      </c>
      <c r="R20" s="330">
        <f t="shared" si="14"/>
        <v>0.89</v>
      </c>
      <c r="S20" s="330">
        <f t="shared" si="14"/>
        <v>0.89</v>
      </c>
      <c r="T20" s="330">
        <f t="shared" si="14"/>
        <v>0.89</v>
      </c>
      <c r="U20" s="330">
        <f t="shared" si="14"/>
        <v>0.89</v>
      </c>
      <c r="V20" s="430"/>
      <c r="W20" s="200" t="str">
        <f t="shared" si="3"/>
        <v>Small</v>
      </c>
      <c r="X20" s="198" t="str">
        <f t="shared" si="1"/>
        <v>DLC-Switch-Water HeatingSmall</v>
      </c>
      <c r="Y20" s="157" t="b">
        <f>ISNUMBER(MATCH(X20,'ProCESS CSE'!W:W,0))</f>
        <v>0</v>
      </c>
      <c r="Z20" s="157"/>
      <c r="AA20" s="157"/>
      <c r="AB20" s="157"/>
      <c r="AC20" s="157"/>
      <c r="AD20" s="157"/>
      <c r="AE20" s="157"/>
      <c r="AF20" s="157"/>
      <c r="AG20" s="157"/>
      <c r="AH20" s="157"/>
      <c r="AI20" s="157"/>
      <c r="AJ20" s="157"/>
      <c r="AK20" s="157"/>
      <c r="AL20" s="157"/>
      <c r="AM20" s="157"/>
      <c r="AN20" s="157"/>
      <c r="AO20" s="157"/>
      <c r="AP20" s="157"/>
    </row>
    <row r="21" spans="1:42" ht="14.4" x14ac:dyDescent="0.25">
      <c r="A21" s="225" t="str">
        <f>'Participation Assumptions'!B22</f>
        <v>DLC-Switch-Water Heating</v>
      </c>
      <c r="B21" s="225" t="s">
        <v>397</v>
      </c>
      <c r="C21" s="225" t="str">
        <f>'Participation Assumptions'!C22</f>
        <v>Small Industrial</v>
      </c>
      <c r="D21" s="225" t="str">
        <f>'Participation Assumptions'!D22</f>
        <v>Services</v>
      </c>
      <c r="E21" s="330">
        <f t="shared" ref="E21:U21" si="15">1-E31</f>
        <v>0.89</v>
      </c>
      <c r="F21" s="330">
        <f t="shared" si="15"/>
        <v>0.89</v>
      </c>
      <c r="G21" s="330">
        <f t="shared" si="15"/>
        <v>0.89</v>
      </c>
      <c r="H21" s="330">
        <f t="shared" si="15"/>
        <v>0.89</v>
      </c>
      <c r="I21" s="330">
        <f t="shared" si="15"/>
        <v>0.89</v>
      </c>
      <c r="J21" s="330">
        <f t="shared" si="15"/>
        <v>0.89</v>
      </c>
      <c r="K21" s="330">
        <f t="shared" si="15"/>
        <v>0.89</v>
      </c>
      <c r="L21" s="330">
        <f t="shared" si="15"/>
        <v>0.89</v>
      </c>
      <c r="M21" s="330">
        <f t="shared" si="15"/>
        <v>0.89</v>
      </c>
      <c r="N21" s="330">
        <f t="shared" si="15"/>
        <v>0.89</v>
      </c>
      <c r="O21" s="330">
        <f t="shared" si="15"/>
        <v>0.89</v>
      </c>
      <c r="P21" s="330">
        <f t="shared" si="15"/>
        <v>0.89</v>
      </c>
      <c r="Q21" s="330">
        <f t="shared" si="15"/>
        <v>0.89</v>
      </c>
      <c r="R21" s="330">
        <f t="shared" si="15"/>
        <v>0.89</v>
      </c>
      <c r="S21" s="330">
        <f t="shared" si="15"/>
        <v>0.89</v>
      </c>
      <c r="T21" s="330">
        <f t="shared" si="15"/>
        <v>0.89</v>
      </c>
      <c r="U21" s="330">
        <f t="shared" si="15"/>
        <v>0.89</v>
      </c>
      <c r="V21" s="430"/>
      <c r="W21" s="200" t="str">
        <f t="shared" si="3"/>
        <v>Small</v>
      </c>
      <c r="X21" s="198" t="str">
        <f t="shared" si="1"/>
        <v>DLC-Switch-Water HeatingSmall</v>
      </c>
      <c r="Y21" s="157" t="b">
        <f>ISNUMBER(MATCH(X21,'ProCESS CSE'!W:W,0))</f>
        <v>0</v>
      </c>
      <c r="Z21" s="157"/>
      <c r="AA21" s="157"/>
      <c r="AB21" s="157"/>
      <c r="AC21" s="157"/>
      <c r="AD21" s="157"/>
      <c r="AE21" s="157"/>
      <c r="AF21" s="157"/>
      <c r="AG21" s="157"/>
      <c r="AH21" s="157"/>
      <c r="AI21" s="157"/>
      <c r="AJ21" s="157"/>
      <c r="AK21" s="157"/>
      <c r="AL21" s="157"/>
      <c r="AM21" s="157"/>
      <c r="AN21" s="157"/>
      <c r="AO21" s="157"/>
      <c r="AP21" s="157"/>
    </row>
    <row r="22" spans="1:42" ht="14.4" x14ac:dyDescent="0.25">
      <c r="A22" s="225" t="str">
        <f>'Participation Assumptions'!B23</f>
        <v>DLC-BYOD-Water Heating</v>
      </c>
      <c r="B22" s="225" t="s">
        <v>397</v>
      </c>
      <c r="C22" s="225" t="str">
        <f>'Participation Assumptions'!C23</f>
        <v>Small Commercial</v>
      </c>
      <c r="D22" s="225" t="str">
        <f>'Participation Assumptions'!D23</f>
        <v>Manufacturing</v>
      </c>
      <c r="E22" s="330">
        <v>0.11</v>
      </c>
      <c r="F22" s="330">
        <v>0.11</v>
      </c>
      <c r="G22" s="330">
        <v>0.11</v>
      </c>
      <c r="H22" s="330">
        <v>0.11</v>
      </c>
      <c r="I22" s="330">
        <v>0.11</v>
      </c>
      <c r="J22" s="330">
        <v>0.11</v>
      </c>
      <c r="K22" s="330">
        <v>0.11</v>
      </c>
      <c r="L22" s="330">
        <v>0.11</v>
      </c>
      <c r="M22" s="330">
        <v>0.11</v>
      </c>
      <c r="N22" s="330">
        <v>0.11</v>
      </c>
      <c r="O22" s="330">
        <v>0.11</v>
      </c>
      <c r="P22" s="330">
        <v>0.11</v>
      </c>
      <c r="Q22" s="330">
        <v>0.11</v>
      </c>
      <c r="R22" s="330">
        <v>0.11</v>
      </c>
      <c r="S22" s="330">
        <v>0.11</v>
      </c>
      <c r="T22" s="330">
        <v>0.11</v>
      </c>
      <c r="U22" s="330">
        <v>0.11</v>
      </c>
      <c r="V22" s="430" t="s">
        <v>305</v>
      </c>
      <c r="W22" s="200" t="str">
        <f t="shared" si="3"/>
        <v>Small</v>
      </c>
      <c r="X22" s="198" t="str">
        <f t="shared" si="1"/>
        <v>DLC-BYOD-Water HeatingSmall</v>
      </c>
      <c r="Y22" s="157" t="b">
        <f>ISNUMBER(MATCH(X22,'ProCESS CSE'!W:W,0))</f>
        <v>0</v>
      </c>
      <c r="Z22" s="157"/>
      <c r="AA22" s="157"/>
      <c r="AB22" s="157"/>
      <c r="AC22" s="157"/>
      <c r="AD22" s="157"/>
      <c r="AE22" s="157"/>
      <c r="AF22" s="157"/>
      <c r="AG22" s="157"/>
      <c r="AH22" s="157"/>
      <c r="AI22" s="157"/>
      <c r="AJ22" s="157"/>
      <c r="AK22" s="157"/>
      <c r="AL22" s="157"/>
      <c r="AM22" s="157"/>
      <c r="AN22" s="157"/>
      <c r="AO22" s="157"/>
      <c r="AP22" s="157"/>
    </row>
    <row r="23" spans="1:42" ht="14.4" x14ac:dyDescent="0.25">
      <c r="A23" s="225" t="str">
        <f>'Participation Assumptions'!B24</f>
        <v>DLC-BYOD-Water Heating</v>
      </c>
      <c r="B23" s="225" t="s">
        <v>397</v>
      </c>
      <c r="C23" s="225" t="str">
        <f>'Participation Assumptions'!C24</f>
        <v>Small Commercial</v>
      </c>
      <c r="D23" s="225" t="str">
        <f>'Participation Assumptions'!D24</f>
        <v>Miscellaneous</v>
      </c>
      <c r="E23" s="330">
        <v>0.11</v>
      </c>
      <c r="F23" s="330">
        <v>0.11</v>
      </c>
      <c r="G23" s="330">
        <v>0.11</v>
      </c>
      <c r="H23" s="330">
        <v>0.11</v>
      </c>
      <c r="I23" s="330">
        <v>0.11</v>
      </c>
      <c r="J23" s="330">
        <v>0.11</v>
      </c>
      <c r="K23" s="330">
        <v>0.11</v>
      </c>
      <c r="L23" s="330">
        <v>0.11</v>
      </c>
      <c r="M23" s="330">
        <v>0.11</v>
      </c>
      <c r="N23" s="330">
        <v>0.11</v>
      </c>
      <c r="O23" s="330">
        <v>0.11</v>
      </c>
      <c r="P23" s="330">
        <v>0.11</v>
      </c>
      <c r="Q23" s="330">
        <v>0.11</v>
      </c>
      <c r="R23" s="330">
        <v>0.11</v>
      </c>
      <c r="S23" s="330">
        <v>0.11</v>
      </c>
      <c r="T23" s="330">
        <v>0.11</v>
      </c>
      <c r="U23" s="330">
        <v>0.11</v>
      </c>
      <c r="V23" s="430"/>
      <c r="W23" s="200" t="str">
        <f t="shared" si="3"/>
        <v>Small</v>
      </c>
      <c r="X23" s="198" t="str">
        <f t="shared" si="1"/>
        <v>DLC-BYOD-Water HeatingSmall</v>
      </c>
      <c r="Y23" s="157" t="b">
        <f>ISNUMBER(MATCH(X23,'ProCESS CSE'!W:W,0))</f>
        <v>0</v>
      </c>
      <c r="Z23" s="157"/>
      <c r="AA23" s="157"/>
      <c r="AB23" s="157"/>
      <c r="AC23" s="157"/>
      <c r="AD23" s="157"/>
      <c r="AE23" s="157"/>
      <c r="AF23" s="157"/>
      <c r="AG23" s="157"/>
      <c r="AH23" s="157"/>
      <c r="AI23" s="157"/>
      <c r="AJ23" s="157"/>
      <c r="AK23" s="157"/>
      <c r="AL23" s="157"/>
      <c r="AM23" s="157"/>
      <c r="AN23" s="157"/>
      <c r="AO23" s="157"/>
      <c r="AP23" s="157"/>
    </row>
    <row r="24" spans="1:42" ht="14.4" x14ac:dyDescent="0.25">
      <c r="A24" s="225" t="str">
        <f>'Participation Assumptions'!B25</f>
        <v>DLC-BYOD-Water Heating</v>
      </c>
      <c r="B24" s="225" t="s">
        <v>397</v>
      </c>
      <c r="C24" s="225" t="str">
        <f>'Participation Assumptions'!C25</f>
        <v>Small Commercial</v>
      </c>
      <c r="D24" s="225" t="str">
        <f>'Participation Assumptions'!D25</f>
        <v>Offices</v>
      </c>
      <c r="E24" s="330">
        <v>0.11</v>
      </c>
      <c r="F24" s="330">
        <v>0.11</v>
      </c>
      <c r="G24" s="330">
        <v>0.11</v>
      </c>
      <c r="H24" s="330">
        <v>0.11</v>
      </c>
      <c r="I24" s="330">
        <v>0.11</v>
      </c>
      <c r="J24" s="330">
        <v>0.11</v>
      </c>
      <c r="K24" s="330">
        <v>0.11</v>
      </c>
      <c r="L24" s="330">
        <v>0.11</v>
      </c>
      <c r="M24" s="330">
        <v>0.11</v>
      </c>
      <c r="N24" s="330">
        <v>0.11</v>
      </c>
      <c r="O24" s="330">
        <v>0.11</v>
      </c>
      <c r="P24" s="330">
        <v>0.11</v>
      </c>
      <c r="Q24" s="330">
        <v>0.11</v>
      </c>
      <c r="R24" s="330">
        <v>0.11</v>
      </c>
      <c r="S24" s="330">
        <v>0.11</v>
      </c>
      <c r="T24" s="330">
        <v>0.11</v>
      </c>
      <c r="U24" s="330">
        <v>0.11</v>
      </c>
      <c r="V24" s="430"/>
      <c r="W24" s="200" t="str">
        <f t="shared" si="3"/>
        <v>Small</v>
      </c>
      <c r="X24" s="198" t="str">
        <f t="shared" si="1"/>
        <v>DLC-BYOD-Water HeatingSmall</v>
      </c>
      <c r="Y24" s="157" t="b">
        <f>ISNUMBER(MATCH(X24,'ProCESS CSE'!W:W,0))</f>
        <v>0</v>
      </c>
      <c r="Z24" s="157"/>
      <c r="AA24" s="157"/>
      <c r="AB24" s="157"/>
      <c r="AC24" s="157"/>
      <c r="AD24" s="157"/>
      <c r="AE24" s="157"/>
      <c r="AF24" s="157"/>
      <c r="AG24" s="157"/>
      <c r="AH24" s="157"/>
      <c r="AI24" s="157"/>
      <c r="AJ24" s="157"/>
      <c r="AK24" s="157"/>
      <c r="AL24" s="157"/>
      <c r="AM24" s="157"/>
      <c r="AN24" s="157"/>
      <c r="AO24" s="157"/>
      <c r="AP24" s="157"/>
    </row>
    <row r="25" spans="1:42" ht="14.4" x14ac:dyDescent="0.25">
      <c r="A25" s="225" t="str">
        <f>'Participation Assumptions'!B26</f>
        <v>DLC-BYOD-Water Heating</v>
      </c>
      <c r="B25" s="225" t="s">
        <v>397</v>
      </c>
      <c r="C25" s="225" t="str">
        <f>'Participation Assumptions'!C26</f>
        <v>Small Commercial</v>
      </c>
      <c r="D25" s="225" t="str">
        <f>'Participation Assumptions'!D26</f>
        <v>Retail Trade</v>
      </c>
      <c r="E25" s="330">
        <v>0.11</v>
      </c>
      <c r="F25" s="330">
        <v>0.11</v>
      </c>
      <c r="G25" s="330">
        <v>0.11</v>
      </c>
      <c r="H25" s="330">
        <v>0.11</v>
      </c>
      <c r="I25" s="330">
        <v>0.11</v>
      </c>
      <c r="J25" s="330">
        <v>0.11</v>
      </c>
      <c r="K25" s="330">
        <v>0.11</v>
      </c>
      <c r="L25" s="330">
        <v>0.11</v>
      </c>
      <c r="M25" s="330">
        <v>0.11</v>
      </c>
      <c r="N25" s="330">
        <v>0.11</v>
      </c>
      <c r="O25" s="330">
        <v>0.11</v>
      </c>
      <c r="P25" s="330">
        <v>0.11</v>
      </c>
      <c r="Q25" s="330">
        <v>0.11</v>
      </c>
      <c r="R25" s="330">
        <v>0.11</v>
      </c>
      <c r="S25" s="330">
        <v>0.11</v>
      </c>
      <c r="T25" s="330">
        <v>0.11</v>
      </c>
      <c r="U25" s="330">
        <v>0.11</v>
      </c>
      <c r="V25" s="430"/>
      <c r="W25" s="200" t="str">
        <f t="shared" si="3"/>
        <v>Small</v>
      </c>
      <c r="X25" s="198" t="str">
        <f t="shared" si="1"/>
        <v>DLC-BYOD-Water HeatingSmall</v>
      </c>
      <c r="Y25" s="157" t="b">
        <f>ISNUMBER(MATCH(X25,'ProCESS CSE'!W:W,0))</f>
        <v>0</v>
      </c>
      <c r="Z25" s="157"/>
      <c r="AA25" s="157"/>
      <c r="AB25" s="157"/>
      <c r="AC25" s="157"/>
      <c r="AD25" s="157"/>
      <c r="AE25" s="157"/>
      <c r="AF25" s="157"/>
      <c r="AG25" s="157"/>
      <c r="AH25" s="157"/>
      <c r="AI25" s="157"/>
      <c r="AJ25" s="157"/>
      <c r="AK25" s="157"/>
      <c r="AL25" s="157"/>
      <c r="AM25" s="157"/>
      <c r="AN25" s="157"/>
      <c r="AO25" s="157"/>
      <c r="AP25" s="157"/>
    </row>
    <row r="26" spans="1:42" ht="14.4" x14ac:dyDescent="0.25">
      <c r="A26" s="225" t="str">
        <f>'Participation Assumptions'!B27</f>
        <v>DLC-BYOD-Water Heating</v>
      </c>
      <c r="B26" s="225" t="s">
        <v>397</v>
      </c>
      <c r="C26" s="225" t="str">
        <f>'Participation Assumptions'!C27</f>
        <v>Small Commercial</v>
      </c>
      <c r="D26" s="225" t="str">
        <f>'Participation Assumptions'!D27</f>
        <v>Services</v>
      </c>
      <c r="E26" s="330">
        <v>0.11</v>
      </c>
      <c r="F26" s="330">
        <v>0.11</v>
      </c>
      <c r="G26" s="330">
        <v>0.11</v>
      </c>
      <c r="H26" s="330">
        <v>0.11</v>
      </c>
      <c r="I26" s="330">
        <v>0.11</v>
      </c>
      <c r="J26" s="330">
        <v>0.11</v>
      </c>
      <c r="K26" s="330">
        <v>0.11</v>
      </c>
      <c r="L26" s="330">
        <v>0.11</v>
      </c>
      <c r="M26" s="330">
        <v>0.11</v>
      </c>
      <c r="N26" s="330">
        <v>0.11</v>
      </c>
      <c r="O26" s="330">
        <v>0.11</v>
      </c>
      <c r="P26" s="330">
        <v>0.11</v>
      </c>
      <c r="Q26" s="330">
        <v>0.11</v>
      </c>
      <c r="R26" s="330">
        <v>0.11</v>
      </c>
      <c r="S26" s="330">
        <v>0.11</v>
      </c>
      <c r="T26" s="330">
        <v>0.11</v>
      </c>
      <c r="U26" s="330">
        <v>0.11</v>
      </c>
      <c r="V26" s="430"/>
      <c r="W26" s="200" t="str">
        <f t="shared" si="3"/>
        <v>Small</v>
      </c>
      <c r="X26" s="198" t="str">
        <f t="shared" si="1"/>
        <v>DLC-BYOD-Water HeatingSmall</v>
      </c>
      <c r="Y26" s="157" t="b">
        <f>ISNUMBER(MATCH(X26,'ProCESS CSE'!W:W,0))</f>
        <v>0</v>
      </c>
      <c r="Z26" s="157"/>
      <c r="AA26" s="157"/>
      <c r="AB26" s="157"/>
      <c r="AC26" s="157"/>
      <c r="AD26" s="157"/>
      <c r="AE26" s="157"/>
      <c r="AF26" s="157"/>
      <c r="AG26" s="157"/>
      <c r="AH26" s="157"/>
      <c r="AI26" s="157"/>
      <c r="AJ26" s="157"/>
      <c r="AK26" s="157"/>
      <c r="AL26" s="157"/>
      <c r="AM26" s="157"/>
      <c r="AN26" s="157"/>
      <c r="AO26" s="157"/>
      <c r="AP26" s="157"/>
    </row>
    <row r="27" spans="1:42" ht="14.4" x14ac:dyDescent="0.25">
      <c r="A27" s="225" t="str">
        <f>'Participation Assumptions'!B28</f>
        <v>DLC-BYOD-Water Heating</v>
      </c>
      <c r="B27" s="225" t="s">
        <v>397</v>
      </c>
      <c r="C27" s="225" t="str">
        <f>'Participation Assumptions'!C28</f>
        <v>Small Industrial</v>
      </c>
      <c r="D27" s="225" t="str">
        <f>'Participation Assumptions'!D28</f>
        <v>Manufacturing</v>
      </c>
      <c r="E27" s="330">
        <v>0.11</v>
      </c>
      <c r="F27" s="330">
        <v>0.11</v>
      </c>
      <c r="G27" s="330">
        <v>0.11</v>
      </c>
      <c r="H27" s="330">
        <v>0.11</v>
      </c>
      <c r="I27" s="330">
        <v>0.11</v>
      </c>
      <c r="J27" s="330">
        <v>0.11</v>
      </c>
      <c r="K27" s="330">
        <v>0.11</v>
      </c>
      <c r="L27" s="330">
        <v>0.11</v>
      </c>
      <c r="M27" s="330">
        <v>0.11</v>
      </c>
      <c r="N27" s="330">
        <v>0.11</v>
      </c>
      <c r="O27" s="330">
        <v>0.11</v>
      </c>
      <c r="P27" s="330">
        <v>0.11</v>
      </c>
      <c r="Q27" s="330">
        <v>0.11</v>
      </c>
      <c r="R27" s="330">
        <v>0.11</v>
      </c>
      <c r="S27" s="330">
        <v>0.11</v>
      </c>
      <c r="T27" s="330">
        <v>0.11</v>
      </c>
      <c r="U27" s="330">
        <v>0.11</v>
      </c>
      <c r="V27" s="430"/>
      <c r="W27" s="200" t="str">
        <f t="shared" si="3"/>
        <v>Small</v>
      </c>
      <c r="X27" s="198" t="str">
        <f t="shared" si="1"/>
        <v>DLC-BYOD-Water HeatingSmall</v>
      </c>
      <c r="Y27" s="157" t="b">
        <f>ISNUMBER(MATCH(X27,'ProCESS CSE'!W:W,0))</f>
        <v>0</v>
      </c>
      <c r="Z27" s="157"/>
      <c r="AA27" s="157"/>
      <c r="AB27" s="157"/>
      <c r="AC27" s="157"/>
      <c r="AD27" s="157"/>
      <c r="AE27" s="157"/>
      <c r="AF27" s="157"/>
      <c r="AG27" s="157"/>
      <c r="AH27" s="157"/>
      <c r="AI27" s="157"/>
      <c r="AJ27" s="157"/>
      <c r="AK27" s="157"/>
      <c r="AL27" s="157"/>
      <c r="AM27" s="157"/>
      <c r="AN27" s="157"/>
      <c r="AO27" s="157"/>
      <c r="AP27" s="157"/>
    </row>
    <row r="28" spans="1:42" ht="14.4" x14ac:dyDescent="0.25">
      <c r="A28" s="225" t="str">
        <f>'Participation Assumptions'!B29</f>
        <v>DLC-BYOD-Water Heating</v>
      </c>
      <c r="B28" s="225" t="s">
        <v>397</v>
      </c>
      <c r="C28" s="225" t="str">
        <f>'Participation Assumptions'!C29</f>
        <v>Small Industrial</v>
      </c>
      <c r="D28" s="225" t="str">
        <f>'Participation Assumptions'!D29</f>
        <v>Miscellaneous</v>
      </c>
      <c r="E28" s="330">
        <v>0.11</v>
      </c>
      <c r="F28" s="330">
        <v>0.11</v>
      </c>
      <c r="G28" s="330">
        <v>0.11</v>
      </c>
      <c r="H28" s="330">
        <v>0.11</v>
      </c>
      <c r="I28" s="330">
        <v>0.11</v>
      </c>
      <c r="J28" s="330">
        <v>0.11</v>
      </c>
      <c r="K28" s="330">
        <v>0.11</v>
      </c>
      <c r="L28" s="330">
        <v>0.11</v>
      </c>
      <c r="M28" s="330">
        <v>0.11</v>
      </c>
      <c r="N28" s="330">
        <v>0.11</v>
      </c>
      <c r="O28" s="330">
        <v>0.11</v>
      </c>
      <c r="P28" s="330">
        <v>0.11</v>
      </c>
      <c r="Q28" s="330">
        <v>0.11</v>
      </c>
      <c r="R28" s="330">
        <v>0.11</v>
      </c>
      <c r="S28" s="330">
        <v>0.11</v>
      </c>
      <c r="T28" s="330">
        <v>0.11</v>
      </c>
      <c r="U28" s="330">
        <v>0.11</v>
      </c>
      <c r="V28" s="430"/>
      <c r="W28" s="200" t="str">
        <f t="shared" si="3"/>
        <v>Small</v>
      </c>
      <c r="X28" s="198" t="str">
        <f t="shared" si="1"/>
        <v>DLC-BYOD-Water HeatingSmall</v>
      </c>
      <c r="Y28" s="157" t="b">
        <f>ISNUMBER(MATCH(X28,'ProCESS CSE'!W:W,0))</f>
        <v>0</v>
      </c>
      <c r="Z28" s="157"/>
      <c r="AA28" s="157"/>
      <c r="AB28" s="157"/>
      <c r="AC28" s="157"/>
      <c r="AD28" s="157"/>
      <c r="AE28" s="157"/>
      <c r="AF28" s="157"/>
      <c r="AG28" s="157"/>
      <c r="AH28" s="157"/>
      <c r="AI28" s="157"/>
      <c r="AJ28" s="157"/>
      <c r="AK28" s="157"/>
      <c r="AL28" s="157"/>
      <c r="AM28" s="157"/>
      <c r="AN28" s="157"/>
      <c r="AO28" s="157"/>
      <c r="AP28" s="157"/>
    </row>
    <row r="29" spans="1:42" ht="14.4" x14ac:dyDescent="0.25">
      <c r="A29" s="225" t="str">
        <f>'Participation Assumptions'!B30</f>
        <v>DLC-BYOD-Water Heating</v>
      </c>
      <c r="B29" s="225" t="s">
        <v>397</v>
      </c>
      <c r="C29" s="225" t="str">
        <f>'Participation Assumptions'!C30</f>
        <v>Small Industrial</v>
      </c>
      <c r="D29" s="225" t="str">
        <f>'Participation Assumptions'!D30</f>
        <v>Offices</v>
      </c>
      <c r="E29" s="330">
        <v>0.11</v>
      </c>
      <c r="F29" s="330">
        <v>0.11</v>
      </c>
      <c r="G29" s="330">
        <v>0.11</v>
      </c>
      <c r="H29" s="330">
        <v>0.11</v>
      </c>
      <c r="I29" s="330">
        <v>0.11</v>
      </c>
      <c r="J29" s="330">
        <v>0.11</v>
      </c>
      <c r="K29" s="330">
        <v>0.11</v>
      </c>
      <c r="L29" s="330">
        <v>0.11</v>
      </c>
      <c r="M29" s="330">
        <v>0.11</v>
      </c>
      <c r="N29" s="330">
        <v>0.11</v>
      </c>
      <c r="O29" s="330">
        <v>0.11</v>
      </c>
      <c r="P29" s="330">
        <v>0.11</v>
      </c>
      <c r="Q29" s="330">
        <v>0.11</v>
      </c>
      <c r="R29" s="330">
        <v>0.11</v>
      </c>
      <c r="S29" s="330">
        <v>0.11</v>
      </c>
      <c r="T29" s="330">
        <v>0.11</v>
      </c>
      <c r="U29" s="330">
        <v>0.11</v>
      </c>
      <c r="V29" s="430"/>
      <c r="W29" s="200" t="str">
        <f t="shared" si="3"/>
        <v>Small</v>
      </c>
      <c r="X29" s="198" t="str">
        <f t="shared" si="1"/>
        <v>DLC-BYOD-Water HeatingSmall</v>
      </c>
      <c r="Y29" s="157" t="b">
        <f>ISNUMBER(MATCH(X29,'ProCESS CSE'!W:W,0))</f>
        <v>0</v>
      </c>
      <c r="Z29" s="157"/>
      <c r="AA29" s="157"/>
      <c r="AB29" s="157"/>
      <c r="AC29" s="157"/>
      <c r="AD29" s="157"/>
      <c r="AE29" s="157"/>
      <c r="AF29" s="157"/>
      <c r="AG29" s="157"/>
      <c r="AH29" s="157"/>
      <c r="AI29" s="157"/>
      <c r="AJ29" s="157"/>
      <c r="AK29" s="157"/>
      <c r="AL29" s="157"/>
      <c r="AM29" s="157"/>
      <c r="AN29" s="157"/>
      <c r="AO29" s="157"/>
      <c r="AP29" s="157"/>
    </row>
    <row r="30" spans="1:42" ht="14.4" x14ac:dyDescent="0.25">
      <c r="A30" s="225" t="str">
        <f>'Participation Assumptions'!B31</f>
        <v>DLC-BYOD-Water Heating</v>
      </c>
      <c r="B30" s="225" t="s">
        <v>397</v>
      </c>
      <c r="C30" s="225" t="str">
        <f>'Participation Assumptions'!C31</f>
        <v>Small Industrial</v>
      </c>
      <c r="D30" s="225" t="str">
        <f>'Participation Assumptions'!D31</f>
        <v>Retail Trade</v>
      </c>
      <c r="E30" s="330">
        <v>0.11</v>
      </c>
      <c r="F30" s="330">
        <v>0.11</v>
      </c>
      <c r="G30" s="330">
        <v>0.11</v>
      </c>
      <c r="H30" s="330">
        <v>0.11</v>
      </c>
      <c r="I30" s="330">
        <v>0.11</v>
      </c>
      <c r="J30" s="330">
        <v>0.11</v>
      </c>
      <c r="K30" s="330">
        <v>0.11</v>
      </c>
      <c r="L30" s="330">
        <v>0.11</v>
      </c>
      <c r="M30" s="330">
        <v>0.11</v>
      </c>
      <c r="N30" s="330">
        <v>0.11</v>
      </c>
      <c r="O30" s="330">
        <v>0.11</v>
      </c>
      <c r="P30" s="330">
        <v>0.11</v>
      </c>
      <c r="Q30" s="330">
        <v>0.11</v>
      </c>
      <c r="R30" s="330">
        <v>0.11</v>
      </c>
      <c r="S30" s="330">
        <v>0.11</v>
      </c>
      <c r="T30" s="330">
        <v>0.11</v>
      </c>
      <c r="U30" s="330">
        <v>0.11</v>
      </c>
      <c r="V30" s="430"/>
      <c r="W30" s="200" t="str">
        <f t="shared" si="3"/>
        <v>Small</v>
      </c>
      <c r="X30" s="198" t="str">
        <f t="shared" si="1"/>
        <v>DLC-BYOD-Water HeatingSmall</v>
      </c>
      <c r="Y30" s="157" t="b">
        <f>ISNUMBER(MATCH(X30,'ProCESS CSE'!W:W,0))</f>
        <v>0</v>
      </c>
      <c r="Z30" s="157"/>
      <c r="AA30" s="157"/>
      <c r="AB30" s="157"/>
      <c r="AC30" s="157"/>
      <c r="AD30" s="157"/>
      <c r="AE30" s="157"/>
      <c r="AF30" s="157"/>
      <c r="AG30" s="157"/>
      <c r="AH30" s="157"/>
      <c r="AI30" s="157"/>
      <c r="AJ30" s="157"/>
      <c r="AK30" s="157"/>
      <c r="AL30" s="157"/>
      <c r="AM30" s="157"/>
      <c r="AN30" s="157"/>
      <c r="AO30" s="157"/>
      <c r="AP30" s="157"/>
    </row>
    <row r="31" spans="1:42" ht="14.4" x14ac:dyDescent="0.25">
      <c r="A31" s="225" t="str">
        <f>'Participation Assumptions'!B32</f>
        <v>DLC-BYOD-Water Heating</v>
      </c>
      <c r="B31" s="225" t="s">
        <v>397</v>
      </c>
      <c r="C31" s="225" t="str">
        <f>'Participation Assumptions'!C32</f>
        <v>Small Industrial</v>
      </c>
      <c r="D31" s="225" t="str">
        <f>'Participation Assumptions'!D32</f>
        <v>Services</v>
      </c>
      <c r="E31" s="330">
        <v>0.11</v>
      </c>
      <c r="F31" s="330">
        <v>0.11</v>
      </c>
      <c r="G31" s="330">
        <v>0.11</v>
      </c>
      <c r="H31" s="330">
        <v>0.11</v>
      </c>
      <c r="I31" s="330">
        <v>0.11</v>
      </c>
      <c r="J31" s="330">
        <v>0.11</v>
      </c>
      <c r="K31" s="330">
        <v>0.11</v>
      </c>
      <c r="L31" s="330">
        <v>0.11</v>
      </c>
      <c r="M31" s="330">
        <v>0.11</v>
      </c>
      <c r="N31" s="330">
        <v>0.11</v>
      </c>
      <c r="O31" s="330">
        <v>0.11</v>
      </c>
      <c r="P31" s="330">
        <v>0.11</v>
      </c>
      <c r="Q31" s="330">
        <v>0.11</v>
      </c>
      <c r="R31" s="330">
        <v>0.11</v>
      </c>
      <c r="S31" s="330">
        <v>0.11</v>
      </c>
      <c r="T31" s="330">
        <v>0.11</v>
      </c>
      <c r="U31" s="330">
        <v>0.11</v>
      </c>
      <c r="V31" s="430"/>
      <c r="W31" s="200" t="str">
        <f t="shared" si="3"/>
        <v>Small</v>
      </c>
      <c r="X31" s="198" t="str">
        <f t="shared" si="1"/>
        <v>DLC-BYOD-Water HeatingSmall</v>
      </c>
      <c r="Y31" s="157" t="b">
        <f>ISNUMBER(MATCH(X31,'ProCESS CSE'!W:W,0))</f>
        <v>0</v>
      </c>
      <c r="Z31" s="157"/>
      <c r="AA31" s="157"/>
      <c r="AB31" s="157"/>
      <c r="AC31" s="157"/>
      <c r="AD31" s="157"/>
      <c r="AE31" s="157"/>
      <c r="AF31" s="157"/>
      <c r="AG31" s="157"/>
      <c r="AH31" s="157"/>
      <c r="AI31" s="157"/>
      <c r="AJ31" s="157"/>
      <c r="AK31" s="157"/>
      <c r="AL31" s="157"/>
      <c r="AM31" s="157"/>
      <c r="AN31" s="157"/>
      <c r="AO31" s="157"/>
      <c r="AP31" s="157"/>
    </row>
    <row r="32" spans="1:42" ht="14.4" x14ac:dyDescent="0.25">
      <c r="A32" s="225" t="str">
        <f>'Participation Assumptions'!B33</f>
        <v>DLC-Thermostat-DI-Baseboard Heating</v>
      </c>
      <c r="B32" s="225" t="s">
        <v>397</v>
      </c>
      <c r="C32" s="225" t="str">
        <f>'Participation Assumptions'!C33</f>
        <v>Residential</v>
      </c>
      <c r="D32" s="225" t="str">
        <f>'Participation Assumptions'!D33</f>
        <v>Residential Market Rate</v>
      </c>
      <c r="E32" s="330">
        <f>IFERROR((F32/G32)*F32,0)</f>
        <v>3.143833604542701E-3</v>
      </c>
      <c r="F32" s="330">
        <f>IFERROR((G32/H32)*G32,0)</f>
        <v>5.1350809643914645E-3</v>
      </c>
      <c r="G32" s="330">
        <f>AVERAGEIF('ProCESS CSE'!$W:$W,'Control Strategy Eligibility'!$X32,'ProCESS CSE'!P:P)</f>
        <v>8.3875483972031626E-3</v>
      </c>
      <c r="H32" s="330">
        <f>AVERAGEIF('ProCESS CSE'!$W:$W,'Control Strategy Eligibility'!$X32,'ProCESS CSE'!Q:Q)</f>
        <v>1.3700069892425216E-2</v>
      </c>
      <c r="I32" s="330">
        <f>AVERAGEIF('ProCESS CSE'!$W:$W,'Control Strategy Eligibility'!$X32,'ProCESS CSE'!R:R)</f>
        <v>2.8075174990846767E-2</v>
      </c>
      <c r="J32" s="330">
        <f>IFERROR(MIN(1,(I32/H32)*I32),0)</f>
        <v>5.7533680992567268E-2</v>
      </c>
      <c r="K32" s="330">
        <f t="shared" ref="K32:U32" si="16">IFERROR(MIN(1,(J32/I32)*J32),0)</f>
        <v>0.11790218403389052</v>
      </c>
      <c r="L32" s="330">
        <f t="shared" si="16"/>
        <v>0.24161369062683891</v>
      </c>
      <c r="M32" s="330">
        <f t="shared" si="16"/>
        <v>0.49513226558671325</v>
      </c>
      <c r="N32" s="330">
        <f t="shared" si="16"/>
        <v>1</v>
      </c>
      <c r="O32" s="330">
        <f t="shared" si="16"/>
        <v>1</v>
      </c>
      <c r="P32" s="330">
        <f t="shared" si="16"/>
        <v>1</v>
      </c>
      <c r="Q32" s="330">
        <f t="shared" si="16"/>
        <v>1</v>
      </c>
      <c r="R32" s="330">
        <f t="shared" si="16"/>
        <v>1</v>
      </c>
      <c r="S32" s="330">
        <f t="shared" si="16"/>
        <v>1</v>
      </c>
      <c r="T32" s="330">
        <f t="shared" si="16"/>
        <v>1</v>
      </c>
      <c r="U32" s="330">
        <f t="shared" si="16"/>
        <v>1</v>
      </c>
      <c r="V32" s="328" t="s">
        <v>550</v>
      </c>
      <c r="W32" s="200" t="str">
        <f t="shared" si="3"/>
        <v>Residential</v>
      </c>
      <c r="X32" s="198" t="str">
        <f t="shared" si="1"/>
        <v>DLC-Thermostat-DI-Baseboard HeatingResidential</v>
      </c>
      <c r="Y32" s="157" t="b">
        <f>ISNUMBER(MATCH(X32,'ProCESS CSE'!W:W,0))</f>
        <v>1</v>
      </c>
      <c r="Z32" s="157"/>
      <c r="AA32" s="157"/>
      <c r="AB32" s="157"/>
      <c r="AC32" s="157"/>
      <c r="AD32" s="157"/>
      <c r="AE32" s="157"/>
      <c r="AF32" s="157"/>
      <c r="AG32" s="157"/>
      <c r="AH32" s="157"/>
      <c r="AI32" s="157"/>
      <c r="AJ32" s="157"/>
      <c r="AK32" s="157"/>
      <c r="AL32" s="157"/>
      <c r="AM32" s="157"/>
      <c r="AN32" s="157"/>
      <c r="AO32" s="157"/>
      <c r="AP32" s="157"/>
    </row>
    <row r="33" spans="1:42" ht="100.5" customHeight="1" x14ac:dyDescent="0.25">
      <c r="A33" s="225" t="str">
        <f>'Participation Assumptions'!B34</f>
        <v>DLC-Thermostat-BYOT-Baseboard Heating</v>
      </c>
      <c r="B33" s="225" t="s">
        <v>397</v>
      </c>
      <c r="C33" s="225" t="str">
        <f>'Participation Assumptions'!C34</f>
        <v>Residential</v>
      </c>
      <c r="D33" s="225" t="str">
        <f>'Participation Assumptions'!D34</f>
        <v>Residential Market Rate</v>
      </c>
      <c r="E33" s="330">
        <v>0.09</v>
      </c>
      <c r="F33" s="330">
        <v>0.09</v>
      </c>
      <c r="G33" s="330">
        <v>0.09</v>
      </c>
      <c r="H33" s="330">
        <v>0.09</v>
      </c>
      <c r="I33" s="330">
        <v>0.09</v>
      </c>
      <c r="J33" s="330">
        <v>0.09</v>
      </c>
      <c r="K33" s="330">
        <v>0.09</v>
      </c>
      <c r="L33" s="330">
        <v>0.09</v>
      </c>
      <c r="M33" s="330">
        <v>0.09</v>
      </c>
      <c r="N33" s="330">
        <v>0.09</v>
      </c>
      <c r="O33" s="330">
        <v>0.09</v>
      </c>
      <c r="P33" s="330">
        <v>0.09</v>
      </c>
      <c r="Q33" s="330">
        <v>0.09</v>
      </c>
      <c r="R33" s="330">
        <v>0.09</v>
      </c>
      <c r="S33" s="330">
        <v>0.09</v>
      </c>
      <c r="T33" s="330">
        <v>0.09</v>
      </c>
      <c r="U33" s="330">
        <v>0.09</v>
      </c>
      <c r="V33" s="328"/>
      <c r="W33" s="200" t="str">
        <f t="shared" si="3"/>
        <v>Residential</v>
      </c>
      <c r="X33" s="198" t="str">
        <f t="shared" si="1"/>
        <v>DLC-Thermostat-BYOT-Baseboard HeatingResidential</v>
      </c>
      <c r="Y33" s="157" t="b">
        <f>ISNUMBER(MATCH(X33,'ProCESS CSE'!W:W,0))</f>
        <v>1</v>
      </c>
      <c r="Z33" s="157"/>
      <c r="AA33" s="157"/>
      <c r="AB33" s="157"/>
      <c r="AC33" s="157"/>
      <c r="AD33" s="157"/>
      <c r="AE33" s="157"/>
      <c r="AF33" s="157"/>
      <c r="AG33" s="157"/>
      <c r="AH33" s="157"/>
      <c r="AI33" s="157"/>
      <c r="AJ33" s="157"/>
      <c r="AK33" s="157"/>
      <c r="AL33" s="157"/>
      <c r="AM33" s="157"/>
      <c r="AN33" s="157"/>
      <c r="AO33" s="157"/>
      <c r="AP33" s="157"/>
    </row>
    <row r="34" spans="1:42" ht="22.5" customHeight="1" x14ac:dyDescent="0.25">
      <c r="A34" s="225" t="str">
        <f>'Participation Assumptions'!B35</f>
        <v>DLC-Thermostat-DI-Baseboard Heating</v>
      </c>
      <c r="B34" s="225" t="s">
        <v>397</v>
      </c>
      <c r="C34" s="225" t="str">
        <f>'Participation Assumptions'!C35</f>
        <v>Residential</v>
      </c>
      <c r="D34" s="225" t="str">
        <f>'Participation Assumptions'!D35</f>
        <v>Residential LI</v>
      </c>
      <c r="E34" s="330">
        <f>IFERROR((F34/G34)*F34,0)</f>
        <v>3.143833604542701E-3</v>
      </c>
      <c r="F34" s="330">
        <f>IFERROR((G34/H34)*G34,0)</f>
        <v>5.1350809643914645E-3</v>
      </c>
      <c r="G34" s="330">
        <f>AVERAGEIF('ProCESS CSE'!$W:$W,'Control Strategy Eligibility'!$X34,'ProCESS CSE'!P:P)</f>
        <v>8.3875483972031626E-3</v>
      </c>
      <c r="H34" s="330">
        <f>AVERAGEIF('ProCESS CSE'!$W:$W,'Control Strategy Eligibility'!$X34,'ProCESS CSE'!Q:Q)</f>
        <v>1.3700069892425216E-2</v>
      </c>
      <c r="I34" s="330">
        <f>AVERAGEIF('ProCESS CSE'!$W:$W,'Control Strategy Eligibility'!$X34,'ProCESS CSE'!R:R)</f>
        <v>2.8075174990846767E-2</v>
      </c>
      <c r="J34" s="330">
        <f>IFERROR(MIN(1,(I34/H34)*I34),0)</f>
        <v>5.7533680992567268E-2</v>
      </c>
      <c r="K34" s="330">
        <f t="shared" ref="K34:U34" si="17">IFERROR(MIN(1,(J34/I34)*J34),0)</f>
        <v>0.11790218403389052</v>
      </c>
      <c r="L34" s="330">
        <f t="shared" si="17"/>
        <v>0.24161369062683891</v>
      </c>
      <c r="M34" s="330">
        <f t="shared" si="17"/>
        <v>0.49513226558671325</v>
      </c>
      <c r="N34" s="330">
        <f t="shared" si="17"/>
        <v>1</v>
      </c>
      <c r="O34" s="330">
        <f t="shared" si="17"/>
        <v>1</v>
      </c>
      <c r="P34" s="330">
        <f t="shared" si="17"/>
        <v>1</v>
      </c>
      <c r="Q34" s="330">
        <f t="shared" si="17"/>
        <v>1</v>
      </c>
      <c r="R34" s="330">
        <f t="shared" si="17"/>
        <v>1</v>
      </c>
      <c r="S34" s="330">
        <f t="shared" si="17"/>
        <v>1</v>
      </c>
      <c r="T34" s="330">
        <f t="shared" si="17"/>
        <v>1</v>
      </c>
      <c r="U34" s="330">
        <f t="shared" si="17"/>
        <v>1</v>
      </c>
      <c r="V34" s="328" t="s">
        <v>550</v>
      </c>
      <c r="W34" s="200" t="str">
        <f t="shared" si="3"/>
        <v>Residential</v>
      </c>
      <c r="X34" s="198" t="str">
        <f t="shared" si="1"/>
        <v>DLC-Thermostat-DI-Baseboard HeatingResidential</v>
      </c>
      <c r="Y34" s="157" t="b">
        <f>ISNUMBER(MATCH(X34,'ProCESS CSE'!W:W,0))</f>
        <v>1</v>
      </c>
      <c r="Z34" s="157"/>
      <c r="AA34" s="157"/>
      <c r="AB34" s="157"/>
      <c r="AC34" s="157"/>
      <c r="AD34" s="157"/>
      <c r="AE34" s="157"/>
      <c r="AF34" s="157"/>
      <c r="AG34" s="157"/>
      <c r="AH34" s="157"/>
      <c r="AI34" s="157"/>
      <c r="AJ34" s="157"/>
      <c r="AK34" s="157"/>
      <c r="AL34" s="157"/>
      <c r="AM34" s="157"/>
      <c r="AN34" s="157"/>
      <c r="AO34" s="157"/>
      <c r="AP34" s="157"/>
    </row>
    <row r="35" spans="1:42" ht="14.4" x14ac:dyDescent="0.25">
      <c r="A35" s="225" t="str">
        <f>'Participation Assumptions'!B36</f>
        <v>DLC-Thermostat-BYOT-Baseboard Heating</v>
      </c>
      <c r="B35" s="225" t="s">
        <v>397</v>
      </c>
      <c r="C35" s="225" t="str">
        <f>'Participation Assumptions'!C36</f>
        <v>Residential</v>
      </c>
      <c r="D35" s="225" t="str">
        <f>'Participation Assumptions'!D36</f>
        <v>Residential LI</v>
      </c>
      <c r="E35" s="330">
        <v>0.09</v>
      </c>
      <c r="F35" s="330">
        <v>0.09</v>
      </c>
      <c r="G35" s="330">
        <v>0.09</v>
      </c>
      <c r="H35" s="330">
        <v>0.09</v>
      </c>
      <c r="I35" s="330">
        <v>0.09</v>
      </c>
      <c r="J35" s="330">
        <v>0.09</v>
      </c>
      <c r="K35" s="330">
        <v>0.09</v>
      </c>
      <c r="L35" s="330">
        <v>0.09</v>
      </c>
      <c r="M35" s="330">
        <v>0.09</v>
      </c>
      <c r="N35" s="330">
        <v>0.09</v>
      </c>
      <c r="O35" s="330">
        <v>0.09</v>
      </c>
      <c r="P35" s="330">
        <v>0.09</v>
      </c>
      <c r="Q35" s="330">
        <v>0.09</v>
      </c>
      <c r="R35" s="330">
        <v>0.09</v>
      </c>
      <c r="S35" s="330">
        <v>0.09</v>
      </c>
      <c r="T35" s="330">
        <v>0.09</v>
      </c>
      <c r="U35" s="330">
        <v>0.09</v>
      </c>
      <c r="V35" s="328"/>
      <c r="W35" s="200" t="str">
        <f t="shared" si="3"/>
        <v>Residential</v>
      </c>
      <c r="X35" s="198" t="str">
        <f t="shared" si="1"/>
        <v>DLC-Thermostat-BYOT-Baseboard HeatingResidential</v>
      </c>
      <c r="Y35" s="157" t="b">
        <f>ISNUMBER(MATCH(X35,'ProCESS CSE'!W:W,0))</f>
        <v>1</v>
      </c>
      <c r="Z35" s="157"/>
      <c r="AA35" s="157"/>
      <c r="AB35" s="157"/>
      <c r="AC35" s="157"/>
      <c r="AD35" s="157"/>
      <c r="AE35" s="157"/>
      <c r="AF35" s="157"/>
      <c r="AG35" s="157"/>
      <c r="AH35" s="157"/>
      <c r="AI35" s="157"/>
      <c r="AJ35" s="157"/>
      <c r="AK35" s="157"/>
      <c r="AL35" s="157"/>
      <c r="AM35" s="157"/>
      <c r="AN35" s="157"/>
      <c r="AO35" s="157"/>
      <c r="AP35" s="157"/>
    </row>
    <row r="36" spans="1:42" ht="14.4" x14ac:dyDescent="0.25">
      <c r="A36" s="225" t="str">
        <f>'Participation Assumptions'!B37</f>
        <v>DLC-Thermostat-DI-MSHP</v>
      </c>
      <c r="B36" s="225" t="s">
        <v>397</v>
      </c>
      <c r="C36" s="225" t="str">
        <f>'Participation Assumptions'!C37</f>
        <v>Residential</v>
      </c>
      <c r="D36" s="225" t="str">
        <f>'Participation Assumptions'!D37</f>
        <v>Residential Market Rate</v>
      </c>
      <c r="E36" s="330">
        <f>IFERROR((F36/G36)*F36,0)</f>
        <v>5.4568981145775095E-4</v>
      </c>
      <c r="F36" s="330">
        <f>IFERROR((G36/H36)*G36,0)</f>
        <v>8.0383065333481741E-4</v>
      </c>
      <c r="G36" s="330">
        <f>AVERAGEIF('ProCESS CSE'!$W:$W,'Control Strategy Eligibility'!$X36,'ProCESS CSE'!P:P)</f>
        <v>1.1840860974013363E-3</v>
      </c>
      <c r="H36" s="330">
        <f>AVERAGEIF('ProCESS CSE'!$W:$W,'Control Strategy Eligibility'!$X36,'ProCESS CSE'!Q:Q)</f>
        <v>1.7442229656737546E-3</v>
      </c>
      <c r="I36" s="330">
        <f>AVERAGEIF('ProCESS CSE'!$W:$W,'Control Strategy Eligibility'!$X36,'ProCESS CSE'!R:R)</f>
        <v>3.2276852969450542E-3</v>
      </c>
      <c r="J36" s="330">
        <f>IFERROR(MIN(1,(I36/H36)*I36),0)</f>
        <v>5.9728329354332629E-3</v>
      </c>
      <c r="K36" s="330">
        <f t="shared" ref="K36:U36" si="18">IFERROR(MIN(1,(J36/I36)*J36),0)</f>
        <v>1.1052729740523903E-2</v>
      </c>
      <c r="L36" s="330">
        <f t="shared" si="18"/>
        <v>2.0453080814020797E-2</v>
      </c>
      <c r="M36" s="330">
        <f t="shared" si="18"/>
        <v>3.7848434242547281E-2</v>
      </c>
      <c r="N36" s="330">
        <f t="shared" si="18"/>
        <v>7.0038542732908451E-2</v>
      </c>
      <c r="O36" s="330">
        <f t="shared" si="18"/>
        <v>0.12960635139392493</v>
      </c>
      <c r="P36" s="330">
        <f t="shared" si="18"/>
        <v>0.23983660519185668</v>
      </c>
      <c r="Q36" s="330">
        <f t="shared" si="18"/>
        <v>0.44381773401770769</v>
      </c>
      <c r="R36" s="330">
        <f t="shared" si="18"/>
        <v>0.82128489465168897</v>
      </c>
      <c r="S36" s="330">
        <f t="shared" si="18"/>
        <v>1</v>
      </c>
      <c r="T36" s="330">
        <f t="shared" si="18"/>
        <v>1</v>
      </c>
      <c r="U36" s="330">
        <f t="shared" si="18"/>
        <v>1</v>
      </c>
      <c r="V36" s="328" t="s">
        <v>550</v>
      </c>
      <c r="W36" s="200" t="str">
        <f t="shared" si="3"/>
        <v>Residential</v>
      </c>
      <c r="X36" s="198" t="str">
        <f t="shared" si="1"/>
        <v>DLC-Thermostat-DI-MSHPResidential</v>
      </c>
      <c r="Y36" s="157" t="b">
        <f>ISNUMBER(MATCH(X36,'ProCESS CSE'!W:W,0))</f>
        <v>1</v>
      </c>
      <c r="Z36" s="157"/>
      <c r="AA36" s="157"/>
      <c r="AB36" s="157"/>
      <c r="AC36" s="157"/>
      <c r="AD36" s="157"/>
      <c r="AE36" s="157"/>
      <c r="AF36" s="157"/>
      <c r="AG36" s="157"/>
      <c r="AH36" s="157"/>
      <c r="AI36" s="157"/>
      <c r="AJ36" s="157"/>
      <c r="AK36" s="157"/>
      <c r="AL36" s="157"/>
      <c r="AM36" s="157"/>
      <c r="AN36" s="157"/>
      <c r="AO36" s="157"/>
      <c r="AP36" s="157"/>
    </row>
    <row r="37" spans="1:42" ht="14.4" x14ac:dyDescent="0.25">
      <c r="A37" s="225" t="str">
        <f>'Participation Assumptions'!B38</f>
        <v>DLC-Thermostat-BYOT-MSHP</v>
      </c>
      <c r="B37" s="225" t="s">
        <v>397</v>
      </c>
      <c r="C37" s="225" t="str">
        <f>'Participation Assumptions'!C38</f>
        <v>Residential</v>
      </c>
      <c r="D37" s="225" t="str">
        <f>'Participation Assumptions'!D38</f>
        <v>Residential Market Rate</v>
      </c>
      <c r="E37" s="330">
        <v>0.09</v>
      </c>
      <c r="F37" s="330">
        <v>0.09</v>
      </c>
      <c r="G37" s="330">
        <v>0.09</v>
      </c>
      <c r="H37" s="330">
        <v>0.09</v>
      </c>
      <c r="I37" s="330">
        <v>0.09</v>
      </c>
      <c r="J37" s="330">
        <v>0.09</v>
      </c>
      <c r="K37" s="330">
        <v>0.09</v>
      </c>
      <c r="L37" s="330">
        <v>0.09</v>
      </c>
      <c r="M37" s="330">
        <v>0.09</v>
      </c>
      <c r="N37" s="330">
        <v>0.09</v>
      </c>
      <c r="O37" s="330">
        <v>0.09</v>
      </c>
      <c r="P37" s="330">
        <v>0.09</v>
      </c>
      <c r="Q37" s="330">
        <v>0.09</v>
      </c>
      <c r="R37" s="330">
        <v>0.09</v>
      </c>
      <c r="S37" s="330">
        <v>0.09</v>
      </c>
      <c r="T37" s="330">
        <v>0.09</v>
      </c>
      <c r="U37" s="330">
        <v>0.09</v>
      </c>
      <c r="V37" s="328"/>
      <c r="W37" s="200" t="str">
        <f t="shared" si="3"/>
        <v>Residential</v>
      </c>
      <c r="X37" s="198" t="str">
        <f t="shared" si="1"/>
        <v>DLC-Thermostat-BYOT-MSHPResidential</v>
      </c>
      <c r="Y37" s="157" t="b">
        <f>ISNUMBER(MATCH(X37,'ProCESS CSE'!W:W,0))</f>
        <v>1</v>
      </c>
      <c r="Z37" s="157"/>
      <c r="AA37" s="157"/>
      <c r="AB37" s="157"/>
      <c r="AC37" s="157"/>
      <c r="AD37" s="157"/>
      <c r="AE37" s="157"/>
      <c r="AF37" s="157"/>
      <c r="AG37" s="157"/>
      <c r="AH37" s="157"/>
      <c r="AI37" s="157"/>
      <c r="AJ37" s="157"/>
      <c r="AK37" s="157"/>
      <c r="AL37" s="157"/>
      <c r="AM37" s="157"/>
      <c r="AN37" s="157"/>
      <c r="AO37" s="157"/>
      <c r="AP37" s="157"/>
    </row>
    <row r="38" spans="1:42" ht="14.4" x14ac:dyDescent="0.25">
      <c r="A38" s="225" t="str">
        <f>'Participation Assumptions'!B39</f>
        <v>DLC-Thermostat-DI-MSHP</v>
      </c>
      <c r="B38" s="225" t="s">
        <v>397</v>
      </c>
      <c r="C38" s="225" t="str">
        <f>'Participation Assumptions'!C39</f>
        <v>Residential</v>
      </c>
      <c r="D38" s="225" t="str">
        <f>'Participation Assumptions'!D39</f>
        <v>Residential LI</v>
      </c>
      <c r="E38" s="330">
        <f>IFERROR((F38/G38)*F38,0)</f>
        <v>5.4568981145775095E-4</v>
      </c>
      <c r="F38" s="330">
        <f>IFERROR((G38/H38)*G38,0)</f>
        <v>8.0383065333481741E-4</v>
      </c>
      <c r="G38" s="330">
        <f>AVERAGEIF('ProCESS CSE'!$W:$W,'Control Strategy Eligibility'!$X38,'ProCESS CSE'!P:P)</f>
        <v>1.1840860974013363E-3</v>
      </c>
      <c r="H38" s="330">
        <f>AVERAGEIF('ProCESS CSE'!$W:$W,'Control Strategy Eligibility'!$X38,'ProCESS CSE'!Q:Q)</f>
        <v>1.7442229656737546E-3</v>
      </c>
      <c r="I38" s="330">
        <f>AVERAGEIF('ProCESS CSE'!$W:$W,'Control Strategy Eligibility'!$X38,'ProCESS CSE'!R:R)</f>
        <v>3.2276852969450542E-3</v>
      </c>
      <c r="J38" s="330">
        <f>IFERROR(MIN(1,(I38/H38)*I38),0)</f>
        <v>5.9728329354332629E-3</v>
      </c>
      <c r="K38" s="330">
        <f t="shared" ref="K38:U38" si="19">IFERROR(MIN(1,(J38/I38)*J38),0)</f>
        <v>1.1052729740523903E-2</v>
      </c>
      <c r="L38" s="330">
        <f t="shared" si="19"/>
        <v>2.0453080814020797E-2</v>
      </c>
      <c r="M38" s="330">
        <f t="shared" si="19"/>
        <v>3.7848434242547281E-2</v>
      </c>
      <c r="N38" s="330">
        <f t="shared" si="19"/>
        <v>7.0038542732908451E-2</v>
      </c>
      <c r="O38" s="330">
        <f t="shared" si="19"/>
        <v>0.12960635139392493</v>
      </c>
      <c r="P38" s="330">
        <f t="shared" si="19"/>
        <v>0.23983660519185668</v>
      </c>
      <c r="Q38" s="330">
        <f t="shared" si="19"/>
        <v>0.44381773401770769</v>
      </c>
      <c r="R38" s="330">
        <f t="shared" si="19"/>
        <v>0.82128489465168897</v>
      </c>
      <c r="S38" s="330">
        <f t="shared" si="19"/>
        <v>1</v>
      </c>
      <c r="T38" s="330">
        <f t="shared" si="19"/>
        <v>1</v>
      </c>
      <c r="U38" s="330">
        <f t="shared" si="19"/>
        <v>1</v>
      </c>
      <c r="V38" s="328" t="s">
        <v>550</v>
      </c>
      <c r="W38" s="200" t="str">
        <f t="shared" si="3"/>
        <v>Residential</v>
      </c>
      <c r="X38" s="198" t="str">
        <f t="shared" si="1"/>
        <v>DLC-Thermostat-DI-MSHPResidential</v>
      </c>
      <c r="Y38" s="157" t="b">
        <f>ISNUMBER(MATCH(X38,'ProCESS CSE'!W:W,0))</f>
        <v>1</v>
      </c>
      <c r="Z38" s="157"/>
      <c r="AA38" s="157"/>
      <c r="AB38" s="157"/>
      <c r="AC38" s="157"/>
      <c r="AD38" s="157"/>
      <c r="AE38" s="157"/>
      <c r="AF38" s="157"/>
      <c r="AG38" s="157"/>
      <c r="AH38" s="157"/>
      <c r="AI38" s="157"/>
      <c r="AJ38" s="157"/>
      <c r="AK38" s="157"/>
      <c r="AL38" s="157"/>
      <c r="AM38" s="157"/>
      <c r="AN38" s="157"/>
      <c r="AO38" s="157"/>
      <c r="AP38" s="157"/>
    </row>
    <row r="39" spans="1:42" ht="14.4" x14ac:dyDescent="0.25">
      <c r="A39" s="225" t="str">
        <f>'Participation Assumptions'!B40</f>
        <v>DLC-Thermostat-BYOT-MSHP</v>
      </c>
      <c r="B39" s="225" t="s">
        <v>397</v>
      </c>
      <c r="C39" s="225" t="str">
        <f>'Participation Assumptions'!C40</f>
        <v>Residential</v>
      </c>
      <c r="D39" s="225" t="str">
        <f>'Participation Assumptions'!D40</f>
        <v>Residential LI</v>
      </c>
      <c r="E39" s="330">
        <v>0.09</v>
      </c>
      <c r="F39" s="330">
        <v>0.09</v>
      </c>
      <c r="G39" s="330">
        <v>0.09</v>
      </c>
      <c r="H39" s="330">
        <v>0.09</v>
      </c>
      <c r="I39" s="330">
        <v>0.09</v>
      </c>
      <c r="J39" s="330">
        <v>0.09</v>
      </c>
      <c r="K39" s="330">
        <v>0.09</v>
      </c>
      <c r="L39" s="330">
        <v>0.09</v>
      </c>
      <c r="M39" s="330">
        <v>0.09</v>
      </c>
      <c r="N39" s="330">
        <v>0.09</v>
      </c>
      <c r="O39" s="330">
        <v>0.09</v>
      </c>
      <c r="P39" s="330">
        <v>0.09</v>
      </c>
      <c r="Q39" s="330">
        <v>0.09</v>
      </c>
      <c r="R39" s="330">
        <v>0.09</v>
      </c>
      <c r="S39" s="330">
        <v>0.09</v>
      </c>
      <c r="T39" s="330">
        <v>0.09</v>
      </c>
      <c r="U39" s="330">
        <v>0.09</v>
      </c>
      <c r="V39" s="328"/>
      <c r="W39" s="200" t="str">
        <f t="shared" si="3"/>
        <v>Residential</v>
      </c>
      <c r="X39" s="198" t="str">
        <f t="shared" si="1"/>
        <v>DLC-Thermostat-BYOT-MSHPResidential</v>
      </c>
      <c r="Y39" s="157" t="b">
        <f>ISNUMBER(MATCH(X39,'ProCESS CSE'!W:W,0))</f>
        <v>1</v>
      </c>
      <c r="Z39" s="157"/>
      <c r="AA39" s="157"/>
      <c r="AB39" s="157"/>
      <c r="AC39" s="157"/>
      <c r="AD39" s="157"/>
      <c r="AE39" s="157"/>
      <c r="AF39" s="157"/>
      <c r="AG39" s="157"/>
      <c r="AH39" s="157"/>
      <c r="AI39" s="157"/>
      <c r="AJ39" s="157"/>
      <c r="AK39" s="157"/>
      <c r="AL39" s="157"/>
      <c r="AM39" s="157"/>
      <c r="AN39" s="157"/>
      <c r="AO39" s="157"/>
      <c r="AP39" s="157"/>
    </row>
    <row r="40" spans="1:42" ht="14.55" customHeight="1" x14ac:dyDescent="0.25">
      <c r="A40" s="225" t="str">
        <f>'Participation Assumptions'!B41</f>
        <v>DLC-Thermostat-HVAC</v>
      </c>
      <c r="B40" s="225" t="s">
        <v>397</v>
      </c>
      <c r="C40" s="225" t="str">
        <f>'Participation Assumptions'!C41</f>
        <v>Small Commercial</v>
      </c>
      <c r="D40" s="225" t="str">
        <f>'Participation Assumptions'!D41</f>
        <v>Manufacturing</v>
      </c>
      <c r="E40" s="330">
        <v>0.6</v>
      </c>
      <c r="F40" s="330">
        <v>0.6</v>
      </c>
      <c r="G40" s="330">
        <v>0.6</v>
      </c>
      <c r="H40" s="330">
        <v>0.6</v>
      </c>
      <c r="I40" s="330">
        <v>0.6</v>
      </c>
      <c r="J40" s="330">
        <v>0.6</v>
      </c>
      <c r="K40" s="330">
        <v>0.6</v>
      </c>
      <c r="L40" s="330">
        <v>0.6</v>
      </c>
      <c r="M40" s="330">
        <v>0.6</v>
      </c>
      <c r="N40" s="330">
        <v>0.6</v>
      </c>
      <c r="O40" s="330">
        <v>0.6</v>
      </c>
      <c r="P40" s="330">
        <v>0.6</v>
      </c>
      <c r="Q40" s="330">
        <v>0.6</v>
      </c>
      <c r="R40" s="330">
        <v>0.6</v>
      </c>
      <c r="S40" s="330">
        <v>0.6</v>
      </c>
      <c r="T40" s="330">
        <v>0.6</v>
      </c>
      <c r="U40" s="330">
        <v>0.6</v>
      </c>
      <c r="V40" s="430" t="s">
        <v>306</v>
      </c>
      <c r="W40" s="200" t="str">
        <f t="shared" si="3"/>
        <v>Small</v>
      </c>
      <c r="X40" s="198" t="str">
        <f t="shared" si="1"/>
        <v>DLC-Thermostat-HVACSmall</v>
      </c>
      <c r="Y40" s="157" t="b">
        <f>ISNUMBER(MATCH(X40,'ProCESS CSE'!W:W,0))</f>
        <v>0</v>
      </c>
      <c r="Z40" s="157"/>
      <c r="AA40" s="157"/>
      <c r="AB40" s="157"/>
      <c r="AC40" s="157"/>
      <c r="AD40" s="157"/>
      <c r="AE40" s="157"/>
      <c r="AF40" s="157"/>
      <c r="AG40" s="157"/>
      <c r="AH40" s="157"/>
      <c r="AI40" s="157"/>
      <c r="AJ40" s="157"/>
      <c r="AK40" s="157"/>
      <c r="AL40" s="157"/>
      <c r="AM40" s="157"/>
      <c r="AN40" s="157"/>
      <c r="AO40" s="157"/>
      <c r="AP40" s="157"/>
    </row>
    <row r="41" spans="1:42" ht="14.4" x14ac:dyDescent="0.25">
      <c r="A41" s="225" t="str">
        <f>'Participation Assumptions'!B42</f>
        <v>DLC-Thermostat-HVAC</v>
      </c>
      <c r="B41" s="225" t="s">
        <v>397</v>
      </c>
      <c r="C41" s="225" t="str">
        <f>'Participation Assumptions'!C42</f>
        <v>Small Commercial</v>
      </c>
      <c r="D41" s="225" t="str">
        <f>'Participation Assumptions'!D42</f>
        <v>Miscellaneous</v>
      </c>
      <c r="E41" s="330">
        <v>0.6</v>
      </c>
      <c r="F41" s="330">
        <v>0.6</v>
      </c>
      <c r="G41" s="330">
        <v>0.6</v>
      </c>
      <c r="H41" s="330">
        <v>0.6</v>
      </c>
      <c r="I41" s="330">
        <v>0.6</v>
      </c>
      <c r="J41" s="330">
        <v>0.6</v>
      </c>
      <c r="K41" s="330">
        <v>0.6</v>
      </c>
      <c r="L41" s="330">
        <v>0.6</v>
      </c>
      <c r="M41" s="330">
        <v>0.6</v>
      </c>
      <c r="N41" s="330">
        <v>0.6</v>
      </c>
      <c r="O41" s="330">
        <v>0.6</v>
      </c>
      <c r="P41" s="330">
        <v>0.6</v>
      </c>
      <c r="Q41" s="330">
        <v>0.6</v>
      </c>
      <c r="R41" s="330">
        <v>0.6</v>
      </c>
      <c r="S41" s="330">
        <v>0.6</v>
      </c>
      <c r="T41" s="330">
        <v>0.6</v>
      </c>
      <c r="U41" s="330">
        <v>0.6</v>
      </c>
      <c r="V41" s="430"/>
      <c r="W41" s="200" t="str">
        <f t="shared" si="3"/>
        <v>Small</v>
      </c>
      <c r="X41" s="198" t="str">
        <f t="shared" si="1"/>
        <v>DLC-Thermostat-HVACSmall</v>
      </c>
      <c r="Y41" s="157" t="b">
        <f>ISNUMBER(MATCH(X41,'ProCESS CSE'!W:W,0))</f>
        <v>0</v>
      </c>
      <c r="Z41" s="157"/>
      <c r="AA41" s="157"/>
      <c r="AB41" s="157"/>
      <c r="AC41" s="157"/>
      <c r="AD41" s="157"/>
      <c r="AE41" s="157"/>
      <c r="AF41" s="157"/>
      <c r="AG41" s="157"/>
      <c r="AH41" s="157"/>
      <c r="AI41" s="157"/>
      <c r="AJ41" s="157"/>
      <c r="AK41" s="157"/>
      <c r="AL41" s="157"/>
      <c r="AM41" s="157"/>
      <c r="AN41" s="157"/>
      <c r="AO41" s="157"/>
      <c r="AP41" s="157"/>
    </row>
    <row r="42" spans="1:42" ht="14.4" x14ac:dyDescent="0.25">
      <c r="A42" s="225" t="str">
        <f>'Participation Assumptions'!B43</f>
        <v>DLC-Thermostat-HVAC</v>
      </c>
      <c r="B42" s="225" t="s">
        <v>397</v>
      </c>
      <c r="C42" s="225" t="str">
        <f>'Participation Assumptions'!C43</f>
        <v>Small Commercial</v>
      </c>
      <c r="D42" s="225" t="str">
        <f>'Participation Assumptions'!D43</f>
        <v>Offices</v>
      </c>
      <c r="E42" s="330">
        <v>0.6</v>
      </c>
      <c r="F42" s="330">
        <v>0.6</v>
      </c>
      <c r="G42" s="330">
        <v>0.6</v>
      </c>
      <c r="H42" s="330">
        <v>0.6</v>
      </c>
      <c r="I42" s="330">
        <v>0.6</v>
      </c>
      <c r="J42" s="330">
        <v>0.6</v>
      </c>
      <c r="K42" s="330">
        <v>0.6</v>
      </c>
      <c r="L42" s="330">
        <v>0.6</v>
      </c>
      <c r="M42" s="330">
        <v>0.6</v>
      </c>
      <c r="N42" s="330">
        <v>0.6</v>
      </c>
      <c r="O42" s="330">
        <v>0.6</v>
      </c>
      <c r="P42" s="330">
        <v>0.6</v>
      </c>
      <c r="Q42" s="330">
        <v>0.6</v>
      </c>
      <c r="R42" s="330">
        <v>0.6</v>
      </c>
      <c r="S42" s="330">
        <v>0.6</v>
      </c>
      <c r="T42" s="330">
        <v>0.6</v>
      </c>
      <c r="U42" s="330">
        <v>0.6</v>
      </c>
      <c r="V42" s="430"/>
      <c r="W42" s="200" t="str">
        <f t="shared" si="3"/>
        <v>Small</v>
      </c>
      <c r="X42" s="198" t="str">
        <f t="shared" si="1"/>
        <v>DLC-Thermostat-HVACSmall</v>
      </c>
      <c r="Y42" s="157" t="b">
        <f>ISNUMBER(MATCH(X42,'ProCESS CSE'!W:W,0))</f>
        <v>0</v>
      </c>
      <c r="Z42" s="157"/>
      <c r="AA42" s="157"/>
      <c r="AB42" s="157"/>
      <c r="AC42" s="157"/>
      <c r="AD42" s="157"/>
      <c r="AE42" s="157"/>
      <c r="AF42" s="157"/>
      <c r="AG42" s="157"/>
      <c r="AH42" s="157"/>
      <c r="AI42" s="157"/>
      <c r="AJ42" s="157"/>
      <c r="AK42" s="157"/>
      <c r="AL42" s="157"/>
      <c r="AM42" s="157"/>
      <c r="AN42" s="157"/>
      <c r="AO42" s="157"/>
      <c r="AP42" s="157"/>
    </row>
    <row r="43" spans="1:42" ht="14.4" x14ac:dyDescent="0.25">
      <c r="A43" s="225" t="str">
        <f>'Participation Assumptions'!B44</f>
        <v>DLC-Thermostat-HVAC</v>
      </c>
      <c r="B43" s="225" t="s">
        <v>397</v>
      </c>
      <c r="C43" s="225" t="str">
        <f>'Participation Assumptions'!C44</f>
        <v>Small Commercial</v>
      </c>
      <c r="D43" s="225" t="str">
        <f>'Participation Assumptions'!D44</f>
        <v>Retail Trade</v>
      </c>
      <c r="E43" s="330">
        <v>0.6</v>
      </c>
      <c r="F43" s="330">
        <v>0.6</v>
      </c>
      <c r="G43" s="330">
        <v>0.6</v>
      </c>
      <c r="H43" s="330">
        <v>0.6</v>
      </c>
      <c r="I43" s="330">
        <v>0.6</v>
      </c>
      <c r="J43" s="330">
        <v>0.6</v>
      </c>
      <c r="K43" s="330">
        <v>0.6</v>
      </c>
      <c r="L43" s="330">
        <v>0.6</v>
      </c>
      <c r="M43" s="330">
        <v>0.6</v>
      </c>
      <c r="N43" s="330">
        <v>0.6</v>
      </c>
      <c r="O43" s="330">
        <v>0.6</v>
      </c>
      <c r="P43" s="330">
        <v>0.6</v>
      </c>
      <c r="Q43" s="330">
        <v>0.6</v>
      </c>
      <c r="R43" s="330">
        <v>0.6</v>
      </c>
      <c r="S43" s="330">
        <v>0.6</v>
      </c>
      <c r="T43" s="330">
        <v>0.6</v>
      </c>
      <c r="U43" s="330">
        <v>0.6</v>
      </c>
      <c r="V43" s="430"/>
      <c r="W43" s="200" t="str">
        <f t="shared" si="3"/>
        <v>Small</v>
      </c>
      <c r="X43" s="198" t="str">
        <f t="shared" si="1"/>
        <v>DLC-Thermostat-HVACSmall</v>
      </c>
      <c r="Y43" s="157" t="b">
        <f>ISNUMBER(MATCH(X43,'ProCESS CSE'!W:W,0))</f>
        <v>0</v>
      </c>
      <c r="Z43" s="157"/>
      <c r="AA43" s="157"/>
      <c r="AB43" s="157"/>
      <c r="AC43" s="157"/>
      <c r="AD43" s="157"/>
      <c r="AE43" s="157"/>
      <c r="AF43" s="157"/>
      <c r="AG43" s="157"/>
      <c r="AH43" s="157"/>
      <c r="AI43" s="157"/>
      <c r="AJ43" s="157"/>
      <c r="AK43" s="157"/>
      <c r="AL43" s="157"/>
      <c r="AM43" s="157"/>
      <c r="AN43" s="157"/>
      <c r="AO43" s="157"/>
      <c r="AP43" s="157"/>
    </row>
    <row r="44" spans="1:42" ht="14.4" x14ac:dyDescent="0.25">
      <c r="A44" s="225" t="str">
        <f>'Participation Assumptions'!B45</f>
        <v>DLC-Thermostat-HVAC</v>
      </c>
      <c r="B44" s="225" t="s">
        <v>397</v>
      </c>
      <c r="C44" s="225" t="str">
        <f>'Participation Assumptions'!C45</f>
        <v>Small Commercial</v>
      </c>
      <c r="D44" s="225" t="str">
        <f>'Participation Assumptions'!D45</f>
        <v>Services</v>
      </c>
      <c r="E44" s="330">
        <v>0.6</v>
      </c>
      <c r="F44" s="330">
        <v>0.6</v>
      </c>
      <c r="G44" s="330">
        <v>0.6</v>
      </c>
      <c r="H44" s="330">
        <v>0.6</v>
      </c>
      <c r="I44" s="330">
        <v>0.6</v>
      </c>
      <c r="J44" s="330">
        <v>0.6</v>
      </c>
      <c r="K44" s="330">
        <v>0.6</v>
      </c>
      <c r="L44" s="330">
        <v>0.6</v>
      </c>
      <c r="M44" s="330">
        <v>0.6</v>
      </c>
      <c r="N44" s="330">
        <v>0.6</v>
      </c>
      <c r="O44" s="330">
        <v>0.6</v>
      </c>
      <c r="P44" s="330">
        <v>0.6</v>
      </c>
      <c r="Q44" s="330">
        <v>0.6</v>
      </c>
      <c r="R44" s="330">
        <v>0.6</v>
      </c>
      <c r="S44" s="330">
        <v>0.6</v>
      </c>
      <c r="T44" s="330">
        <v>0.6</v>
      </c>
      <c r="U44" s="330">
        <v>0.6</v>
      </c>
      <c r="V44" s="430"/>
      <c r="W44" s="200" t="str">
        <f t="shared" si="3"/>
        <v>Small</v>
      </c>
      <c r="X44" s="198" t="str">
        <f t="shared" si="1"/>
        <v>DLC-Thermostat-HVACSmall</v>
      </c>
      <c r="Y44" s="157" t="b">
        <f>ISNUMBER(MATCH(X44,'ProCESS CSE'!W:W,0))</f>
        <v>0</v>
      </c>
      <c r="Z44" s="157"/>
      <c r="AA44" s="157"/>
      <c r="AB44" s="157"/>
      <c r="AC44" s="157"/>
      <c r="AD44" s="157"/>
      <c r="AE44" s="157"/>
      <c r="AF44" s="157"/>
      <c r="AG44" s="157"/>
      <c r="AH44" s="157"/>
      <c r="AI44" s="157"/>
      <c r="AJ44" s="157"/>
      <c r="AK44" s="157"/>
      <c r="AL44" s="157"/>
      <c r="AM44" s="157"/>
      <c r="AN44" s="157"/>
      <c r="AO44" s="157"/>
      <c r="AP44" s="157"/>
    </row>
    <row r="45" spans="1:42" ht="14.4" x14ac:dyDescent="0.25">
      <c r="A45" s="225" t="str">
        <f>'Participation Assumptions'!B46</f>
        <v>DLC-Thermostat-HVAC</v>
      </c>
      <c r="B45" s="225" t="s">
        <v>397</v>
      </c>
      <c r="C45" s="225" t="str">
        <f>'Participation Assumptions'!C46</f>
        <v>Small Industrial</v>
      </c>
      <c r="D45" s="225" t="str">
        <f>'Participation Assumptions'!D46</f>
        <v>Services</v>
      </c>
      <c r="E45" s="330">
        <v>0.6</v>
      </c>
      <c r="F45" s="330">
        <v>0.6</v>
      </c>
      <c r="G45" s="330">
        <v>0.6</v>
      </c>
      <c r="H45" s="330">
        <v>0.6</v>
      </c>
      <c r="I45" s="330">
        <v>0.6</v>
      </c>
      <c r="J45" s="330">
        <v>0.6</v>
      </c>
      <c r="K45" s="330">
        <v>0.6</v>
      </c>
      <c r="L45" s="330">
        <v>0.6</v>
      </c>
      <c r="M45" s="330">
        <v>0.6</v>
      </c>
      <c r="N45" s="330">
        <v>0.6</v>
      </c>
      <c r="O45" s="330">
        <v>0.6</v>
      </c>
      <c r="P45" s="330">
        <v>0.6</v>
      </c>
      <c r="Q45" s="330">
        <v>0.6</v>
      </c>
      <c r="R45" s="330">
        <v>0.6</v>
      </c>
      <c r="S45" s="330">
        <v>0.6</v>
      </c>
      <c r="T45" s="330">
        <v>0.6</v>
      </c>
      <c r="U45" s="330">
        <v>0.6</v>
      </c>
      <c r="V45" s="430"/>
      <c r="W45" s="200" t="str">
        <f t="shared" si="3"/>
        <v>Small</v>
      </c>
      <c r="X45" s="198" t="str">
        <f t="shared" si="1"/>
        <v>DLC-Thermostat-HVACSmall</v>
      </c>
      <c r="Y45" s="157" t="b">
        <f>ISNUMBER(MATCH(X45,'ProCESS CSE'!W:W,0))</f>
        <v>0</v>
      </c>
      <c r="Z45" s="157"/>
      <c r="AA45" s="157"/>
      <c r="AB45" s="157"/>
      <c r="AC45" s="157"/>
      <c r="AD45" s="157"/>
      <c r="AE45" s="157"/>
      <c r="AF45" s="157"/>
      <c r="AG45" s="157"/>
      <c r="AH45" s="157"/>
      <c r="AI45" s="157"/>
      <c r="AJ45" s="157"/>
      <c r="AK45" s="157"/>
      <c r="AL45" s="157"/>
      <c r="AM45" s="157"/>
      <c r="AN45" s="157"/>
      <c r="AO45" s="157"/>
      <c r="AP45" s="157"/>
    </row>
    <row r="46" spans="1:42" ht="14.4" x14ac:dyDescent="0.25">
      <c r="A46" s="225" t="str">
        <f>'Participation Assumptions'!B47</f>
        <v>DLC-Thermostat-HVAC</v>
      </c>
      <c r="B46" s="225" t="s">
        <v>397</v>
      </c>
      <c r="C46" s="225" t="str">
        <f>'Participation Assumptions'!C47</f>
        <v>Small Industrial</v>
      </c>
      <c r="D46" s="225" t="str">
        <f>'Participation Assumptions'!D47</f>
        <v>Manufacturing</v>
      </c>
      <c r="E46" s="330">
        <v>0.6</v>
      </c>
      <c r="F46" s="330">
        <v>0.6</v>
      </c>
      <c r="G46" s="330">
        <v>0.6</v>
      </c>
      <c r="H46" s="330">
        <v>0.6</v>
      </c>
      <c r="I46" s="330">
        <v>0.6</v>
      </c>
      <c r="J46" s="330">
        <v>0.6</v>
      </c>
      <c r="K46" s="330">
        <v>0.6</v>
      </c>
      <c r="L46" s="330">
        <v>0.6</v>
      </c>
      <c r="M46" s="330">
        <v>0.6</v>
      </c>
      <c r="N46" s="330">
        <v>0.6</v>
      </c>
      <c r="O46" s="330">
        <v>0.6</v>
      </c>
      <c r="P46" s="330">
        <v>0.6</v>
      </c>
      <c r="Q46" s="330">
        <v>0.6</v>
      </c>
      <c r="R46" s="330">
        <v>0.6</v>
      </c>
      <c r="S46" s="330">
        <v>0.6</v>
      </c>
      <c r="T46" s="330">
        <v>0.6</v>
      </c>
      <c r="U46" s="330">
        <v>0.6</v>
      </c>
      <c r="V46" s="430"/>
      <c r="W46" s="200" t="str">
        <f t="shared" si="3"/>
        <v>Small</v>
      </c>
      <c r="X46" s="198" t="str">
        <f t="shared" si="1"/>
        <v>DLC-Thermostat-HVACSmall</v>
      </c>
      <c r="Y46" s="157" t="b">
        <f>ISNUMBER(MATCH(X46,'ProCESS CSE'!W:W,0))</f>
        <v>0</v>
      </c>
      <c r="Z46" s="157"/>
      <c r="AA46" s="157"/>
      <c r="AB46" s="157"/>
      <c r="AC46" s="157"/>
      <c r="AD46" s="157"/>
      <c r="AE46" s="157"/>
      <c r="AF46" s="157"/>
      <c r="AG46" s="157"/>
      <c r="AH46" s="157"/>
      <c r="AI46" s="157"/>
      <c r="AJ46" s="157"/>
      <c r="AK46" s="157"/>
      <c r="AL46" s="157"/>
      <c r="AM46" s="157"/>
      <c r="AN46" s="157"/>
      <c r="AO46" s="157"/>
      <c r="AP46" s="157"/>
    </row>
    <row r="47" spans="1:42" ht="14.4" x14ac:dyDescent="0.25">
      <c r="A47" s="225" t="str">
        <f>'Participation Assumptions'!B48</f>
        <v>DLC-Thermostat-HVAC</v>
      </c>
      <c r="B47" s="225" t="s">
        <v>397</v>
      </c>
      <c r="C47" s="225" t="str">
        <f>'Participation Assumptions'!C48</f>
        <v>Small Industrial</v>
      </c>
      <c r="D47" s="225" t="str">
        <f>'Participation Assumptions'!D48</f>
        <v>Miscellaneous</v>
      </c>
      <c r="E47" s="330">
        <v>0.6</v>
      </c>
      <c r="F47" s="330">
        <v>0.6</v>
      </c>
      <c r="G47" s="330">
        <v>0.6</v>
      </c>
      <c r="H47" s="330">
        <v>0.6</v>
      </c>
      <c r="I47" s="330">
        <v>0.6</v>
      </c>
      <c r="J47" s="330">
        <v>0.6</v>
      </c>
      <c r="K47" s="330">
        <v>0.6</v>
      </c>
      <c r="L47" s="330">
        <v>0.6</v>
      </c>
      <c r="M47" s="330">
        <v>0.6</v>
      </c>
      <c r="N47" s="330">
        <v>0.6</v>
      </c>
      <c r="O47" s="330">
        <v>0.6</v>
      </c>
      <c r="P47" s="330">
        <v>0.6</v>
      </c>
      <c r="Q47" s="330">
        <v>0.6</v>
      </c>
      <c r="R47" s="330">
        <v>0.6</v>
      </c>
      <c r="S47" s="330">
        <v>0.6</v>
      </c>
      <c r="T47" s="330">
        <v>0.6</v>
      </c>
      <c r="U47" s="330">
        <v>0.6</v>
      </c>
      <c r="V47" s="430"/>
      <c r="W47" s="200" t="str">
        <f t="shared" si="3"/>
        <v>Small</v>
      </c>
      <c r="X47" s="198" t="str">
        <f t="shared" si="1"/>
        <v>DLC-Thermostat-HVACSmall</v>
      </c>
      <c r="Y47" s="157" t="b">
        <f>ISNUMBER(MATCH(X47,'ProCESS CSE'!W:W,0))</f>
        <v>0</v>
      </c>
      <c r="Z47" s="157"/>
      <c r="AA47" s="157"/>
      <c r="AB47" s="157"/>
      <c r="AC47" s="157"/>
      <c r="AD47" s="157"/>
      <c r="AE47" s="157"/>
      <c r="AF47" s="157"/>
      <c r="AG47" s="157"/>
      <c r="AH47" s="157"/>
      <c r="AI47" s="157"/>
      <c r="AJ47" s="157"/>
      <c r="AK47" s="157"/>
      <c r="AL47" s="157"/>
      <c r="AM47" s="157"/>
      <c r="AN47" s="157"/>
      <c r="AO47" s="157"/>
      <c r="AP47" s="157"/>
    </row>
    <row r="48" spans="1:42" ht="14.4" x14ac:dyDescent="0.25">
      <c r="A48" s="225" t="str">
        <f>'Participation Assumptions'!B49</f>
        <v>DLC-Thermostat-HVAC</v>
      </c>
      <c r="B48" s="225" t="s">
        <v>397</v>
      </c>
      <c r="C48" s="225" t="str">
        <f>'Participation Assumptions'!C49</f>
        <v>Small Industrial</v>
      </c>
      <c r="D48" s="225" t="str">
        <f>'Participation Assumptions'!D49</f>
        <v>Offices</v>
      </c>
      <c r="E48" s="330">
        <v>0.6</v>
      </c>
      <c r="F48" s="330">
        <v>0.6</v>
      </c>
      <c r="G48" s="330">
        <v>0.6</v>
      </c>
      <c r="H48" s="330">
        <v>0.6</v>
      </c>
      <c r="I48" s="330">
        <v>0.6</v>
      </c>
      <c r="J48" s="330">
        <v>0.6</v>
      </c>
      <c r="K48" s="330">
        <v>0.6</v>
      </c>
      <c r="L48" s="330">
        <v>0.6</v>
      </c>
      <c r="M48" s="330">
        <v>0.6</v>
      </c>
      <c r="N48" s="330">
        <v>0.6</v>
      </c>
      <c r="O48" s="330">
        <v>0.6</v>
      </c>
      <c r="P48" s="330">
        <v>0.6</v>
      </c>
      <c r="Q48" s="330">
        <v>0.6</v>
      </c>
      <c r="R48" s="330">
        <v>0.6</v>
      </c>
      <c r="S48" s="330">
        <v>0.6</v>
      </c>
      <c r="T48" s="330">
        <v>0.6</v>
      </c>
      <c r="U48" s="330">
        <v>0.6</v>
      </c>
      <c r="V48" s="430"/>
      <c r="W48" s="200" t="str">
        <f t="shared" si="3"/>
        <v>Small</v>
      </c>
      <c r="X48" s="198" t="str">
        <f t="shared" si="1"/>
        <v>DLC-Thermostat-HVACSmall</v>
      </c>
      <c r="Y48" s="157" t="b">
        <f>ISNUMBER(MATCH(X48,'ProCESS CSE'!W:W,0))</f>
        <v>0</v>
      </c>
      <c r="Z48" s="157"/>
      <c r="AA48" s="157"/>
      <c r="AB48" s="157"/>
      <c r="AC48" s="157"/>
      <c r="AD48" s="157"/>
      <c r="AE48" s="157"/>
      <c r="AF48" s="157"/>
      <c r="AG48" s="157"/>
      <c r="AH48" s="157"/>
      <c r="AI48" s="157"/>
      <c r="AJ48" s="157"/>
      <c r="AK48" s="157"/>
      <c r="AL48" s="157"/>
      <c r="AM48" s="157"/>
      <c r="AN48" s="157"/>
      <c r="AO48" s="157"/>
      <c r="AP48" s="157"/>
    </row>
    <row r="49" spans="1:42" ht="14.4" x14ac:dyDescent="0.25">
      <c r="A49" s="225" t="str">
        <f>'Participation Assumptions'!B50</f>
        <v>DLC-Thermostat-HVAC</v>
      </c>
      <c r="B49" s="225" t="s">
        <v>397</v>
      </c>
      <c r="C49" s="225" t="str">
        <f>'Participation Assumptions'!C50</f>
        <v>Small Industrial</v>
      </c>
      <c r="D49" s="225" t="str">
        <f>'Participation Assumptions'!D50</f>
        <v>Retail Trade</v>
      </c>
      <c r="E49" s="330">
        <v>0.6</v>
      </c>
      <c r="F49" s="330">
        <v>0.6</v>
      </c>
      <c r="G49" s="330">
        <v>0.6</v>
      </c>
      <c r="H49" s="330">
        <v>0.6</v>
      </c>
      <c r="I49" s="330">
        <v>0.6</v>
      </c>
      <c r="J49" s="330">
        <v>0.6</v>
      </c>
      <c r="K49" s="330">
        <v>0.6</v>
      </c>
      <c r="L49" s="330">
        <v>0.6</v>
      </c>
      <c r="M49" s="330">
        <v>0.6</v>
      </c>
      <c r="N49" s="330">
        <v>0.6</v>
      </c>
      <c r="O49" s="330">
        <v>0.6</v>
      </c>
      <c r="P49" s="330">
        <v>0.6</v>
      </c>
      <c r="Q49" s="330">
        <v>0.6</v>
      </c>
      <c r="R49" s="330">
        <v>0.6</v>
      </c>
      <c r="S49" s="330">
        <v>0.6</v>
      </c>
      <c r="T49" s="330">
        <v>0.6</v>
      </c>
      <c r="U49" s="330">
        <v>0.6</v>
      </c>
      <c r="V49" s="430"/>
      <c r="W49" s="200" t="str">
        <f t="shared" si="3"/>
        <v>Small</v>
      </c>
      <c r="X49" s="198" t="str">
        <f t="shared" si="1"/>
        <v>DLC-Thermostat-HVACSmall</v>
      </c>
      <c r="Y49" s="157" t="b">
        <f>ISNUMBER(MATCH(X49,'ProCESS CSE'!W:W,0))</f>
        <v>0</v>
      </c>
      <c r="Z49" s="157"/>
      <c r="AA49" s="157"/>
      <c r="AB49" s="157"/>
      <c r="AC49" s="157"/>
      <c r="AD49" s="157"/>
      <c r="AE49" s="157"/>
      <c r="AF49" s="157"/>
      <c r="AG49" s="157"/>
      <c r="AH49" s="157"/>
      <c r="AI49" s="157"/>
      <c r="AJ49" s="157"/>
      <c r="AK49" s="157"/>
      <c r="AL49" s="157"/>
      <c r="AM49" s="157"/>
      <c r="AN49" s="157"/>
      <c r="AO49" s="157"/>
      <c r="AP49" s="157"/>
    </row>
    <row r="50" spans="1:42" ht="14.4" x14ac:dyDescent="0.25">
      <c r="A50" s="225" t="str">
        <f>'Participation Assumptions'!B51</f>
        <v>DLC-Thermostat-DI-Central Heat Pump</v>
      </c>
      <c r="B50" s="225" t="s">
        <v>397</v>
      </c>
      <c r="C50" s="225" t="str">
        <f>'Participation Assumptions'!C51</f>
        <v>Small Commercial</v>
      </c>
      <c r="D50" s="225" t="str">
        <f>'Participation Assumptions'!D51</f>
        <v>Manufacturing</v>
      </c>
      <c r="E50" s="330">
        <f>IFERROR((F50/G50)*F50,0)</f>
        <v>7.7459861759638518E-3</v>
      </c>
      <c r="F50" s="330">
        <f>IFERROR((G50/H50)*G50,0)</f>
        <v>7.5226912654688654E-3</v>
      </c>
      <c r="G50" s="330">
        <f>AVERAGEIF('ProCESS CSE'!$W:$W,'Control Strategy Eligibility'!$X50,'ProCESS CSE'!P:P)</f>
        <v>7.3058333167654822E-3</v>
      </c>
      <c r="H50" s="330">
        <f>AVERAGEIF('ProCESS CSE'!$W:$W,'Control Strategy Eligibility'!$X50,'ProCESS CSE'!Q:Q)</f>
        <v>7.09522677042015E-3</v>
      </c>
      <c r="I50" s="330">
        <f>AVERAGEIF('ProCESS CSE'!$W:$W,'Control Strategy Eligibility'!$X50,'ProCESS CSE'!R:R)</f>
        <v>7.3423904503196287E-3</v>
      </c>
      <c r="J50" s="330">
        <f>IFERROR(MIN(1,(I50/H50)*I50),0)</f>
        <v>7.5981641277058868E-3</v>
      </c>
      <c r="K50" s="330">
        <f t="shared" ref="K50:U50" si="20">IFERROR(MIN(1,(J50/I50)*J50),0)</f>
        <v>7.8628477336074344E-3</v>
      </c>
      <c r="L50" s="330">
        <f t="shared" si="20"/>
        <v>8.1367516472116794E-3</v>
      </c>
      <c r="M50" s="330">
        <f t="shared" si="20"/>
        <v>8.4201970598286879E-3</v>
      </c>
      <c r="N50" s="330">
        <f t="shared" si="20"/>
        <v>8.7135163515336921E-3</v>
      </c>
      <c r="O50" s="330">
        <f t="shared" si="20"/>
        <v>9.0170534809300255E-3</v>
      </c>
      <c r="P50" s="330">
        <f t="shared" si="20"/>
        <v>9.331164388489516E-3</v>
      </c>
      <c r="Q50" s="330">
        <f t="shared" si="20"/>
        <v>9.6562174139433396E-3</v>
      </c>
      <c r="R50" s="330">
        <f t="shared" si="20"/>
        <v>9.9925937282127619E-3</v>
      </c>
      <c r="S50" s="330">
        <f t="shared" si="20"/>
        <v>1.0340687780386272E-2</v>
      </c>
      <c r="T50" s="330">
        <f t="shared" si="20"/>
        <v>1.0700907760267267E-2</v>
      </c>
      <c r="U50" s="330">
        <f t="shared" si="20"/>
        <v>1.1073676077034671E-2</v>
      </c>
      <c r="V50" s="430" t="s">
        <v>550</v>
      </c>
      <c r="W50" s="200" t="str">
        <f t="shared" si="3"/>
        <v>Small</v>
      </c>
      <c r="X50" s="198" t="str">
        <f t="shared" si="1"/>
        <v>DLC-Thermostat-DI-Central Heat PumpSmall</v>
      </c>
      <c r="Y50" s="157" t="b">
        <f>ISNUMBER(MATCH(X50,'ProCESS CSE'!W:W,0))</f>
        <v>1</v>
      </c>
      <c r="Z50" s="157"/>
      <c r="AA50" s="157"/>
      <c r="AB50" s="157"/>
      <c r="AC50" s="157"/>
      <c r="AD50" s="157"/>
      <c r="AE50" s="157"/>
      <c r="AF50" s="157"/>
      <c r="AG50" s="157"/>
      <c r="AH50" s="157"/>
      <c r="AI50" s="157"/>
      <c r="AJ50" s="157"/>
      <c r="AK50" s="157"/>
      <c r="AL50" s="157"/>
      <c r="AM50" s="157"/>
      <c r="AN50" s="157"/>
      <c r="AO50" s="157"/>
      <c r="AP50" s="157"/>
    </row>
    <row r="51" spans="1:42" ht="14.4" x14ac:dyDescent="0.25">
      <c r="A51" s="225" t="str">
        <f>'Participation Assumptions'!B52</f>
        <v>DLC-Thermostat-DI-Central Heat Pump</v>
      </c>
      <c r="B51" s="225" t="s">
        <v>397</v>
      </c>
      <c r="C51" s="225" t="str">
        <f>'Participation Assumptions'!C52</f>
        <v>Small Commercial</v>
      </c>
      <c r="D51" s="225" t="str">
        <f>'Participation Assumptions'!D52</f>
        <v>Miscellaneous</v>
      </c>
      <c r="E51" s="330">
        <f t="shared" ref="E51:E59" si="21">(F51/G51)*F51</f>
        <v>7.7459861759638518E-3</v>
      </c>
      <c r="F51" s="330">
        <f t="shared" ref="F51:F59" si="22">(G51/H51)*G51</f>
        <v>7.5226912654688654E-3</v>
      </c>
      <c r="G51" s="330">
        <f>AVERAGEIF('ProCESS CSE'!$W:$W,'Control Strategy Eligibility'!$X51,'ProCESS CSE'!P:P)</f>
        <v>7.3058333167654822E-3</v>
      </c>
      <c r="H51" s="330">
        <f>AVERAGEIF('ProCESS CSE'!$W:$W,'Control Strategy Eligibility'!$X51,'ProCESS CSE'!Q:Q)</f>
        <v>7.09522677042015E-3</v>
      </c>
      <c r="I51" s="330">
        <f>AVERAGEIF('ProCESS CSE'!$W:$W,'Control Strategy Eligibility'!$X51,'ProCESS CSE'!R:R)</f>
        <v>7.3423904503196287E-3</v>
      </c>
      <c r="J51" s="330">
        <f t="shared" ref="J51:J59" si="23">MIN(1,(I51/H51)*I51)</f>
        <v>7.5981641277058868E-3</v>
      </c>
      <c r="K51" s="330">
        <f t="shared" ref="K51:K59" si="24">MIN(1,(J51/I51)*J51)</f>
        <v>7.8628477336074344E-3</v>
      </c>
      <c r="L51" s="330">
        <f t="shared" ref="L51:L59" si="25">MIN(1,(K51/J51)*K51)</f>
        <v>8.1367516472116794E-3</v>
      </c>
      <c r="M51" s="330">
        <f t="shared" ref="M51:M59" si="26">MIN(1,(L51/K51)*L51)</f>
        <v>8.4201970598286879E-3</v>
      </c>
      <c r="N51" s="330">
        <f t="shared" ref="N51:N59" si="27">MIN(1,(M51/L51)*M51)</f>
        <v>8.7135163515336921E-3</v>
      </c>
      <c r="O51" s="330">
        <f t="shared" ref="O51:O59" si="28">MIN(1,(N51/M51)*N51)</f>
        <v>9.0170534809300255E-3</v>
      </c>
      <c r="P51" s="330">
        <f t="shared" ref="P51:P59" si="29">MIN(1,(O51/N51)*O51)</f>
        <v>9.331164388489516E-3</v>
      </c>
      <c r="Q51" s="330">
        <f t="shared" ref="Q51:Q59" si="30">MIN(1,(P51/O51)*P51)</f>
        <v>9.6562174139433396E-3</v>
      </c>
      <c r="R51" s="330">
        <f t="shared" ref="R51:R59" si="31">MIN(1,(Q51/P51)*Q51)</f>
        <v>9.9925937282127619E-3</v>
      </c>
      <c r="S51" s="330">
        <f t="shared" ref="S51:S59" si="32">MIN(1,(R51/Q51)*R51)</f>
        <v>1.0340687780386272E-2</v>
      </c>
      <c r="T51" s="330">
        <f t="shared" ref="T51:T59" si="33">MIN(1,(S51/R51)*S51)</f>
        <v>1.0700907760267267E-2</v>
      </c>
      <c r="U51" s="330">
        <f t="shared" ref="U51:U59" si="34">MIN(1,(T51/S51)*T51)</f>
        <v>1.1073676077034671E-2</v>
      </c>
      <c r="V51" s="430"/>
      <c r="W51" s="200" t="str">
        <f t="shared" si="3"/>
        <v>Small</v>
      </c>
      <c r="X51" s="198" t="str">
        <f t="shared" si="1"/>
        <v>DLC-Thermostat-DI-Central Heat PumpSmall</v>
      </c>
      <c r="Y51" s="157" t="b">
        <f>ISNUMBER(MATCH(X51,'ProCESS CSE'!W:W,0))</f>
        <v>1</v>
      </c>
      <c r="Z51" s="157"/>
      <c r="AA51" s="157"/>
      <c r="AB51" s="157"/>
      <c r="AC51" s="157"/>
      <c r="AD51" s="157"/>
      <c r="AE51" s="157"/>
      <c r="AF51" s="157"/>
      <c r="AG51" s="157"/>
      <c r="AH51" s="157"/>
      <c r="AI51" s="157"/>
      <c r="AJ51" s="157"/>
      <c r="AK51" s="157"/>
      <c r="AL51" s="157"/>
      <c r="AM51" s="157"/>
      <c r="AN51" s="157"/>
      <c r="AO51" s="157"/>
      <c r="AP51" s="157"/>
    </row>
    <row r="52" spans="1:42" ht="14.4" x14ac:dyDescent="0.25">
      <c r="A52" s="225" t="str">
        <f>'Participation Assumptions'!B53</f>
        <v>DLC-Thermostat-DI-Central Heat Pump</v>
      </c>
      <c r="B52" s="225" t="s">
        <v>397</v>
      </c>
      <c r="C52" s="225" t="str">
        <f>'Participation Assumptions'!C53</f>
        <v>Small Commercial</v>
      </c>
      <c r="D52" s="225" t="str">
        <f>'Participation Assumptions'!D53</f>
        <v>Offices</v>
      </c>
      <c r="E52" s="330">
        <f t="shared" si="21"/>
        <v>7.7459861759638518E-3</v>
      </c>
      <c r="F52" s="330">
        <f t="shared" si="22"/>
        <v>7.5226912654688654E-3</v>
      </c>
      <c r="G52" s="330">
        <f>AVERAGEIF('ProCESS CSE'!$W:$W,'Control Strategy Eligibility'!$X52,'ProCESS CSE'!P:P)</f>
        <v>7.3058333167654822E-3</v>
      </c>
      <c r="H52" s="330">
        <f>AVERAGEIF('ProCESS CSE'!$W:$W,'Control Strategy Eligibility'!$X52,'ProCESS CSE'!Q:Q)</f>
        <v>7.09522677042015E-3</v>
      </c>
      <c r="I52" s="330">
        <f>AVERAGEIF('ProCESS CSE'!$W:$W,'Control Strategy Eligibility'!$X52,'ProCESS CSE'!R:R)</f>
        <v>7.3423904503196287E-3</v>
      </c>
      <c r="J52" s="330">
        <f t="shared" si="23"/>
        <v>7.5981641277058868E-3</v>
      </c>
      <c r="K52" s="330">
        <f t="shared" si="24"/>
        <v>7.8628477336074344E-3</v>
      </c>
      <c r="L52" s="330">
        <f t="shared" si="25"/>
        <v>8.1367516472116794E-3</v>
      </c>
      <c r="M52" s="330">
        <f t="shared" si="26"/>
        <v>8.4201970598286879E-3</v>
      </c>
      <c r="N52" s="330">
        <f t="shared" si="27"/>
        <v>8.7135163515336921E-3</v>
      </c>
      <c r="O52" s="330">
        <f t="shared" si="28"/>
        <v>9.0170534809300255E-3</v>
      </c>
      <c r="P52" s="330">
        <f t="shared" si="29"/>
        <v>9.331164388489516E-3</v>
      </c>
      <c r="Q52" s="330">
        <f t="shared" si="30"/>
        <v>9.6562174139433396E-3</v>
      </c>
      <c r="R52" s="330">
        <f t="shared" si="31"/>
        <v>9.9925937282127619E-3</v>
      </c>
      <c r="S52" s="330">
        <f t="shared" si="32"/>
        <v>1.0340687780386272E-2</v>
      </c>
      <c r="T52" s="330">
        <f t="shared" si="33"/>
        <v>1.0700907760267267E-2</v>
      </c>
      <c r="U52" s="330">
        <f t="shared" si="34"/>
        <v>1.1073676077034671E-2</v>
      </c>
      <c r="V52" s="430"/>
      <c r="W52" s="200" t="str">
        <f t="shared" si="3"/>
        <v>Small</v>
      </c>
      <c r="X52" s="198" t="str">
        <f t="shared" si="1"/>
        <v>DLC-Thermostat-DI-Central Heat PumpSmall</v>
      </c>
      <c r="Y52" s="157" t="b">
        <f>ISNUMBER(MATCH(X52,'ProCESS CSE'!W:W,0))</f>
        <v>1</v>
      </c>
      <c r="Z52" s="157"/>
      <c r="AA52" s="157"/>
      <c r="AB52" s="157"/>
      <c r="AC52" s="157"/>
      <c r="AD52" s="157"/>
      <c r="AE52" s="157"/>
      <c r="AF52" s="157"/>
      <c r="AG52" s="157"/>
      <c r="AH52" s="157"/>
      <c r="AI52" s="157"/>
      <c r="AJ52" s="157"/>
      <c r="AK52" s="157"/>
      <c r="AL52" s="157"/>
      <c r="AM52" s="157"/>
      <c r="AN52" s="157"/>
      <c r="AO52" s="157"/>
      <c r="AP52" s="157"/>
    </row>
    <row r="53" spans="1:42" ht="14.4" x14ac:dyDescent="0.25">
      <c r="A53" s="225" t="str">
        <f>'Participation Assumptions'!B54</f>
        <v>DLC-Thermostat-DI-Central Heat Pump</v>
      </c>
      <c r="B53" s="225" t="s">
        <v>397</v>
      </c>
      <c r="C53" s="225" t="str">
        <f>'Participation Assumptions'!C54</f>
        <v>Small Commercial</v>
      </c>
      <c r="D53" s="225" t="str">
        <f>'Participation Assumptions'!D54</f>
        <v>Retail Trade</v>
      </c>
      <c r="E53" s="330">
        <f t="shared" si="21"/>
        <v>7.7459861759638518E-3</v>
      </c>
      <c r="F53" s="330">
        <f t="shared" si="22"/>
        <v>7.5226912654688654E-3</v>
      </c>
      <c r="G53" s="330">
        <f>AVERAGEIF('ProCESS CSE'!$W:$W,'Control Strategy Eligibility'!$X53,'ProCESS CSE'!P:P)</f>
        <v>7.3058333167654822E-3</v>
      </c>
      <c r="H53" s="330">
        <f>AVERAGEIF('ProCESS CSE'!$W:$W,'Control Strategy Eligibility'!$X53,'ProCESS CSE'!Q:Q)</f>
        <v>7.09522677042015E-3</v>
      </c>
      <c r="I53" s="330">
        <f>AVERAGEIF('ProCESS CSE'!$W:$W,'Control Strategy Eligibility'!$X53,'ProCESS CSE'!R:R)</f>
        <v>7.3423904503196287E-3</v>
      </c>
      <c r="J53" s="330">
        <f t="shared" si="23"/>
        <v>7.5981641277058868E-3</v>
      </c>
      <c r="K53" s="330">
        <f t="shared" si="24"/>
        <v>7.8628477336074344E-3</v>
      </c>
      <c r="L53" s="330">
        <f t="shared" si="25"/>
        <v>8.1367516472116794E-3</v>
      </c>
      <c r="M53" s="330">
        <f t="shared" si="26"/>
        <v>8.4201970598286879E-3</v>
      </c>
      <c r="N53" s="330">
        <f t="shared" si="27"/>
        <v>8.7135163515336921E-3</v>
      </c>
      <c r="O53" s="330">
        <f t="shared" si="28"/>
        <v>9.0170534809300255E-3</v>
      </c>
      <c r="P53" s="330">
        <f t="shared" si="29"/>
        <v>9.331164388489516E-3</v>
      </c>
      <c r="Q53" s="330">
        <f t="shared" si="30"/>
        <v>9.6562174139433396E-3</v>
      </c>
      <c r="R53" s="330">
        <f t="shared" si="31"/>
        <v>9.9925937282127619E-3</v>
      </c>
      <c r="S53" s="330">
        <f t="shared" si="32"/>
        <v>1.0340687780386272E-2</v>
      </c>
      <c r="T53" s="330">
        <f t="shared" si="33"/>
        <v>1.0700907760267267E-2</v>
      </c>
      <c r="U53" s="330">
        <f t="shared" si="34"/>
        <v>1.1073676077034671E-2</v>
      </c>
      <c r="V53" s="430"/>
      <c r="W53" s="200" t="str">
        <f t="shared" si="3"/>
        <v>Small</v>
      </c>
      <c r="X53" s="198" t="str">
        <f t="shared" si="1"/>
        <v>DLC-Thermostat-DI-Central Heat PumpSmall</v>
      </c>
      <c r="Y53" s="157" t="b">
        <f>ISNUMBER(MATCH(X53,'ProCESS CSE'!W:W,0))</f>
        <v>1</v>
      </c>
      <c r="Z53" s="157"/>
      <c r="AA53" s="157"/>
      <c r="AB53" s="157"/>
      <c r="AC53" s="157"/>
      <c r="AD53" s="157"/>
      <c r="AE53" s="157"/>
      <c r="AF53" s="157"/>
      <c r="AG53" s="157"/>
      <c r="AH53" s="157"/>
      <c r="AI53" s="157"/>
      <c r="AJ53" s="157"/>
      <c r="AK53" s="157"/>
      <c r="AL53" s="157"/>
      <c r="AM53" s="157"/>
      <c r="AN53" s="157"/>
      <c r="AO53" s="157"/>
      <c r="AP53" s="157"/>
    </row>
    <row r="54" spans="1:42" ht="14.4" x14ac:dyDescent="0.25">
      <c r="A54" s="225" t="str">
        <f>'Participation Assumptions'!B55</f>
        <v>DLC-Thermostat-DI-Central Heat Pump</v>
      </c>
      <c r="B54" s="225" t="s">
        <v>397</v>
      </c>
      <c r="C54" s="225" t="str">
        <f>'Participation Assumptions'!C55</f>
        <v>Small Commercial</v>
      </c>
      <c r="D54" s="225" t="str">
        <f>'Participation Assumptions'!D55</f>
        <v>Services</v>
      </c>
      <c r="E54" s="330">
        <f t="shared" si="21"/>
        <v>7.7459861759638518E-3</v>
      </c>
      <c r="F54" s="330">
        <f t="shared" si="22"/>
        <v>7.5226912654688654E-3</v>
      </c>
      <c r="G54" s="330">
        <f>AVERAGEIF('ProCESS CSE'!$W:$W,'Control Strategy Eligibility'!$X54,'ProCESS CSE'!P:P)</f>
        <v>7.3058333167654822E-3</v>
      </c>
      <c r="H54" s="330">
        <f>AVERAGEIF('ProCESS CSE'!$W:$W,'Control Strategy Eligibility'!$X54,'ProCESS CSE'!Q:Q)</f>
        <v>7.09522677042015E-3</v>
      </c>
      <c r="I54" s="330">
        <f>AVERAGEIF('ProCESS CSE'!$W:$W,'Control Strategy Eligibility'!$X54,'ProCESS CSE'!R:R)</f>
        <v>7.3423904503196287E-3</v>
      </c>
      <c r="J54" s="330">
        <f t="shared" si="23"/>
        <v>7.5981641277058868E-3</v>
      </c>
      <c r="K54" s="330">
        <f t="shared" si="24"/>
        <v>7.8628477336074344E-3</v>
      </c>
      <c r="L54" s="330">
        <f t="shared" si="25"/>
        <v>8.1367516472116794E-3</v>
      </c>
      <c r="M54" s="330">
        <f t="shared" si="26"/>
        <v>8.4201970598286879E-3</v>
      </c>
      <c r="N54" s="330">
        <f t="shared" si="27"/>
        <v>8.7135163515336921E-3</v>
      </c>
      <c r="O54" s="330">
        <f t="shared" si="28"/>
        <v>9.0170534809300255E-3</v>
      </c>
      <c r="P54" s="330">
        <f t="shared" si="29"/>
        <v>9.331164388489516E-3</v>
      </c>
      <c r="Q54" s="330">
        <f t="shared" si="30"/>
        <v>9.6562174139433396E-3</v>
      </c>
      <c r="R54" s="330">
        <f t="shared" si="31"/>
        <v>9.9925937282127619E-3</v>
      </c>
      <c r="S54" s="330">
        <f t="shared" si="32"/>
        <v>1.0340687780386272E-2</v>
      </c>
      <c r="T54" s="330">
        <f t="shared" si="33"/>
        <v>1.0700907760267267E-2</v>
      </c>
      <c r="U54" s="330">
        <f t="shared" si="34"/>
        <v>1.1073676077034671E-2</v>
      </c>
      <c r="V54" s="430"/>
      <c r="W54" s="200" t="str">
        <f t="shared" si="3"/>
        <v>Small</v>
      </c>
      <c r="X54" s="198" t="str">
        <f t="shared" si="1"/>
        <v>DLC-Thermostat-DI-Central Heat PumpSmall</v>
      </c>
      <c r="Y54" s="157" t="b">
        <f>ISNUMBER(MATCH(X54,'ProCESS CSE'!W:W,0))</f>
        <v>1</v>
      </c>
      <c r="Z54" s="157"/>
      <c r="AA54" s="157"/>
      <c r="AB54" s="157"/>
      <c r="AC54" s="157"/>
      <c r="AD54" s="157"/>
      <c r="AE54" s="157"/>
      <c r="AF54" s="157"/>
      <c r="AG54" s="157"/>
      <c r="AH54" s="157"/>
      <c r="AI54" s="157"/>
      <c r="AJ54" s="157"/>
      <c r="AK54" s="157"/>
      <c r="AL54" s="157"/>
      <c r="AM54" s="157"/>
      <c r="AN54" s="157"/>
      <c r="AO54" s="157"/>
      <c r="AP54" s="157"/>
    </row>
    <row r="55" spans="1:42" ht="14.4" x14ac:dyDescent="0.25">
      <c r="A55" s="225" t="str">
        <f>'Participation Assumptions'!B56</f>
        <v>DLC-Thermostat-DI-Central Heat Pump</v>
      </c>
      <c r="B55" s="225" t="s">
        <v>397</v>
      </c>
      <c r="C55" s="225" t="str">
        <f>'Participation Assumptions'!C56</f>
        <v>Small Industrial</v>
      </c>
      <c r="D55" s="225" t="str">
        <f>'Participation Assumptions'!D56</f>
        <v>Services</v>
      </c>
      <c r="E55" s="330">
        <f t="shared" si="21"/>
        <v>7.7459861759638518E-3</v>
      </c>
      <c r="F55" s="330">
        <f t="shared" si="22"/>
        <v>7.5226912654688654E-3</v>
      </c>
      <c r="G55" s="330">
        <f>AVERAGEIF('ProCESS CSE'!$W:$W,'Control Strategy Eligibility'!$X55,'ProCESS CSE'!P:P)</f>
        <v>7.3058333167654822E-3</v>
      </c>
      <c r="H55" s="330">
        <f>AVERAGEIF('ProCESS CSE'!$W:$W,'Control Strategy Eligibility'!$X55,'ProCESS CSE'!Q:Q)</f>
        <v>7.09522677042015E-3</v>
      </c>
      <c r="I55" s="330">
        <f>AVERAGEIF('ProCESS CSE'!$W:$W,'Control Strategy Eligibility'!$X55,'ProCESS CSE'!R:R)</f>
        <v>7.3423904503196287E-3</v>
      </c>
      <c r="J55" s="330">
        <f t="shared" si="23"/>
        <v>7.5981641277058868E-3</v>
      </c>
      <c r="K55" s="330">
        <f t="shared" si="24"/>
        <v>7.8628477336074344E-3</v>
      </c>
      <c r="L55" s="330">
        <f t="shared" si="25"/>
        <v>8.1367516472116794E-3</v>
      </c>
      <c r="M55" s="330">
        <f t="shared" si="26"/>
        <v>8.4201970598286879E-3</v>
      </c>
      <c r="N55" s="330">
        <f t="shared" si="27"/>
        <v>8.7135163515336921E-3</v>
      </c>
      <c r="O55" s="330">
        <f t="shared" si="28"/>
        <v>9.0170534809300255E-3</v>
      </c>
      <c r="P55" s="330">
        <f t="shared" si="29"/>
        <v>9.331164388489516E-3</v>
      </c>
      <c r="Q55" s="330">
        <f t="shared" si="30"/>
        <v>9.6562174139433396E-3</v>
      </c>
      <c r="R55" s="330">
        <f t="shared" si="31"/>
        <v>9.9925937282127619E-3</v>
      </c>
      <c r="S55" s="330">
        <f t="shared" si="32"/>
        <v>1.0340687780386272E-2</v>
      </c>
      <c r="T55" s="330">
        <f t="shared" si="33"/>
        <v>1.0700907760267267E-2</v>
      </c>
      <c r="U55" s="330">
        <f t="shared" si="34"/>
        <v>1.1073676077034671E-2</v>
      </c>
      <c r="V55" s="430"/>
      <c r="W55" s="200" t="str">
        <f t="shared" si="3"/>
        <v>Small</v>
      </c>
      <c r="X55" s="198" t="str">
        <f t="shared" si="1"/>
        <v>DLC-Thermostat-DI-Central Heat PumpSmall</v>
      </c>
      <c r="Y55" s="157" t="b">
        <f>ISNUMBER(MATCH(X55,'ProCESS CSE'!W:W,0))</f>
        <v>1</v>
      </c>
      <c r="Z55" s="157"/>
      <c r="AA55" s="157"/>
      <c r="AB55" s="157"/>
      <c r="AC55" s="157"/>
      <c r="AD55" s="157"/>
      <c r="AE55" s="157"/>
      <c r="AF55" s="157"/>
      <c r="AG55" s="157"/>
      <c r="AH55" s="157"/>
      <c r="AI55" s="157"/>
      <c r="AJ55" s="157"/>
      <c r="AK55" s="157"/>
      <c r="AL55" s="157"/>
      <c r="AM55" s="157"/>
      <c r="AN55" s="157"/>
      <c r="AO55" s="157"/>
      <c r="AP55" s="157"/>
    </row>
    <row r="56" spans="1:42" ht="14.4" x14ac:dyDescent="0.25">
      <c r="A56" s="225" t="str">
        <f>'Participation Assumptions'!B57</f>
        <v>DLC-Thermostat-DI-Central Heat Pump</v>
      </c>
      <c r="B56" s="225" t="s">
        <v>397</v>
      </c>
      <c r="C56" s="225" t="str">
        <f>'Participation Assumptions'!C57</f>
        <v>Small Industrial</v>
      </c>
      <c r="D56" s="225" t="str">
        <f>'Participation Assumptions'!D57</f>
        <v>Manufacturing</v>
      </c>
      <c r="E56" s="330">
        <f t="shared" si="21"/>
        <v>7.7459861759638518E-3</v>
      </c>
      <c r="F56" s="330">
        <f t="shared" si="22"/>
        <v>7.5226912654688654E-3</v>
      </c>
      <c r="G56" s="330">
        <f>AVERAGEIF('ProCESS CSE'!$W:$W,'Control Strategy Eligibility'!$X56,'ProCESS CSE'!P:P)</f>
        <v>7.3058333167654822E-3</v>
      </c>
      <c r="H56" s="330">
        <f>AVERAGEIF('ProCESS CSE'!$W:$W,'Control Strategy Eligibility'!$X56,'ProCESS CSE'!Q:Q)</f>
        <v>7.09522677042015E-3</v>
      </c>
      <c r="I56" s="330">
        <f>AVERAGEIF('ProCESS CSE'!$W:$W,'Control Strategy Eligibility'!$X56,'ProCESS CSE'!R:R)</f>
        <v>7.3423904503196287E-3</v>
      </c>
      <c r="J56" s="330">
        <f t="shared" si="23"/>
        <v>7.5981641277058868E-3</v>
      </c>
      <c r="K56" s="330">
        <f t="shared" si="24"/>
        <v>7.8628477336074344E-3</v>
      </c>
      <c r="L56" s="330">
        <f t="shared" si="25"/>
        <v>8.1367516472116794E-3</v>
      </c>
      <c r="M56" s="330">
        <f t="shared" si="26"/>
        <v>8.4201970598286879E-3</v>
      </c>
      <c r="N56" s="330">
        <f t="shared" si="27"/>
        <v>8.7135163515336921E-3</v>
      </c>
      <c r="O56" s="330">
        <f t="shared" si="28"/>
        <v>9.0170534809300255E-3</v>
      </c>
      <c r="P56" s="330">
        <f t="shared" si="29"/>
        <v>9.331164388489516E-3</v>
      </c>
      <c r="Q56" s="330">
        <f t="shared" si="30"/>
        <v>9.6562174139433396E-3</v>
      </c>
      <c r="R56" s="330">
        <f t="shared" si="31"/>
        <v>9.9925937282127619E-3</v>
      </c>
      <c r="S56" s="330">
        <f t="shared" si="32"/>
        <v>1.0340687780386272E-2</v>
      </c>
      <c r="T56" s="330">
        <f t="shared" si="33"/>
        <v>1.0700907760267267E-2</v>
      </c>
      <c r="U56" s="330">
        <f t="shared" si="34"/>
        <v>1.1073676077034671E-2</v>
      </c>
      <c r="V56" s="430"/>
      <c r="W56" s="200" t="str">
        <f t="shared" si="3"/>
        <v>Small</v>
      </c>
      <c r="X56" s="198" t="str">
        <f t="shared" si="1"/>
        <v>DLC-Thermostat-DI-Central Heat PumpSmall</v>
      </c>
      <c r="Y56" s="157" t="b">
        <f>ISNUMBER(MATCH(X56,'ProCESS CSE'!W:W,0))</f>
        <v>1</v>
      </c>
      <c r="Z56" s="157"/>
      <c r="AA56" s="157"/>
      <c r="AB56" s="157"/>
      <c r="AC56" s="157"/>
      <c r="AD56" s="157"/>
      <c r="AE56" s="157"/>
      <c r="AF56" s="157"/>
      <c r="AG56" s="157"/>
      <c r="AH56" s="157"/>
      <c r="AI56" s="157"/>
      <c r="AJ56" s="157"/>
      <c r="AK56" s="157"/>
      <c r="AL56" s="157"/>
      <c r="AM56" s="157"/>
      <c r="AN56" s="157"/>
      <c r="AO56" s="157"/>
      <c r="AP56" s="157"/>
    </row>
    <row r="57" spans="1:42" ht="14.4" x14ac:dyDescent="0.25">
      <c r="A57" s="225" t="str">
        <f>'Participation Assumptions'!B58</f>
        <v>DLC-Thermostat-DI-Central Heat Pump</v>
      </c>
      <c r="B57" s="225" t="s">
        <v>397</v>
      </c>
      <c r="C57" s="225" t="str">
        <f>'Participation Assumptions'!C58</f>
        <v>Small Industrial</v>
      </c>
      <c r="D57" s="225" t="str">
        <f>'Participation Assumptions'!D58</f>
        <v>Miscellaneous</v>
      </c>
      <c r="E57" s="330">
        <f t="shared" si="21"/>
        <v>7.7459861759638518E-3</v>
      </c>
      <c r="F57" s="330">
        <f t="shared" si="22"/>
        <v>7.5226912654688654E-3</v>
      </c>
      <c r="G57" s="330">
        <f>AVERAGEIF('ProCESS CSE'!$W:$W,'Control Strategy Eligibility'!$X57,'ProCESS CSE'!P:P)</f>
        <v>7.3058333167654822E-3</v>
      </c>
      <c r="H57" s="330">
        <f>AVERAGEIF('ProCESS CSE'!$W:$W,'Control Strategy Eligibility'!$X57,'ProCESS CSE'!Q:Q)</f>
        <v>7.09522677042015E-3</v>
      </c>
      <c r="I57" s="330">
        <f>AVERAGEIF('ProCESS CSE'!$W:$W,'Control Strategy Eligibility'!$X57,'ProCESS CSE'!R:R)</f>
        <v>7.3423904503196287E-3</v>
      </c>
      <c r="J57" s="330">
        <f t="shared" si="23"/>
        <v>7.5981641277058868E-3</v>
      </c>
      <c r="K57" s="330">
        <f t="shared" si="24"/>
        <v>7.8628477336074344E-3</v>
      </c>
      <c r="L57" s="330">
        <f t="shared" si="25"/>
        <v>8.1367516472116794E-3</v>
      </c>
      <c r="M57" s="330">
        <f t="shared" si="26"/>
        <v>8.4201970598286879E-3</v>
      </c>
      <c r="N57" s="330">
        <f t="shared" si="27"/>
        <v>8.7135163515336921E-3</v>
      </c>
      <c r="O57" s="330">
        <f t="shared" si="28"/>
        <v>9.0170534809300255E-3</v>
      </c>
      <c r="P57" s="330">
        <f t="shared" si="29"/>
        <v>9.331164388489516E-3</v>
      </c>
      <c r="Q57" s="330">
        <f t="shared" si="30"/>
        <v>9.6562174139433396E-3</v>
      </c>
      <c r="R57" s="330">
        <f t="shared" si="31"/>
        <v>9.9925937282127619E-3</v>
      </c>
      <c r="S57" s="330">
        <f t="shared" si="32"/>
        <v>1.0340687780386272E-2</v>
      </c>
      <c r="T57" s="330">
        <f t="shared" si="33"/>
        <v>1.0700907760267267E-2</v>
      </c>
      <c r="U57" s="330">
        <f t="shared" si="34"/>
        <v>1.1073676077034671E-2</v>
      </c>
      <c r="V57" s="430"/>
      <c r="W57" s="200" t="str">
        <f t="shared" si="3"/>
        <v>Small</v>
      </c>
      <c r="X57" s="198" t="str">
        <f t="shared" si="1"/>
        <v>DLC-Thermostat-DI-Central Heat PumpSmall</v>
      </c>
      <c r="Y57" s="157" t="b">
        <f>ISNUMBER(MATCH(X57,'ProCESS CSE'!W:W,0))</f>
        <v>1</v>
      </c>
      <c r="Z57" s="157"/>
      <c r="AA57" s="157"/>
      <c r="AB57" s="157"/>
      <c r="AC57" s="157"/>
      <c r="AD57" s="157"/>
      <c r="AE57" s="157"/>
      <c r="AF57" s="157"/>
      <c r="AG57" s="157"/>
      <c r="AH57" s="157"/>
      <c r="AI57" s="157"/>
      <c r="AJ57" s="157"/>
      <c r="AK57" s="157"/>
      <c r="AL57" s="157"/>
      <c r="AM57" s="157"/>
      <c r="AN57" s="157"/>
      <c r="AO57" s="157"/>
      <c r="AP57" s="157"/>
    </row>
    <row r="58" spans="1:42" ht="14.4" x14ac:dyDescent="0.25">
      <c r="A58" s="225" t="str">
        <f>'Participation Assumptions'!B59</f>
        <v>DLC-Thermostat-DI-Central Heat Pump</v>
      </c>
      <c r="B58" s="225" t="s">
        <v>397</v>
      </c>
      <c r="C58" s="225" t="str">
        <f>'Participation Assumptions'!C59</f>
        <v>Small Industrial</v>
      </c>
      <c r="D58" s="225" t="str">
        <f>'Participation Assumptions'!D59</f>
        <v>Offices</v>
      </c>
      <c r="E58" s="330">
        <f t="shared" si="21"/>
        <v>7.7459861759638518E-3</v>
      </c>
      <c r="F58" s="330">
        <f t="shared" si="22"/>
        <v>7.5226912654688654E-3</v>
      </c>
      <c r="G58" s="330">
        <f>AVERAGEIF('ProCESS CSE'!$W:$W,'Control Strategy Eligibility'!$X58,'ProCESS CSE'!P:P)</f>
        <v>7.3058333167654822E-3</v>
      </c>
      <c r="H58" s="330">
        <f>AVERAGEIF('ProCESS CSE'!$W:$W,'Control Strategy Eligibility'!$X58,'ProCESS CSE'!Q:Q)</f>
        <v>7.09522677042015E-3</v>
      </c>
      <c r="I58" s="330">
        <f>AVERAGEIF('ProCESS CSE'!$W:$W,'Control Strategy Eligibility'!$X58,'ProCESS CSE'!R:R)</f>
        <v>7.3423904503196287E-3</v>
      </c>
      <c r="J58" s="330">
        <f t="shared" si="23"/>
        <v>7.5981641277058868E-3</v>
      </c>
      <c r="K58" s="330">
        <f t="shared" si="24"/>
        <v>7.8628477336074344E-3</v>
      </c>
      <c r="L58" s="330">
        <f t="shared" si="25"/>
        <v>8.1367516472116794E-3</v>
      </c>
      <c r="M58" s="330">
        <f t="shared" si="26"/>
        <v>8.4201970598286879E-3</v>
      </c>
      <c r="N58" s="330">
        <f t="shared" si="27"/>
        <v>8.7135163515336921E-3</v>
      </c>
      <c r="O58" s="330">
        <f t="shared" si="28"/>
        <v>9.0170534809300255E-3</v>
      </c>
      <c r="P58" s="330">
        <f t="shared" si="29"/>
        <v>9.331164388489516E-3</v>
      </c>
      <c r="Q58" s="330">
        <f t="shared" si="30"/>
        <v>9.6562174139433396E-3</v>
      </c>
      <c r="R58" s="330">
        <f t="shared" si="31"/>
        <v>9.9925937282127619E-3</v>
      </c>
      <c r="S58" s="330">
        <f t="shared" si="32"/>
        <v>1.0340687780386272E-2</v>
      </c>
      <c r="T58" s="330">
        <f t="shared" si="33"/>
        <v>1.0700907760267267E-2</v>
      </c>
      <c r="U58" s="330">
        <f t="shared" si="34"/>
        <v>1.1073676077034671E-2</v>
      </c>
      <c r="V58" s="430"/>
      <c r="W58" s="200" t="str">
        <f t="shared" si="3"/>
        <v>Small</v>
      </c>
      <c r="X58" s="198" t="str">
        <f t="shared" si="1"/>
        <v>DLC-Thermostat-DI-Central Heat PumpSmall</v>
      </c>
      <c r="Y58" s="157" t="b">
        <f>ISNUMBER(MATCH(X58,'ProCESS CSE'!W:W,0))</f>
        <v>1</v>
      </c>
      <c r="Z58" s="157"/>
      <c r="AA58" s="157"/>
      <c r="AB58" s="157"/>
      <c r="AC58" s="157"/>
      <c r="AD58" s="157"/>
      <c r="AE58" s="157"/>
      <c r="AF58" s="157"/>
      <c r="AG58" s="157"/>
      <c r="AH58" s="157"/>
      <c r="AI58" s="157"/>
      <c r="AJ58" s="157"/>
      <c r="AK58" s="157"/>
      <c r="AL58" s="157"/>
      <c r="AM58" s="157"/>
      <c r="AN58" s="157"/>
      <c r="AO58" s="157"/>
      <c r="AP58" s="157"/>
    </row>
    <row r="59" spans="1:42" ht="14.4" x14ac:dyDescent="0.25">
      <c r="A59" s="225" t="str">
        <f>'Participation Assumptions'!B60</f>
        <v>DLC-Thermostat-DI-Central Heat Pump</v>
      </c>
      <c r="B59" s="225" t="s">
        <v>397</v>
      </c>
      <c r="C59" s="225" t="str">
        <f>'Participation Assumptions'!C60</f>
        <v>Small Industrial</v>
      </c>
      <c r="D59" s="225" t="str">
        <f>'Participation Assumptions'!D60</f>
        <v>Retail Trade</v>
      </c>
      <c r="E59" s="330">
        <f t="shared" si="21"/>
        <v>7.7459861759638518E-3</v>
      </c>
      <c r="F59" s="330">
        <f t="shared" si="22"/>
        <v>7.5226912654688654E-3</v>
      </c>
      <c r="G59" s="330">
        <f>AVERAGEIF('ProCESS CSE'!$W:$W,'Control Strategy Eligibility'!$X59,'ProCESS CSE'!P:P)</f>
        <v>7.3058333167654822E-3</v>
      </c>
      <c r="H59" s="330">
        <f>AVERAGEIF('ProCESS CSE'!$W:$W,'Control Strategy Eligibility'!$X59,'ProCESS CSE'!Q:Q)</f>
        <v>7.09522677042015E-3</v>
      </c>
      <c r="I59" s="330">
        <f>AVERAGEIF('ProCESS CSE'!$W:$W,'Control Strategy Eligibility'!$X59,'ProCESS CSE'!R:R)</f>
        <v>7.3423904503196287E-3</v>
      </c>
      <c r="J59" s="330">
        <f t="shared" si="23"/>
        <v>7.5981641277058868E-3</v>
      </c>
      <c r="K59" s="330">
        <f t="shared" si="24"/>
        <v>7.8628477336074344E-3</v>
      </c>
      <c r="L59" s="330">
        <f t="shared" si="25"/>
        <v>8.1367516472116794E-3</v>
      </c>
      <c r="M59" s="330">
        <f t="shared" si="26"/>
        <v>8.4201970598286879E-3</v>
      </c>
      <c r="N59" s="330">
        <f t="shared" si="27"/>
        <v>8.7135163515336921E-3</v>
      </c>
      <c r="O59" s="330">
        <f t="shared" si="28"/>
        <v>9.0170534809300255E-3</v>
      </c>
      <c r="P59" s="330">
        <f t="shared" si="29"/>
        <v>9.331164388489516E-3</v>
      </c>
      <c r="Q59" s="330">
        <f t="shared" si="30"/>
        <v>9.6562174139433396E-3</v>
      </c>
      <c r="R59" s="330">
        <f t="shared" si="31"/>
        <v>9.9925937282127619E-3</v>
      </c>
      <c r="S59" s="330">
        <f t="shared" si="32"/>
        <v>1.0340687780386272E-2</v>
      </c>
      <c r="T59" s="330">
        <f t="shared" si="33"/>
        <v>1.0700907760267267E-2</v>
      </c>
      <c r="U59" s="330">
        <f t="shared" si="34"/>
        <v>1.1073676077034671E-2</v>
      </c>
      <c r="V59" s="430"/>
      <c r="W59" s="200" t="str">
        <f t="shared" si="3"/>
        <v>Small</v>
      </c>
      <c r="X59" s="198" t="str">
        <f t="shared" si="1"/>
        <v>DLC-Thermostat-DI-Central Heat PumpSmall</v>
      </c>
      <c r="Y59" s="157" t="b">
        <f>ISNUMBER(MATCH(X59,'ProCESS CSE'!W:W,0))</f>
        <v>1</v>
      </c>
      <c r="Z59" s="157"/>
      <c r="AA59" s="157"/>
      <c r="AB59" s="157"/>
      <c r="AC59" s="157"/>
      <c r="AD59" s="157"/>
      <c r="AE59" s="157"/>
      <c r="AF59" s="157"/>
      <c r="AG59" s="157"/>
      <c r="AH59" s="157"/>
      <c r="AI59" s="157"/>
      <c r="AJ59" s="157"/>
      <c r="AK59" s="157"/>
      <c r="AL59" s="157"/>
      <c r="AM59" s="157"/>
      <c r="AN59" s="157"/>
      <c r="AO59" s="157"/>
      <c r="AP59" s="157"/>
    </row>
    <row r="60" spans="1:42" ht="14.4" x14ac:dyDescent="0.25">
      <c r="A60" s="225" t="str">
        <f>'Participation Assumptions'!B61</f>
        <v>DLC-Thermostat-BYOT-Central Heat Pump</v>
      </c>
      <c r="B60" s="225" t="s">
        <v>397</v>
      </c>
      <c r="C60" s="225" t="str">
        <f>'Participation Assumptions'!C61</f>
        <v>Small Commercial</v>
      </c>
      <c r="D60" s="225" t="str">
        <f>'Participation Assumptions'!D61</f>
        <v>Manufacturing</v>
      </c>
      <c r="E60" s="330">
        <f>E11</f>
        <v>0.09</v>
      </c>
      <c r="F60" s="330">
        <f t="shared" ref="F60:U60" si="35">F11</f>
        <v>0.09</v>
      </c>
      <c r="G60" s="330">
        <f t="shared" si="35"/>
        <v>0.09</v>
      </c>
      <c r="H60" s="330">
        <f t="shared" si="35"/>
        <v>0.09</v>
      </c>
      <c r="I60" s="330">
        <f t="shared" si="35"/>
        <v>0.09</v>
      </c>
      <c r="J60" s="330">
        <f t="shared" si="35"/>
        <v>0.09</v>
      </c>
      <c r="K60" s="330">
        <f t="shared" si="35"/>
        <v>0.09</v>
      </c>
      <c r="L60" s="330">
        <f t="shared" si="35"/>
        <v>0.09</v>
      </c>
      <c r="M60" s="330">
        <f t="shared" si="35"/>
        <v>0.09</v>
      </c>
      <c r="N60" s="330">
        <f t="shared" si="35"/>
        <v>0.09</v>
      </c>
      <c r="O60" s="330">
        <f t="shared" si="35"/>
        <v>0.09</v>
      </c>
      <c r="P60" s="330">
        <f t="shared" si="35"/>
        <v>0.09</v>
      </c>
      <c r="Q60" s="330">
        <f t="shared" si="35"/>
        <v>0.09</v>
      </c>
      <c r="R60" s="330">
        <f t="shared" si="35"/>
        <v>0.09</v>
      </c>
      <c r="S60" s="330">
        <f t="shared" si="35"/>
        <v>0.09</v>
      </c>
      <c r="T60" s="330">
        <f t="shared" si="35"/>
        <v>0.09</v>
      </c>
      <c r="U60" s="330">
        <f t="shared" si="35"/>
        <v>0.09</v>
      </c>
      <c r="V60" s="430"/>
      <c r="W60" s="200" t="str">
        <f t="shared" si="3"/>
        <v>Small</v>
      </c>
      <c r="X60" s="198" t="str">
        <f t="shared" si="1"/>
        <v>DLC-Thermostat-BYOT-Central Heat PumpSmall</v>
      </c>
      <c r="Y60" s="157" t="b">
        <f>ISNUMBER(MATCH(X60,'ProCESS CSE'!W:W,0))</f>
        <v>0</v>
      </c>
      <c r="Z60" s="157"/>
      <c r="AA60" s="157"/>
      <c r="AB60" s="157"/>
      <c r="AC60" s="157"/>
      <c r="AD60" s="157"/>
      <c r="AE60" s="157"/>
      <c r="AF60" s="157"/>
      <c r="AG60" s="157"/>
      <c r="AH60" s="157"/>
      <c r="AI60" s="157"/>
      <c r="AJ60" s="157"/>
      <c r="AK60" s="157"/>
      <c r="AL60" s="157"/>
      <c r="AM60" s="157"/>
      <c r="AN60" s="157"/>
      <c r="AO60" s="157"/>
      <c r="AP60" s="157"/>
    </row>
    <row r="61" spans="1:42" ht="14.4" x14ac:dyDescent="0.25">
      <c r="A61" s="225" t="str">
        <f>'Participation Assumptions'!B62</f>
        <v>DLC-Thermostat-BYOT-Central Heat Pump</v>
      </c>
      <c r="B61" s="225" t="s">
        <v>397</v>
      </c>
      <c r="C61" s="225" t="str">
        <f>'Participation Assumptions'!C62</f>
        <v>Small Commercial</v>
      </c>
      <c r="D61" s="225" t="str">
        <f>'Participation Assumptions'!D62</f>
        <v>Miscellaneous</v>
      </c>
      <c r="E61" s="330">
        <f t="shared" ref="E61:E69" si="36">E60</f>
        <v>0.09</v>
      </c>
      <c r="F61" s="330">
        <f t="shared" ref="F61:F69" si="37">F60</f>
        <v>0.09</v>
      </c>
      <c r="G61" s="330">
        <f t="shared" ref="G61:G69" si="38">G60</f>
        <v>0.09</v>
      </c>
      <c r="H61" s="330">
        <f t="shared" ref="H61:H69" si="39">H60</f>
        <v>0.09</v>
      </c>
      <c r="I61" s="330">
        <f t="shared" ref="I61:I69" si="40">I60</f>
        <v>0.09</v>
      </c>
      <c r="J61" s="330">
        <f t="shared" ref="J61:J69" si="41">J60</f>
        <v>0.09</v>
      </c>
      <c r="K61" s="330">
        <f t="shared" ref="K61:K69" si="42">K60</f>
        <v>0.09</v>
      </c>
      <c r="L61" s="330">
        <f t="shared" ref="L61:L69" si="43">L60</f>
        <v>0.09</v>
      </c>
      <c r="M61" s="330">
        <f t="shared" ref="M61:M69" si="44">M60</f>
        <v>0.09</v>
      </c>
      <c r="N61" s="330">
        <f t="shared" ref="N61:N69" si="45">N60</f>
        <v>0.09</v>
      </c>
      <c r="O61" s="330">
        <f t="shared" ref="O61:O69" si="46">O60</f>
        <v>0.09</v>
      </c>
      <c r="P61" s="330">
        <f t="shared" ref="P61:P69" si="47">P60</f>
        <v>0.09</v>
      </c>
      <c r="Q61" s="330">
        <f t="shared" ref="Q61:Q69" si="48">Q60</f>
        <v>0.09</v>
      </c>
      <c r="R61" s="330">
        <f t="shared" ref="R61:R69" si="49">R60</f>
        <v>0.09</v>
      </c>
      <c r="S61" s="330">
        <f t="shared" ref="S61:S69" si="50">S60</f>
        <v>0.09</v>
      </c>
      <c r="T61" s="330">
        <f t="shared" ref="T61:T69" si="51">T60</f>
        <v>0.09</v>
      </c>
      <c r="U61" s="330">
        <f t="shared" ref="U61:U69" si="52">U60</f>
        <v>0.09</v>
      </c>
      <c r="V61" s="430"/>
      <c r="W61" s="200" t="str">
        <f t="shared" si="3"/>
        <v>Small</v>
      </c>
      <c r="X61" s="198" t="str">
        <f t="shared" si="1"/>
        <v>DLC-Thermostat-BYOT-Central Heat PumpSmall</v>
      </c>
      <c r="Y61" s="157" t="b">
        <f>ISNUMBER(MATCH(X61,'ProCESS CSE'!W:W,0))</f>
        <v>0</v>
      </c>
      <c r="Z61" s="157"/>
      <c r="AA61" s="157"/>
      <c r="AB61" s="157"/>
      <c r="AC61" s="157"/>
      <c r="AD61" s="157"/>
      <c r="AE61" s="157"/>
      <c r="AF61" s="157"/>
      <c r="AG61" s="157"/>
      <c r="AH61" s="157"/>
      <c r="AI61" s="157"/>
      <c r="AJ61" s="157"/>
      <c r="AK61" s="157"/>
      <c r="AL61" s="157"/>
      <c r="AM61" s="157"/>
      <c r="AN61" s="157"/>
      <c r="AO61" s="157"/>
      <c r="AP61" s="157"/>
    </row>
    <row r="62" spans="1:42" ht="14.4" x14ac:dyDescent="0.25">
      <c r="A62" s="225" t="str">
        <f>'Participation Assumptions'!B63</f>
        <v>DLC-Thermostat-BYOT-Central Heat Pump</v>
      </c>
      <c r="B62" s="225" t="s">
        <v>397</v>
      </c>
      <c r="C62" s="225" t="str">
        <f>'Participation Assumptions'!C63</f>
        <v>Small Commercial</v>
      </c>
      <c r="D62" s="225" t="str">
        <f>'Participation Assumptions'!D63</f>
        <v>Offices</v>
      </c>
      <c r="E62" s="330">
        <f t="shared" si="36"/>
        <v>0.09</v>
      </c>
      <c r="F62" s="330">
        <f t="shared" si="37"/>
        <v>0.09</v>
      </c>
      <c r="G62" s="330">
        <f t="shared" si="38"/>
        <v>0.09</v>
      </c>
      <c r="H62" s="330">
        <f t="shared" si="39"/>
        <v>0.09</v>
      </c>
      <c r="I62" s="330">
        <f t="shared" si="40"/>
        <v>0.09</v>
      </c>
      <c r="J62" s="330">
        <f t="shared" si="41"/>
        <v>0.09</v>
      </c>
      <c r="K62" s="330">
        <f t="shared" si="42"/>
        <v>0.09</v>
      </c>
      <c r="L62" s="330">
        <f t="shared" si="43"/>
        <v>0.09</v>
      </c>
      <c r="M62" s="330">
        <f t="shared" si="44"/>
        <v>0.09</v>
      </c>
      <c r="N62" s="330">
        <f t="shared" si="45"/>
        <v>0.09</v>
      </c>
      <c r="O62" s="330">
        <f t="shared" si="46"/>
        <v>0.09</v>
      </c>
      <c r="P62" s="330">
        <f t="shared" si="47"/>
        <v>0.09</v>
      </c>
      <c r="Q62" s="330">
        <f t="shared" si="48"/>
        <v>0.09</v>
      </c>
      <c r="R62" s="330">
        <f t="shared" si="49"/>
        <v>0.09</v>
      </c>
      <c r="S62" s="330">
        <f t="shared" si="50"/>
        <v>0.09</v>
      </c>
      <c r="T62" s="330">
        <f t="shared" si="51"/>
        <v>0.09</v>
      </c>
      <c r="U62" s="330">
        <f t="shared" si="52"/>
        <v>0.09</v>
      </c>
      <c r="V62" s="430"/>
      <c r="W62" s="200" t="str">
        <f t="shared" si="3"/>
        <v>Small</v>
      </c>
      <c r="X62" s="198" t="str">
        <f t="shared" si="1"/>
        <v>DLC-Thermostat-BYOT-Central Heat PumpSmall</v>
      </c>
      <c r="Y62" s="157" t="b">
        <f>ISNUMBER(MATCH(X62,'ProCESS CSE'!W:W,0))</f>
        <v>0</v>
      </c>
      <c r="Z62" s="157"/>
      <c r="AA62" s="157"/>
      <c r="AB62" s="157"/>
      <c r="AC62" s="157"/>
      <c r="AD62" s="157"/>
      <c r="AE62" s="157"/>
      <c r="AF62" s="157"/>
      <c r="AG62" s="157"/>
      <c r="AH62" s="157"/>
      <c r="AI62" s="157"/>
      <c r="AJ62" s="157"/>
      <c r="AK62" s="157"/>
      <c r="AL62" s="157"/>
      <c r="AM62" s="157"/>
      <c r="AN62" s="157"/>
      <c r="AO62" s="157"/>
      <c r="AP62" s="157"/>
    </row>
    <row r="63" spans="1:42" ht="14.4" x14ac:dyDescent="0.25">
      <c r="A63" s="225" t="str">
        <f>'Participation Assumptions'!B64</f>
        <v>DLC-Thermostat-BYOT-Central Heat Pump</v>
      </c>
      <c r="B63" s="225" t="s">
        <v>397</v>
      </c>
      <c r="C63" s="225" t="str">
        <f>'Participation Assumptions'!C64</f>
        <v>Small Commercial</v>
      </c>
      <c r="D63" s="225" t="str">
        <f>'Participation Assumptions'!D64</f>
        <v>Retail Trade</v>
      </c>
      <c r="E63" s="330">
        <f t="shared" si="36"/>
        <v>0.09</v>
      </c>
      <c r="F63" s="330">
        <f t="shared" si="37"/>
        <v>0.09</v>
      </c>
      <c r="G63" s="330">
        <f t="shared" si="38"/>
        <v>0.09</v>
      </c>
      <c r="H63" s="330">
        <f t="shared" si="39"/>
        <v>0.09</v>
      </c>
      <c r="I63" s="330">
        <f t="shared" si="40"/>
        <v>0.09</v>
      </c>
      <c r="J63" s="330">
        <f t="shared" si="41"/>
        <v>0.09</v>
      </c>
      <c r="K63" s="330">
        <f t="shared" si="42"/>
        <v>0.09</v>
      </c>
      <c r="L63" s="330">
        <f t="shared" si="43"/>
        <v>0.09</v>
      </c>
      <c r="M63" s="330">
        <f t="shared" si="44"/>
        <v>0.09</v>
      </c>
      <c r="N63" s="330">
        <f t="shared" si="45"/>
        <v>0.09</v>
      </c>
      <c r="O63" s="330">
        <f t="shared" si="46"/>
        <v>0.09</v>
      </c>
      <c r="P63" s="330">
        <f t="shared" si="47"/>
        <v>0.09</v>
      </c>
      <c r="Q63" s="330">
        <f t="shared" si="48"/>
        <v>0.09</v>
      </c>
      <c r="R63" s="330">
        <f t="shared" si="49"/>
        <v>0.09</v>
      </c>
      <c r="S63" s="330">
        <f t="shared" si="50"/>
        <v>0.09</v>
      </c>
      <c r="T63" s="330">
        <f t="shared" si="51"/>
        <v>0.09</v>
      </c>
      <c r="U63" s="330">
        <f t="shared" si="52"/>
        <v>0.09</v>
      </c>
      <c r="V63" s="430"/>
      <c r="W63" s="200" t="str">
        <f t="shared" si="3"/>
        <v>Small</v>
      </c>
      <c r="X63" s="198" t="str">
        <f t="shared" si="1"/>
        <v>DLC-Thermostat-BYOT-Central Heat PumpSmall</v>
      </c>
      <c r="Y63" s="157" t="b">
        <f>ISNUMBER(MATCH(X63,'ProCESS CSE'!W:W,0))</f>
        <v>0</v>
      </c>
      <c r="Z63" s="157"/>
      <c r="AA63" s="157"/>
      <c r="AB63" s="157"/>
      <c r="AC63" s="157"/>
      <c r="AD63" s="157"/>
      <c r="AE63" s="157"/>
      <c r="AF63" s="157"/>
      <c r="AG63" s="157"/>
      <c r="AH63" s="157"/>
      <c r="AI63" s="157"/>
      <c r="AJ63" s="157"/>
      <c r="AK63" s="157"/>
      <c r="AL63" s="157"/>
      <c r="AM63" s="157"/>
      <c r="AN63" s="157"/>
      <c r="AO63" s="157"/>
      <c r="AP63" s="157"/>
    </row>
    <row r="64" spans="1:42" ht="14.4" x14ac:dyDescent="0.25">
      <c r="A64" s="225" t="str">
        <f>'Participation Assumptions'!B65</f>
        <v>DLC-Thermostat-BYOT-Central Heat Pump</v>
      </c>
      <c r="B64" s="225" t="s">
        <v>397</v>
      </c>
      <c r="C64" s="225" t="str">
        <f>'Participation Assumptions'!C65</f>
        <v>Small Commercial</v>
      </c>
      <c r="D64" s="225" t="str">
        <f>'Participation Assumptions'!D65</f>
        <v>Services</v>
      </c>
      <c r="E64" s="330">
        <f t="shared" si="36"/>
        <v>0.09</v>
      </c>
      <c r="F64" s="330">
        <f t="shared" si="37"/>
        <v>0.09</v>
      </c>
      <c r="G64" s="330">
        <f t="shared" si="38"/>
        <v>0.09</v>
      </c>
      <c r="H64" s="330">
        <f t="shared" si="39"/>
        <v>0.09</v>
      </c>
      <c r="I64" s="330">
        <f t="shared" si="40"/>
        <v>0.09</v>
      </c>
      <c r="J64" s="330">
        <f t="shared" si="41"/>
        <v>0.09</v>
      </c>
      <c r="K64" s="330">
        <f t="shared" si="42"/>
        <v>0.09</v>
      </c>
      <c r="L64" s="330">
        <f t="shared" si="43"/>
        <v>0.09</v>
      </c>
      <c r="M64" s="330">
        <f t="shared" si="44"/>
        <v>0.09</v>
      </c>
      <c r="N64" s="330">
        <f t="shared" si="45"/>
        <v>0.09</v>
      </c>
      <c r="O64" s="330">
        <f t="shared" si="46"/>
        <v>0.09</v>
      </c>
      <c r="P64" s="330">
        <f t="shared" si="47"/>
        <v>0.09</v>
      </c>
      <c r="Q64" s="330">
        <f t="shared" si="48"/>
        <v>0.09</v>
      </c>
      <c r="R64" s="330">
        <f t="shared" si="49"/>
        <v>0.09</v>
      </c>
      <c r="S64" s="330">
        <f t="shared" si="50"/>
        <v>0.09</v>
      </c>
      <c r="T64" s="330">
        <f t="shared" si="51"/>
        <v>0.09</v>
      </c>
      <c r="U64" s="330">
        <f t="shared" si="52"/>
        <v>0.09</v>
      </c>
      <c r="V64" s="430"/>
      <c r="W64" s="200" t="str">
        <f t="shared" si="3"/>
        <v>Small</v>
      </c>
      <c r="X64" s="198" t="str">
        <f t="shared" si="1"/>
        <v>DLC-Thermostat-BYOT-Central Heat PumpSmall</v>
      </c>
      <c r="Y64" s="157" t="b">
        <f>ISNUMBER(MATCH(X64,'ProCESS CSE'!W:W,0))</f>
        <v>0</v>
      </c>
      <c r="Z64" s="157"/>
      <c r="AA64" s="157"/>
      <c r="AB64" s="157"/>
      <c r="AC64" s="157"/>
      <c r="AD64" s="157"/>
      <c r="AE64" s="157"/>
      <c r="AF64" s="157"/>
      <c r="AG64" s="157"/>
      <c r="AH64" s="157"/>
      <c r="AI64" s="157"/>
      <c r="AJ64" s="157"/>
      <c r="AK64" s="157"/>
      <c r="AL64" s="157"/>
      <c r="AM64" s="157"/>
      <c r="AN64" s="157"/>
      <c r="AO64" s="157"/>
      <c r="AP64" s="157"/>
    </row>
    <row r="65" spans="1:42" ht="14.4" x14ac:dyDescent="0.25">
      <c r="A65" s="225" t="str">
        <f>'Participation Assumptions'!B66</f>
        <v>DLC-Thermostat-BYOT-Central Heat Pump</v>
      </c>
      <c r="B65" s="225" t="s">
        <v>397</v>
      </c>
      <c r="C65" s="225" t="str">
        <f>'Participation Assumptions'!C66</f>
        <v>Small Industrial</v>
      </c>
      <c r="D65" s="225" t="str">
        <f>'Participation Assumptions'!D66</f>
        <v>Services</v>
      </c>
      <c r="E65" s="330">
        <f t="shared" si="36"/>
        <v>0.09</v>
      </c>
      <c r="F65" s="330">
        <f t="shared" si="37"/>
        <v>0.09</v>
      </c>
      <c r="G65" s="330">
        <f t="shared" si="38"/>
        <v>0.09</v>
      </c>
      <c r="H65" s="330">
        <f t="shared" si="39"/>
        <v>0.09</v>
      </c>
      <c r="I65" s="330">
        <f t="shared" si="40"/>
        <v>0.09</v>
      </c>
      <c r="J65" s="330">
        <f t="shared" si="41"/>
        <v>0.09</v>
      </c>
      <c r="K65" s="330">
        <f t="shared" si="42"/>
        <v>0.09</v>
      </c>
      <c r="L65" s="330">
        <f t="shared" si="43"/>
        <v>0.09</v>
      </c>
      <c r="M65" s="330">
        <f t="shared" si="44"/>
        <v>0.09</v>
      </c>
      <c r="N65" s="330">
        <f t="shared" si="45"/>
        <v>0.09</v>
      </c>
      <c r="O65" s="330">
        <f t="shared" si="46"/>
        <v>0.09</v>
      </c>
      <c r="P65" s="330">
        <f t="shared" si="47"/>
        <v>0.09</v>
      </c>
      <c r="Q65" s="330">
        <f t="shared" si="48"/>
        <v>0.09</v>
      </c>
      <c r="R65" s="330">
        <f t="shared" si="49"/>
        <v>0.09</v>
      </c>
      <c r="S65" s="330">
        <f t="shared" si="50"/>
        <v>0.09</v>
      </c>
      <c r="T65" s="330">
        <f t="shared" si="51"/>
        <v>0.09</v>
      </c>
      <c r="U65" s="330">
        <f t="shared" si="52"/>
        <v>0.09</v>
      </c>
      <c r="V65" s="430"/>
      <c r="W65" s="200" t="str">
        <f t="shared" si="3"/>
        <v>Small</v>
      </c>
      <c r="X65" s="198" t="str">
        <f t="shared" si="1"/>
        <v>DLC-Thermostat-BYOT-Central Heat PumpSmall</v>
      </c>
      <c r="Y65" s="157" t="b">
        <f>ISNUMBER(MATCH(X65,'ProCESS CSE'!W:W,0))</f>
        <v>0</v>
      </c>
      <c r="Z65" s="157"/>
      <c r="AA65" s="157"/>
      <c r="AB65" s="157"/>
      <c r="AC65" s="157"/>
      <c r="AD65" s="157"/>
      <c r="AE65" s="157"/>
      <c r="AF65" s="157"/>
      <c r="AG65" s="157"/>
      <c r="AH65" s="157"/>
      <c r="AI65" s="157"/>
      <c r="AJ65" s="157"/>
      <c r="AK65" s="157"/>
      <c r="AL65" s="157"/>
      <c r="AM65" s="157"/>
      <c r="AN65" s="157"/>
      <c r="AO65" s="157"/>
      <c r="AP65" s="157"/>
    </row>
    <row r="66" spans="1:42" ht="14.4" x14ac:dyDescent="0.25">
      <c r="A66" s="225" t="str">
        <f>'Participation Assumptions'!B67</f>
        <v>DLC-Thermostat-BYOT-Central Heat Pump</v>
      </c>
      <c r="B66" s="225" t="s">
        <v>397</v>
      </c>
      <c r="C66" s="225" t="str">
        <f>'Participation Assumptions'!C67</f>
        <v>Small Industrial</v>
      </c>
      <c r="D66" s="225" t="str">
        <f>'Participation Assumptions'!D67</f>
        <v>Manufacturing</v>
      </c>
      <c r="E66" s="330">
        <f t="shared" si="36"/>
        <v>0.09</v>
      </c>
      <c r="F66" s="330">
        <f t="shared" si="37"/>
        <v>0.09</v>
      </c>
      <c r="G66" s="330">
        <f t="shared" si="38"/>
        <v>0.09</v>
      </c>
      <c r="H66" s="330">
        <f t="shared" si="39"/>
        <v>0.09</v>
      </c>
      <c r="I66" s="330">
        <f t="shared" si="40"/>
        <v>0.09</v>
      </c>
      <c r="J66" s="330">
        <f t="shared" si="41"/>
        <v>0.09</v>
      </c>
      <c r="K66" s="330">
        <f t="shared" si="42"/>
        <v>0.09</v>
      </c>
      <c r="L66" s="330">
        <f t="shared" si="43"/>
        <v>0.09</v>
      </c>
      <c r="M66" s="330">
        <f t="shared" si="44"/>
        <v>0.09</v>
      </c>
      <c r="N66" s="330">
        <f t="shared" si="45"/>
        <v>0.09</v>
      </c>
      <c r="O66" s="330">
        <f t="shared" si="46"/>
        <v>0.09</v>
      </c>
      <c r="P66" s="330">
        <f t="shared" si="47"/>
        <v>0.09</v>
      </c>
      <c r="Q66" s="330">
        <f t="shared" si="48"/>
        <v>0.09</v>
      </c>
      <c r="R66" s="330">
        <f t="shared" si="49"/>
        <v>0.09</v>
      </c>
      <c r="S66" s="330">
        <f t="shared" si="50"/>
        <v>0.09</v>
      </c>
      <c r="T66" s="330">
        <f t="shared" si="51"/>
        <v>0.09</v>
      </c>
      <c r="U66" s="330">
        <f t="shared" si="52"/>
        <v>0.09</v>
      </c>
      <c r="V66" s="430"/>
      <c r="W66" s="200" t="str">
        <f t="shared" si="3"/>
        <v>Small</v>
      </c>
      <c r="X66" s="198" t="str">
        <f t="shared" si="1"/>
        <v>DLC-Thermostat-BYOT-Central Heat PumpSmall</v>
      </c>
      <c r="Y66" s="157" t="b">
        <f>ISNUMBER(MATCH(X66,'ProCESS CSE'!W:W,0))</f>
        <v>0</v>
      </c>
      <c r="Z66" s="157"/>
      <c r="AA66" s="157"/>
      <c r="AB66" s="157"/>
      <c r="AC66" s="157"/>
      <c r="AD66" s="157"/>
      <c r="AE66" s="157"/>
      <c r="AF66" s="157"/>
      <c r="AG66" s="157"/>
      <c r="AH66" s="157"/>
      <c r="AI66" s="157"/>
      <c r="AJ66" s="157"/>
      <c r="AK66" s="157"/>
      <c r="AL66" s="157"/>
      <c r="AM66" s="157"/>
      <c r="AN66" s="157"/>
      <c r="AO66" s="157"/>
      <c r="AP66" s="157"/>
    </row>
    <row r="67" spans="1:42" ht="14.4" x14ac:dyDescent="0.25">
      <c r="A67" s="225" t="str">
        <f>'Participation Assumptions'!B68</f>
        <v>DLC-Thermostat-BYOT-Central Heat Pump</v>
      </c>
      <c r="B67" s="225" t="s">
        <v>397</v>
      </c>
      <c r="C67" s="225" t="str">
        <f>'Participation Assumptions'!C68</f>
        <v>Small Industrial</v>
      </c>
      <c r="D67" s="225" t="str">
        <f>'Participation Assumptions'!D68</f>
        <v>Miscellaneous</v>
      </c>
      <c r="E67" s="330">
        <f t="shared" si="36"/>
        <v>0.09</v>
      </c>
      <c r="F67" s="330">
        <f t="shared" si="37"/>
        <v>0.09</v>
      </c>
      <c r="G67" s="330">
        <f t="shared" si="38"/>
        <v>0.09</v>
      </c>
      <c r="H67" s="330">
        <f t="shared" si="39"/>
        <v>0.09</v>
      </c>
      <c r="I67" s="330">
        <f t="shared" si="40"/>
        <v>0.09</v>
      </c>
      <c r="J67" s="330">
        <f t="shared" si="41"/>
        <v>0.09</v>
      </c>
      <c r="K67" s="330">
        <f t="shared" si="42"/>
        <v>0.09</v>
      </c>
      <c r="L67" s="330">
        <f t="shared" si="43"/>
        <v>0.09</v>
      </c>
      <c r="M67" s="330">
        <f t="shared" si="44"/>
        <v>0.09</v>
      </c>
      <c r="N67" s="330">
        <f t="shared" si="45"/>
        <v>0.09</v>
      </c>
      <c r="O67" s="330">
        <f t="shared" si="46"/>
        <v>0.09</v>
      </c>
      <c r="P67" s="330">
        <f t="shared" si="47"/>
        <v>0.09</v>
      </c>
      <c r="Q67" s="330">
        <f t="shared" si="48"/>
        <v>0.09</v>
      </c>
      <c r="R67" s="330">
        <f t="shared" si="49"/>
        <v>0.09</v>
      </c>
      <c r="S67" s="330">
        <f t="shared" si="50"/>
        <v>0.09</v>
      </c>
      <c r="T67" s="330">
        <f t="shared" si="51"/>
        <v>0.09</v>
      </c>
      <c r="U67" s="330">
        <f t="shared" si="52"/>
        <v>0.09</v>
      </c>
      <c r="V67" s="430"/>
      <c r="W67" s="200" t="str">
        <f t="shared" si="3"/>
        <v>Small</v>
      </c>
      <c r="X67" s="198" t="str">
        <f t="shared" si="1"/>
        <v>DLC-Thermostat-BYOT-Central Heat PumpSmall</v>
      </c>
      <c r="Y67" s="157" t="b">
        <f>ISNUMBER(MATCH(X67,'ProCESS CSE'!W:W,0))</f>
        <v>0</v>
      </c>
      <c r="Z67" s="157"/>
      <c r="AA67" s="157"/>
      <c r="AB67" s="157"/>
      <c r="AC67" s="157"/>
      <c r="AD67" s="157"/>
      <c r="AE67" s="157"/>
      <c r="AF67" s="157"/>
      <c r="AG67" s="157"/>
      <c r="AH67" s="157"/>
      <c r="AI67" s="157"/>
      <c r="AJ67" s="157"/>
      <c r="AK67" s="157"/>
      <c r="AL67" s="157"/>
      <c r="AM67" s="157"/>
      <c r="AN67" s="157"/>
      <c r="AO67" s="157"/>
      <c r="AP67" s="157"/>
    </row>
    <row r="68" spans="1:42" ht="14.4" x14ac:dyDescent="0.25">
      <c r="A68" s="225" t="str">
        <f>'Participation Assumptions'!B69</f>
        <v>DLC-Thermostat-BYOT-Central Heat Pump</v>
      </c>
      <c r="B68" s="225" t="s">
        <v>397</v>
      </c>
      <c r="C68" s="225" t="str">
        <f>'Participation Assumptions'!C69</f>
        <v>Small Industrial</v>
      </c>
      <c r="D68" s="225" t="str">
        <f>'Participation Assumptions'!D69</f>
        <v>Offices</v>
      </c>
      <c r="E68" s="330">
        <f t="shared" si="36"/>
        <v>0.09</v>
      </c>
      <c r="F68" s="330">
        <f t="shared" si="37"/>
        <v>0.09</v>
      </c>
      <c r="G68" s="330">
        <f t="shared" si="38"/>
        <v>0.09</v>
      </c>
      <c r="H68" s="330">
        <f t="shared" si="39"/>
        <v>0.09</v>
      </c>
      <c r="I68" s="330">
        <f t="shared" si="40"/>
        <v>0.09</v>
      </c>
      <c r="J68" s="330">
        <f t="shared" si="41"/>
        <v>0.09</v>
      </c>
      <c r="K68" s="330">
        <f t="shared" si="42"/>
        <v>0.09</v>
      </c>
      <c r="L68" s="330">
        <f t="shared" si="43"/>
        <v>0.09</v>
      </c>
      <c r="M68" s="330">
        <f t="shared" si="44"/>
        <v>0.09</v>
      </c>
      <c r="N68" s="330">
        <f t="shared" si="45"/>
        <v>0.09</v>
      </c>
      <c r="O68" s="330">
        <f t="shared" si="46"/>
        <v>0.09</v>
      </c>
      <c r="P68" s="330">
        <f t="shared" si="47"/>
        <v>0.09</v>
      </c>
      <c r="Q68" s="330">
        <f t="shared" si="48"/>
        <v>0.09</v>
      </c>
      <c r="R68" s="330">
        <f t="shared" si="49"/>
        <v>0.09</v>
      </c>
      <c r="S68" s="330">
        <f t="shared" si="50"/>
        <v>0.09</v>
      </c>
      <c r="T68" s="330">
        <f t="shared" si="51"/>
        <v>0.09</v>
      </c>
      <c r="U68" s="330">
        <f t="shared" si="52"/>
        <v>0.09</v>
      </c>
      <c r="V68" s="430"/>
      <c r="W68" s="200" t="str">
        <f t="shared" si="3"/>
        <v>Small</v>
      </c>
      <c r="X68" s="198" t="str">
        <f t="shared" ref="X68:X131" si="53">_xlfn.CONCAT(A68,W68)</f>
        <v>DLC-Thermostat-BYOT-Central Heat PumpSmall</v>
      </c>
      <c r="Y68" s="157" t="b">
        <f>ISNUMBER(MATCH(X68,'ProCESS CSE'!W:W,0))</f>
        <v>0</v>
      </c>
      <c r="Z68" s="157"/>
      <c r="AA68" s="157"/>
      <c r="AB68" s="157"/>
      <c r="AC68" s="157"/>
      <c r="AD68" s="157"/>
      <c r="AE68" s="157"/>
      <c r="AF68" s="157"/>
      <c r="AG68" s="157"/>
      <c r="AH68" s="157"/>
      <c r="AI68" s="157"/>
      <c r="AJ68" s="157"/>
      <c r="AK68" s="157"/>
      <c r="AL68" s="157"/>
      <c r="AM68" s="157"/>
      <c r="AN68" s="157"/>
      <c r="AO68" s="157"/>
      <c r="AP68" s="157"/>
    </row>
    <row r="69" spans="1:42" ht="14.4" x14ac:dyDescent="0.25">
      <c r="A69" s="225" t="str">
        <f>'Participation Assumptions'!B70</f>
        <v>DLC-Thermostat-BYOT-Central Heat Pump</v>
      </c>
      <c r="B69" s="225" t="s">
        <v>397</v>
      </c>
      <c r="C69" s="225" t="str">
        <f>'Participation Assumptions'!C70</f>
        <v>Small Industrial</v>
      </c>
      <c r="D69" s="225" t="str">
        <f>'Participation Assumptions'!D70</f>
        <v>Retail Trade</v>
      </c>
      <c r="E69" s="330">
        <f t="shared" si="36"/>
        <v>0.09</v>
      </c>
      <c r="F69" s="330">
        <f t="shared" si="37"/>
        <v>0.09</v>
      </c>
      <c r="G69" s="330">
        <f t="shared" si="38"/>
        <v>0.09</v>
      </c>
      <c r="H69" s="330">
        <f t="shared" si="39"/>
        <v>0.09</v>
      </c>
      <c r="I69" s="330">
        <f t="shared" si="40"/>
        <v>0.09</v>
      </c>
      <c r="J69" s="330">
        <f t="shared" si="41"/>
        <v>0.09</v>
      </c>
      <c r="K69" s="330">
        <f t="shared" si="42"/>
        <v>0.09</v>
      </c>
      <c r="L69" s="330">
        <f t="shared" si="43"/>
        <v>0.09</v>
      </c>
      <c r="M69" s="330">
        <f t="shared" si="44"/>
        <v>0.09</v>
      </c>
      <c r="N69" s="330">
        <f t="shared" si="45"/>
        <v>0.09</v>
      </c>
      <c r="O69" s="330">
        <f t="shared" si="46"/>
        <v>0.09</v>
      </c>
      <c r="P69" s="330">
        <f t="shared" si="47"/>
        <v>0.09</v>
      </c>
      <c r="Q69" s="330">
        <f t="shared" si="48"/>
        <v>0.09</v>
      </c>
      <c r="R69" s="330">
        <f t="shared" si="49"/>
        <v>0.09</v>
      </c>
      <c r="S69" s="330">
        <f t="shared" si="50"/>
        <v>0.09</v>
      </c>
      <c r="T69" s="330">
        <f t="shared" si="51"/>
        <v>0.09</v>
      </c>
      <c r="U69" s="330">
        <f t="shared" si="52"/>
        <v>0.09</v>
      </c>
      <c r="V69" s="430"/>
      <c r="W69" s="200" t="str">
        <f t="shared" ref="W69:W132" si="54">TRIM(IF(ISNUMBER(SEARCH("Interruptible", C69)), "Large", IFERROR(LEFT(C69,SEARCH(" ",C69)), C69)))</f>
        <v>Small</v>
      </c>
      <c r="X69" s="198" t="str">
        <f t="shared" si="53"/>
        <v>DLC-Thermostat-BYOT-Central Heat PumpSmall</v>
      </c>
      <c r="Y69" s="157" t="b">
        <f>ISNUMBER(MATCH(X69,'ProCESS CSE'!W:W,0))</f>
        <v>0</v>
      </c>
      <c r="Z69" s="157"/>
      <c r="AA69" s="157"/>
      <c r="AB69" s="157"/>
      <c r="AC69" s="157"/>
      <c r="AD69" s="157"/>
      <c r="AE69" s="157"/>
      <c r="AF69" s="157"/>
      <c r="AG69" s="157"/>
      <c r="AH69" s="157"/>
      <c r="AI69" s="157"/>
      <c r="AJ69" s="157"/>
      <c r="AK69" s="157"/>
      <c r="AL69" s="157"/>
      <c r="AM69" s="157"/>
      <c r="AN69" s="157"/>
      <c r="AO69" s="157"/>
      <c r="AP69" s="157"/>
    </row>
    <row r="70" spans="1:42" ht="14.4" x14ac:dyDescent="0.25">
      <c r="A70" s="225" t="str">
        <f>'Participation Assumptions'!B71</f>
        <v>DLC-Thermostat-DI-Baseboard Heating</v>
      </c>
      <c r="B70" s="225" t="s">
        <v>397</v>
      </c>
      <c r="C70" s="225" t="str">
        <f>'Participation Assumptions'!C71</f>
        <v>Small Commercial</v>
      </c>
      <c r="D70" s="225" t="str">
        <f>'Participation Assumptions'!D71</f>
        <v>Manufacturing</v>
      </c>
      <c r="E70" s="330">
        <f t="shared" ref="E70:E79" si="55">(F70/G70)*F70</f>
        <v>2.6256333097901485E-2</v>
      </c>
      <c r="F70" s="330">
        <f t="shared" ref="F70:F79" si="56">(G70/H70)*G70</f>
        <v>2.8293498699336377E-2</v>
      </c>
      <c r="G70" s="330">
        <f>AVERAGEIF('ProCESS CSE'!$W:$W,'Control Strategy Eligibility'!$X70,'ProCESS CSE'!P:P)</f>
        <v>3.0488723069762181E-2</v>
      </c>
      <c r="H70" s="330">
        <f>AVERAGEIF('ProCESS CSE'!$W:$W,'Control Strategy Eligibility'!$X70,'ProCESS CSE'!Q:Q)</f>
        <v>3.2854269608107937E-2</v>
      </c>
      <c r="I70" s="330">
        <f>AVERAGEIF('ProCESS CSE'!$W:$W,'Control Strategy Eligibility'!$X70,'ProCESS CSE'!R:R)</f>
        <v>3.7679646078468999E-2</v>
      </c>
      <c r="J70" s="330">
        <f t="shared" ref="J70:J79" si="57">MIN(1,(I70/H70)*I70)</f>
        <v>4.3213735856368264E-2</v>
      </c>
      <c r="K70" s="330">
        <f t="shared" ref="K70:K79" si="58">MIN(1,(J70/I70)*J70)</f>
        <v>4.956062917297565E-2</v>
      </c>
      <c r="L70" s="330">
        <f t="shared" ref="L70:L79" si="59">MIN(1,(K70/J70)*K70)</f>
        <v>5.6839704213150891E-2</v>
      </c>
      <c r="M70" s="330">
        <f t="shared" ref="M70:M79" si="60">MIN(1,(L70/K70)*L70)</f>
        <v>6.5187872489725032E-2</v>
      </c>
      <c r="N70" s="330">
        <f t="shared" ref="N70:N79" si="61">MIN(1,(M70/L70)*M70)</f>
        <v>7.4762154000679343E-2</v>
      </c>
      <c r="O70" s="330">
        <f t="shared" ref="O70:O79" si="62">MIN(1,(N70/M70)*N70)</f>
        <v>8.574263060513744E-2</v>
      </c>
      <c r="P70" s="330">
        <f t="shared" ref="P70:P79" si="63">MIN(1,(O70/N70)*O70)</f>
        <v>9.8335833167972231E-2</v>
      </c>
      <c r="Q70" s="330">
        <f t="shared" ref="Q70:Q79" si="64">MIN(1,(P70/O70)*P70)</f>
        <v>0.11277862618154702</v>
      </c>
      <c r="R70" s="330">
        <f t="shared" ref="R70:R79" si="65">MIN(1,(Q70/P70)*Q70)</f>
        <v>0.12934266293011568</v>
      </c>
      <c r="S70" s="330">
        <f t="shared" ref="S70:S79" si="66">MIN(1,(R70/Q70)*R70)</f>
        <v>0.14833949499369614</v>
      </c>
      <c r="T70" s="330">
        <f t="shared" ref="T70:T79" si="67">MIN(1,(S70/R70)*S70)</f>
        <v>0.17012643219564741</v>
      </c>
      <c r="U70" s="330">
        <f t="shared" ref="U70:U79" si="68">MIN(1,(T70/S70)*T70)</f>
        <v>0.19511326321321359</v>
      </c>
      <c r="V70" s="430"/>
      <c r="W70" s="200" t="str">
        <f t="shared" si="54"/>
        <v>Small</v>
      </c>
      <c r="X70" s="198" t="str">
        <f t="shared" si="53"/>
        <v>DLC-Thermostat-DI-Baseboard HeatingSmall</v>
      </c>
      <c r="Y70" s="157" t="b">
        <f>ISNUMBER(MATCH(X70,'ProCESS CSE'!W:W,0))</f>
        <v>1</v>
      </c>
      <c r="Z70" s="157"/>
      <c r="AA70" s="157"/>
      <c r="AB70" s="157"/>
      <c r="AC70" s="157"/>
      <c r="AD70" s="157"/>
      <c r="AE70" s="157"/>
      <c r="AF70" s="157"/>
      <c r="AG70" s="157"/>
      <c r="AH70" s="157"/>
      <c r="AI70" s="157"/>
      <c r="AJ70" s="157"/>
      <c r="AK70" s="157"/>
      <c r="AL70" s="157"/>
      <c r="AM70" s="157"/>
      <c r="AN70" s="157"/>
      <c r="AO70" s="157"/>
      <c r="AP70" s="157"/>
    </row>
    <row r="71" spans="1:42" ht="14.4" x14ac:dyDescent="0.25">
      <c r="A71" s="225" t="str">
        <f>'Participation Assumptions'!B72</f>
        <v>DLC-Thermostat-DI-Baseboard Heating</v>
      </c>
      <c r="B71" s="225" t="s">
        <v>397</v>
      </c>
      <c r="C71" s="225" t="str">
        <f>'Participation Assumptions'!C72</f>
        <v>Small Commercial</v>
      </c>
      <c r="D71" s="225" t="str">
        <f>'Participation Assumptions'!D72</f>
        <v>Miscellaneous</v>
      </c>
      <c r="E71" s="330">
        <f t="shared" si="55"/>
        <v>2.6256333097901485E-2</v>
      </c>
      <c r="F71" s="330">
        <f t="shared" si="56"/>
        <v>2.8293498699336377E-2</v>
      </c>
      <c r="G71" s="330">
        <f>AVERAGEIF('ProCESS CSE'!$W:$W,'Control Strategy Eligibility'!$X71,'ProCESS CSE'!P:P)</f>
        <v>3.0488723069762181E-2</v>
      </c>
      <c r="H71" s="330">
        <f>AVERAGEIF('ProCESS CSE'!$W:$W,'Control Strategy Eligibility'!$X71,'ProCESS CSE'!Q:Q)</f>
        <v>3.2854269608107937E-2</v>
      </c>
      <c r="I71" s="330">
        <f>AVERAGEIF('ProCESS CSE'!$W:$W,'Control Strategy Eligibility'!$X71,'ProCESS CSE'!R:R)</f>
        <v>3.7679646078468999E-2</v>
      </c>
      <c r="J71" s="330">
        <f t="shared" si="57"/>
        <v>4.3213735856368264E-2</v>
      </c>
      <c r="K71" s="330">
        <f t="shared" si="58"/>
        <v>4.956062917297565E-2</v>
      </c>
      <c r="L71" s="330">
        <f t="shared" si="59"/>
        <v>5.6839704213150891E-2</v>
      </c>
      <c r="M71" s="330">
        <f t="shared" si="60"/>
        <v>6.5187872489725032E-2</v>
      </c>
      <c r="N71" s="330">
        <f t="shared" si="61"/>
        <v>7.4762154000679343E-2</v>
      </c>
      <c r="O71" s="330">
        <f t="shared" si="62"/>
        <v>8.574263060513744E-2</v>
      </c>
      <c r="P71" s="330">
        <f t="shared" si="63"/>
        <v>9.8335833167972231E-2</v>
      </c>
      <c r="Q71" s="330">
        <f t="shared" si="64"/>
        <v>0.11277862618154702</v>
      </c>
      <c r="R71" s="330">
        <f t="shared" si="65"/>
        <v>0.12934266293011568</v>
      </c>
      <c r="S71" s="330">
        <f t="shared" si="66"/>
        <v>0.14833949499369614</v>
      </c>
      <c r="T71" s="330">
        <f t="shared" si="67"/>
        <v>0.17012643219564741</v>
      </c>
      <c r="U71" s="330">
        <f t="shared" si="68"/>
        <v>0.19511326321321359</v>
      </c>
      <c r="V71" s="430"/>
      <c r="W71" s="200" t="str">
        <f t="shared" si="54"/>
        <v>Small</v>
      </c>
      <c r="X71" s="198" t="str">
        <f t="shared" si="53"/>
        <v>DLC-Thermostat-DI-Baseboard HeatingSmall</v>
      </c>
      <c r="Y71" s="157" t="b">
        <f>ISNUMBER(MATCH(X71,'ProCESS CSE'!W:W,0))</f>
        <v>1</v>
      </c>
      <c r="Z71" s="157"/>
      <c r="AA71" s="157"/>
      <c r="AB71" s="157"/>
      <c r="AC71" s="157"/>
      <c r="AD71" s="157"/>
      <c r="AE71" s="157"/>
      <c r="AF71" s="157"/>
      <c r="AG71" s="157"/>
      <c r="AH71" s="157"/>
      <c r="AI71" s="157"/>
      <c r="AJ71" s="157"/>
      <c r="AK71" s="157"/>
      <c r="AL71" s="157"/>
      <c r="AM71" s="157"/>
      <c r="AN71" s="157"/>
      <c r="AO71" s="157"/>
      <c r="AP71" s="157"/>
    </row>
    <row r="72" spans="1:42" ht="14.4" x14ac:dyDescent="0.25">
      <c r="A72" s="225" t="str">
        <f>'Participation Assumptions'!B73</f>
        <v>DLC-Thermostat-DI-Baseboard Heating</v>
      </c>
      <c r="B72" s="225" t="s">
        <v>397</v>
      </c>
      <c r="C72" s="225" t="str">
        <f>'Participation Assumptions'!C73</f>
        <v>Small Commercial</v>
      </c>
      <c r="D72" s="225" t="str">
        <f>'Participation Assumptions'!D73</f>
        <v>Offices</v>
      </c>
      <c r="E72" s="330">
        <f t="shared" si="55"/>
        <v>2.6256333097901485E-2</v>
      </c>
      <c r="F72" s="330">
        <f t="shared" si="56"/>
        <v>2.8293498699336377E-2</v>
      </c>
      <c r="G72" s="330">
        <f>AVERAGEIF('ProCESS CSE'!$W:$W,'Control Strategy Eligibility'!$X72,'ProCESS CSE'!P:P)</f>
        <v>3.0488723069762181E-2</v>
      </c>
      <c r="H72" s="330">
        <f>AVERAGEIF('ProCESS CSE'!$W:$W,'Control Strategy Eligibility'!$X72,'ProCESS CSE'!Q:Q)</f>
        <v>3.2854269608107937E-2</v>
      </c>
      <c r="I72" s="330">
        <f>AVERAGEIF('ProCESS CSE'!$W:$W,'Control Strategy Eligibility'!$X72,'ProCESS CSE'!R:R)</f>
        <v>3.7679646078468999E-2</v>
      </c>
      <c r="J72" s="330">
        <f t="shared" si="57"/>
        <v>4.3213735856368264E-2</v>
      </c>
      <c r="K72" s="330">
        <f t="shared" si="58"/>
        <v>4.956062917297565E-2</v>
      </c>
      <c r="L72" s="330">
        <f t="shared" si="59"/>
        <v>5.6839704213150891E-2</v>
      </c>
      <c r="M72" s="330">
        <f t="shared" si="60"/>
        <v>6.5187872489725032E-2</v>
      </c>
      <c r="N72" s="330">
        <f t="shared" si="61"/>
        <v>7.4762154000679343E-2</v>
      </c>
      <c r="O72" s="330">
        <f t="shared" si="62"/>
        <v>8.574263060513744E-2</v>
      </c>
      <c r="P72" s="330">
        <f t="shared" si="63"/>
        <v>9.8335833167972231E-2</v>
      </c>
      <c r="Q72" s="330">
        <f t="shared" si="64"/>
        <v>0.11277862618154702</v>
      </c>
      <c r="R72" s="330">
        <f t="shared" si="65"/>
        <v>0.12934266293011568</v>
      </c>
      <c r="S72" s="330">
        <f t="shared" si="66"/>
        <v>0.14833949499369614</v>
      </c>
      <c r="T72" s="330">
        <f t="shared" si="67"/>
        <v>0.17012643219564741</v>
      </c>
      <c r="U72" s="330">
        <f t="shared" si="68"/>
        <v>0.19511326321321359</v>
      </c>
      <c r="V72" s="430"/>
      <c r="W72" s="200" t="str">
        <f t="shared" si="54"/>
        <v>Small</v>
      </c>
      <c r="X72" s="198" t="str">
        <f t="shared" si="53"/>
        <v>DLC-Thermostat-DI-Baseboard HeatingSmall</v>
      </c>
      <c r="Y72" s="157" t="b">
        <f>ISNUMBER(MATCH(X72,'ProCESS CSE'!W:W,0))</f>
        <v>1</v>
      </c>
      <c r="Z72" s="157"/>
      <c r="AA72" s="157"/>
      <c r="AB72" s="157"/>
      <c r="AC72" s="157"/>
      <c r="AD72" s="157"/>
      <c r="AE72" s="157"/>
      <c r="AF72" s="157"/>
      <c r="AG72" s="157"/>
      <c r="AH72" s="157"/>
      <c r="AI72" s="157"/>
      <c r="AJ72" s="157"/>
      <c r="AK72" s="157"/>
      <c r="AL72" s="157"/>
      <c r="AM72" s="157"/>
      <c r="AN72" s="157"/>
      <c r="AO72" s="157"/>
      <c r="AP72" s="157"/>
    </row>
    <row r="73" spans="1:42" ht="14.4" x14ac:dyDescent="0.25">
      <c r="A73" s="225" t="str">
        <f>'Participation Assumptions'!B74</f>
        <v>DLC-Thermostat-DI-Baseboard Heating</v>
      </c>
      <c r="B73" s="225" t="s">
        <v>397</v>
      </c>
      <c r="C73" s="225" t="str">
        <f>'Participation Assumptions'!C74</f>
        <v>Small Commercial</v>
      </c>
      <c r="D73" s="225" t="str">
        <f>'Participation Assumptions'!D74</f>
        <v>Retail Trade</v>
      </c>
      <c r="E73" s="330">
        <f t="shared" si="55"/>
        <v>2.6256333097901485E-2</v>
      </c>
      <c r="F73" s="330">
        <f t="shared" si="56"/>
        <v>2.8293498699336377E-2</v>
      </c>
      <c r="G73" s="330">
        <f>AVERAGEIF('ProCESS CSE'!$W:$W,'Control Strategy Eligibility'!$X73,'ProCESS CSE'!P:P)</f>
        <v>3.0488723069762181E-2</v>
      </c>
      <c r="H73" s="330">
        <f>AVERAGEIF('ProCESS CSE'!$W:$W,'Control Strategy Eligibility'!$X73,'ProCESS CSE'!Q:Q)</f>
        <v>3.2854269608107937E-2</v>
      </c>
      <c r="I73" s="330">
        <f>AVERAGEIF('ProCESS CSE'!$W:$W,'Control Strategy Eligibility'!$X73,'ProCESS CSE'!R:R)</f>
        <v>3.7679646078468999E-2</v>
      </c>
      <c r="J73" s="330">
        <f t="shared" si="57"/>
        <v>4.3213735856368264E-2</v>
      </c>
      <c r="K73" s="330">
        <f t="shared" si="58"/>
        <v>4.956062917297565E-2</v>
      </c>
      <c r="L73" s="330">
        <f t="shared" si="59"/>
        <v>5.6839704213150891E-2</v>
      </c>
      <c r="M73" s="330">
        <f t="shared" si="60"/>
        <v>6.5187872489725032E-2</v>
      </c>
      <c r="N73" s="330">
        <f t="shared" si="61"/>
        <v>7.4762154000679343E-2</v>
      </c>
      <c r="O73" s="330">
        <f t="shared" si="62"/>
        <v>8.574263060513744E-2</v>
      </c>
      <c r="P73" s="330">
        <f t="shared" si="63"/>
        <v>9.8335833167972231E-2</v>
      </c>
      <c r="Q73" s="330">
        <f t="shared" si="64"/>
        <v>0.11277862618154702</v>
      </c>
      <c r="R73" s="330">
        <f t="shared" si="65"/>
        <v>0.12934266293011568</v>
      </c>
      <c r="S73" s="330">
        <f t="shared" si="66"/>
        <v>0.14833949499369614</v>
      </c>
      <c r="T73" s="330">
        <f t="shared" si="67"/>
        <v>0.17012643219564741</v>
      </c>
      <c r="U73" s="330">
        <f t="shared" si="68"/>
        <v>0.19511326321321359</v>
      </c>
      <c r="V73" s="430"/>
      <c r="W73" s="200" t="str">
        <f t="shared" si="54"/>
        <v>Small</v>
      </c>
      <c r="X73" s="198" t="str">
        <f t="shared" si="53"/>
        <v>DLC-Thermostat-DI-Baseboard HeatingSmall</v>
      </c>
      <c r="Y73" s="157" t="b">
        <f>ISNUMBER(MATCH(X73,'ProCESS CSE'!W:W,0))</f>
        <v>1</v>
      </c>
      <c r="Z73" s="157"/>
      <c r="AA73" s="157"/>
      <c r="AB73" s="157"/>
      <c r="AC73" s="157"/>
      <c r="AD73" s="157"/>
      <c r="AE73" s="157"/>
      <c r="AF73" s="157"/>
      <c r="AG73" s="157"/>
      <c r="AH73" s="157"/>
      <c r="AI73" s="157"/>
      <c r="AJ73" s="157"/>
      <c r="AK73" s="157"/>
      <c r="AL73" s="157"/>
      <c r="AM73" s="157"/>
      <c r="AN73" s="157"/>
      <c r="AO73" s="157"/>
      <c r="AP73" s="157"/>
    </row>
    <row r="74" spans="1:42" ht="14.4" x14ac:dyDescent="0.25">
      <c r="A74" s="225" t="str">
        <f>'Participation Assumptions'!B75</f>
        <v>DLC-Thermostat-DI-Baseboard Heating</v>
      </c>
      <c r="B74" s="225" t="s">
        <v>397</v>
      </c>
      <c r="C74" s="225" t="str">
        <f>'Participation Assumptions'!C75</f>
        <v>Small Commercial</v>
      </c>
      <c r="D74" s="225" t="str">
        <f>'Participation Assumptions'!D75</f>
        <v>Services</v>
      </c>
      <c r="E74" s="330">
        <f t="shared" si="55"/>
        <v>2.6256333097901485E-2</v>
      </c>
      <c r="F74" s="330">
        <f t="shared" si="56"/>
        <v>2.8293498699336377E-2</v>
      </c>
      <c r="G74" s="330">
        <f>AVERAGEIF('ProCESS CSE'!$W:$W,'Control Strategy Eligibility'!$X74,'ProCESS CSE'!P:P)</f>
        <v>3.0488723069762181E-2</v>
      </c>
      <c r="H74" s="330">
        <f>AVERAGEIF('ProCESS CSE'!$W:$W,'Control Strategy Eligibility'!$X74,'ProCESS CSE'!Q:Q)</f>
        <v>3.2854269608107937E-2</v>
      </c>
      <c r="I74" s="330">
        <f>AVERAGEIF('ProCESS CSE'!$W:$W,'Control Strategy Eligibility'!$X74,'ProCESS CSE'!R:R)</f>
        <v>3.7679646078468999E-2</v>
      </c>
      <c r="J74" s="330">
        <f t="shared" si="57"/>
        <v>4.3213735856368264E-2</v>
      </c>
      <c r="K74" s="330">
        <f t="shared" si="58"/>
        <v>4.956062917297565E-2</v>
      </c>
      <c r="L74" s="330">
        <f t="shared" si="59"/>
        <v>5.6839704213150891E-2</v>
      </c>
      <c r="M74" s="330">
        <f t="shared" si="60"/>
        <v>6.5187872489725032E-2</v>
      </c>
      <c r="N74" s="330">
        <f t="shared" si="61"/>
        <v>7.4762154000679343E-2</v>
      </c>
      <c r="O74" s="330">
        <f t="shared" si="62"/>
        <v>8.574263060513744E-2</v>
      </c>
      <c r="P74" s="330">
        <f t="shared" si="63"/>
        <v>9.8335833167972231E-2</v>
      </c>
      <c r="Q74" s="330">
        <f t="shared" si="64"/>
        <v>0.11277862618154702</v>
      </c>
      <c r="R74" s="330">
        <f t="shared" si="65"/>
        <v>0.12934266293011568</v>
      </c>
      <c r="S74" s="330">
        <f t="shared" si="66"/>
        <v>0.14833949499369614</v>
      </c>
      <c r="T74" s="330">
        <f t="shared" si="67"/>
        <v>0.17012643219564741</v>
      </c>
      <c r="U74" s="330">
        <f t="shared" si="68"/>
        <v>0.19511326321321359</v>
      </c>
      <c r="V74" s="430"/>
      <c r="W74" s="200" t="str">
        <f t="shared" si="54"/>
        <v>Small</v>
      </c>
      <c r="X74" s="198" t="str">
        <f t="shared" si="53"/>
        <v>DLC-Thermostat-DI-Baseboard HeatingSmall</v>
      </c>
      <c r="Y74" s="157" t="b">
        <f>ISNUMBER(MATCH(X74,'ProCESS CSE'!W:W,0))</f>
        <v>1</v>
      </c>
      <c r="Z74" s="157"/>
      <c r="AA74" s="157"/>
      <c r="AB74" s="157"/>
      <c r="AC74" s="157"/>
      <c r="AD74" s="157"/>
      <c r="AE74" s="157"/>
      <c r="AF74" s="157"/>
      <c r="AG74" s="157"/>
      <c r="AH74" s="157"/>
      <c r="AI74" s="157"/>
      <c r="AJ74" s="157"/>
      <c r="AK74" s="157"/>
      <c r="AL74" s="157"/>
      <c r="AM74" s="157"/>
      <c r="AN74" s="157"/>
      <c r="AO74" s="157"/>
      <c r="AP74" s="157"/>
    </row>
    <row r="75" spans="1:42" ht="14.4" x14ac:dyDescent="0.25">
      <c r="A75" s="225" t="str">
        <f>'Participation Assumptions'!B76</f>
        <v>DLC-Thermostat-DI-Baseboard Heating</v>
      </c>
      <c r="B75" s="225" t="s">
        <v>397</v>
      </c>
      <c r="C75" s="225" t="str">
        <f>'Participation Assumptions'!C76</f>
        <v>Small Industrial</v>
      </c>
      <c r="D75" s="225" t="str">
        <f>'Participation Assumptions'!D76</f>
        <v>Services</v>
      </c>
      <c r="E75" s="330">
        <f t="shared" si="55"/>
        <v>2.6256333097901485E-2</v>
      </c>
      <c r="F75" s="330">
        <f t="shared" si="56"/>
        <v>2.8293498699336377E-2</v>
      </c>
      <c r="G75" s="330">
        <f>AVERAGEIF('ProCESS CSE'!$W:$W,'Control Strategy Eligibility'!$X75,'ProCESS CSE'!P:P)</f>
        <v>3.0488723069762181E-2</v>
      </c>
      <c r="H75" s="330">
        <f>AVERAGEIF('ProCESS CSE'!$W:$W,'Control Strategy Eligibility'!$X75,'ProCESS CSE'!Q:Q)</f>
        <v>3.2854269608107937E-2</v>
      </c>
      <c r="I75" s="330">
        <f>AVERAGEIF('ProCESS CSE'!$W:$W,'Control Strategy Eligibility'!$X75,'ProCESS CSE'!R:R)</f>
        <v>3.7679646078468999E-2</v>
      </c>
      <c r="J75" s="330">
        <f t="shared" si="57"/>
        <v>4.3213735856368264E-2</v>
      </c>
      <c r="K75" s="330">
        <f t="shared" si="58"/>
        <v>4.956062917297565E-2</v>
      </c>
      <c r="L75" s="330">
        <f t="shared" si="59"/>
        <v>5.6839704213150891E-2</v>
      </c>
      <c r="M75" s="330">
        <f t="shared" si="60"/>
        <v>6.5187872489725032E-2</v>
      </c>
      <c r="N75" s="330">
        <f t="shared" si="61"/>
        <v>7.4762154000679343E-2</v>
      </c>
      <c r="O75" s="330">
        <f t="shared" si="62"/>
        <v>8.574263060513744E-2</v>
      </c>
      <c r="P75" s="330">
        <f t="shared" si="63"/>
        <v>9.8335833167972231E-2</v>
      </c>
      <c r="Q75" s="330">
        <f t="shared" si="64"/>
        <v>0.11277862618154702</v>
      </c>
      <c r="R75" s="330">
        <f t="shared" si="65"/>
        <v>0.12934266293011568</v>
      </c>
      <c r="S75" s="330">
        <f t="shared" si="66"/>
        <v>0.14833949499369614</v>
      </c>
      <c r="T75" s="330">
        <f t="shared" si="67"/>
        <v>0.17012643219564741</v>
      </c>
      <c r="U75" s="330">
        <f t="shared" si="68"/>
        <v>0.19511326321321359</v>
      </c>
      <c r="V75" s="430"/>
      <c r="W75" s="200" t="str">
        <f t="shared" si="54"/>
        <v>Small</v>
      </c>
      <c r="X75" s="198" t="str">
        <f t="shared" si="53"/>
        <v>DLC-Thermostat-DI-Baseboard HeatingSmall</v>
      </c>
      <c r="Y75" s="157" t="b">
        <f>ISNUMBER(MATCH(X75,'ProCESS CSE'!W:W,0))</f>
        <v>1</v>
      </c>
      <c r="Z75" s="157"/>
      <c r="AA75" s="157"/>
      <c r="AB75" s="157"/>
      <c r="AC75" s="157"/>
      <c r="AD75" s="157"/>
      <c r="AE75" s="157"/>
      <c r="AF75" s="157"/>
      <c r="AG75" s="157"/>
      <c r="AH75" s="157"/>
      <c r="AI75" s="157"/>
      <c r="AJ75" s="157"/>
      <c r="AK75" s="157"/>
      <c r="AL75" s="157"/>
      <c r="AM75" s="157"/>
      <c r="AN75" s="157"/>
      <c r="AO75" s="157"/>
      <c r="AP75" s="157"/>
    </row>
    <row r="76" spans="1:42" ht="14.4" x14ac:dyDescent="0.25">
      <c r="A76" s="225" t="str">
        <f>'Participation Assumptions'!B77</f>
        <v>DLC-Thermostat-DI-Baseboard Heating</v>
      </c>
      <c r="B76" s="225" t="s">
        <v>397</v>
      </c>
      <c r="C76" s="225" t="str">
        <f>'Participation Assumptions'!C77</f>
        <v>Small Industrial</v>
      </c>
      <c r="D76" s="225" t="str">
        <f>'Participation Assumptions'!D77</f>
        <v>Manufacturing</v>
      </c>
      <c r="E76" s="330">
        <f t="shared" si="55"/>
        <v>2.6256333097901485E-2</v>
      </c>
      <c r="F76" s="330">
        <f t="shared" si="56"/>
        <v>2.8293498699336377E-2</v>
      </c>
      <c r="G76" s="330">
        <f>AVERAGEIF('ProCESS CSE'!$W:$W,'Control Strategy Eligibility'!$X76,'ProCESS CSE'!P:P)</f>
        <v>3.0488723069762181E-2</v>
      </c>
      <c r="H76" s="330">
        <f>AVERAGEIF('ProCESS CSE'!$W:$W,'Control Strategy Eligibility'!$X76,'ProCESS CSE'!Q:Q)</f>
        <v>3.2854269608107937E-2</v>
      </c>
      <c r="I76" s="330">
        <f>AVERAGEIF('ProCESS CSE'!$W:$W,'Control Strategy Eligibility'!$X76,'ProCESS CSE'!R:R)</f>
        <v>3.7679646078468999E-2</v>
      </c>
      <c r="J76" s="330">
        <f t="shared" si="57"/>
        <v>4.3213735856368264E-2</v>
      </c>
      <c r="K76" s="330">
        <f t="shared" si="58"/>
        <v>4.956062917297565E-2</v>
      </c>
      <c r="L76" s="330">
        <f t="shared" si="59"/>
        <v>5.6839704213150891E-2</v>
      </c>
      <c r="M76" s="330">
        <f t="shared" si="60"/>
        <v>6.5187872489725032E-2</v>
      </c>
      <c r="N76" s="330">
        <f t="shared" si="61"/>
        <v>7.4762154000679343E-2</v>
      </c>
      <c r="O76" s="330">
        <f t="shared" si="62"/>
        <v>8.574263060513744E-2</v>
      </c>
      <c r="P76" s="330">
        <f t="shared" si="63"/>
        <v>9.8335833167972231E-2</v>
      </c>
      <c r="Q76" s="330">
        <f t="shared" si="64"/>
        <v>0.11277862618154702</v>
      </c>
      <c r="R76" s="330">
        <f t="shared" si="65"/>
        <v>0.12934266293011568</v>
      </c>
      <c r="S76" s="330">
        <f t="shared" si="66"/>
        <v>0.14833949499369614</v>
      </c>
      <c r="T76" s="330">
        <f t="shared" si="67"/>
        <v>0.17012643219564741</v>
      </c>
      <c r="U76" s="330">
        <f t="shared" si="68"/>
        <v>0.19511326321321359</v>
      </c>
      <c r="V76" s="430"/>
      <c r="W76" s="200" t="str">
        <f t="shared" si="54"/>
        <v>Small</v>
      </c>
      <c r="X76" s="198" t="str">
        <f t="shared" si="53"/>
        <v>DLC-Thermostat-DI-Baseboard HeatingSmall</v>
      </c>
      <c r="Y76" s="157" t="b">
        <f>ISNUMBER(MATCH(X76,'ProCESS CSE'!W:W,0))</f>
        <v>1</v>
      </c>
      <c r="Z76" s="157"/>
      <c r="AA76" s="157"/>
      <c r="AB76" s="157"/>
      <c r="AC76" s="157"/>
      <c r="AD76" s="157"/>
      <c r="AE76" s="157"/>
      <c r="AF76" s="157"/>
      <c r="AG76" s="157"/>
      <c r="AH76" s="157"/>
      <c r="AI76" s="157"/>
      <c r="AJ76" s="157"/>
      <c r="AK76" s="157"/>
      <c r="AL76" s="157"/>
      <c r="AM76" s="157"/>
      <c r="AN76" s="157"/>
      <c r="AO76" s="157"/>
      <c r="AP76" s="157"/>
    </row>
    <row r="77" spans="1:42" ht="14.4" x14ac:dyDescent="0.25">
      <c r="A77" s="225" t="str">
        <f>'Participation Assumptions'!B78</f>
        <v>DLC-Thermostat-DI-Baseboard Heating</v>
      </c>
      <c r="B77" s="225" t="s">
        <v>397</v>
      </c>
      <c r="C77" s="225" t="str">
        <f>'Participation Assumptions'!C78</f>
        <v>Small Industrial</v>
      </c>
      <c r="D77" s="225" t="str">
        <f>'Participation Assumptions'!D78</f>
        <v>Miscellaneous</v>
      </c>
      <c r="E77" s="330">
        <f t="shared" si="55"/>
        <v>2.6256333097901485E-2</v>
      </c>
      <c r="F77" s="330">
        <f t="shared" si="56"/>
        <v>2.8293498699336377E-2</v>
      </c>
      <c r="G77" s="330">
        <f>AVERAGEIF('ProCESS CSE'!$W:$W,'Control Strategy Eligibility'!$X77,'ProCESS CSE'!P:P)</f>
        <v>3.0488723069762181E-2</v>
      </c>
      <c r="H77" s="330">
        <f>AVERAGEIF('ProCESS CSE'!$W:$W,'Control Strategy Eligibility'!$X77,'ProCESS CSE'!Q:Q)</f>
        <v>3.2854269608107937E-2</v>
      </c>
      <c r="I77" s="330">
        <f>AVERAGEIF('ProCESS CSE'!$W:$W,'Control Strategy Eligibility'!$X77,'ProCESS CSE'!R:R)</f>
        <v>3.7679646078468999E-2</v>
      </c>
      <c r="J77" s="330">
        <f t="shared" si="57"/>
        <v>4.3213735856368264E-2</v>
      </c>
      <c r="K77" s="330">
        <f t="shared" si="58"/>
        <v>4.956062917297565E-2</v>
      </c>
      <c r="L77" s="330">
        <f t="shared" si="59"/>
        <v>5.6839704213150891E-2</v>
      </c>
      <c r="M77" s="330">
        <f t="shared" si="60"/>
        <v>6.5187872489725032E-2</v>
      </c>
      <c r="N77" s="330">
        <f t="shared" si="61"/>
        <v>7.4762154000679343E-2</v>
      </c>
      <c r="O77" s="330">
        <f t="shared" si="62"/>
        <v>8.574263060513744E-2</v>
      </c>
      <c r="P77" s="330">
        <f t="shared" si="63"/>
        <v>9.8335833167972231E-2</v>
      </c>
      <c r="Q77" s="330">
        <f t="shared" si="64"/>
        <v>0.11277862618154702</v>
      </c>
      <c r="R77" s="330">
        <f t="shared" si="65"/>
        <v>0.12934266293011568</v>
      </c>
      <c r="S77" s="330">
        <f t="shared" si="66"/>
        <v>0.14833949499369614</v>
      </c>
      <c r="T77" s="330">
        <f t="shared" si="67"/>
        <v>0.17012643219564741</v>
      </c>
      <c r="U77" s="330">
        <f t="shared" si="68"/>
        <v>0.19511326321321359</v>
      </c>
      <c r="V77" s="430"/>
      <c r="W77" s="200" t="str">
        <f t="shared" si="54"/>
        <v>Small</v>
      </c>
      <c r="X77" s="198" t="str">
        <f t="shared" si="53"/>
        <v>DLC-Thermostat-DI-Baseboard HeatingSmall</v>
      </c>
      <c r="Y77" s="157" t="b">
        <f>ISNUMBER(MATCH(X77,'ProCESS CSE'!W:W,0))</f>
        <v>1</v>
      </c>
      <c r="Z77" s="157"/>
      <c r="AA77" s="157"/>
      <c r="AB77" s="157"/>
      <c r="AC77" s="157"/>
      <c r="AD77" s="157"/>
      <c r="AE77" s="157"/>
      <c r="AF77" s="157"/>
      <c r="AG77" s="157"/>
      <c r="AH77" s="157"/>
      <c r="AI77" s="157"/>
      <c r="AJ77" s="157"/>
      <c r="AK77" s="157"/>
      <c r="AL77" s="157"/>
      <c r="AM77" s="157"/>
      <c r="AN77" s="157"/>
      <c r="AO77" s="157"/>
      <c r="AP77" s="157"/>
    </row>
    <row r="78" spans="1:42" ht="14.4" x14ac:dyDescent="0.25">
      <c r="A78" s="225" t="str">
        <f>'Participation Assumptions'!B79</f>
        <v>DLC-Thermostat-DI-Baseboard Heating</v>
      </c>
      <c r="B78" s="225" t="s">
        <v>397</v>
      </c>
      <c r="C78" s="225" t="str">
        <f>'Participation Assumptions'!C79</f>
        <v>Small Industrial</v>
      </c>
      <c r="D78" s="225" t="str">
        <f>'Participation Assumptions'!D79</f>
        <v>Offices</v>
      </c>
      <c r="E78" s="330">
        <f t="shared" si="55"/>
        <v>2.6256333097901485E-2</v>
      </c>
      <c r="F78" s="330">
        <f t="shared" si="56"/>
        <v>2.8293498699336377E-2</v>
      </c>
      <c r="G78" s="330">
        <f>AVERAGEIF('ProCESS CSE'!$W:$W,'Control Strategy Eligibility'!$X78,'ProCESS CSE'!P:P)</f>
        <v>3.0488723069762181E-2</v>
      </c>
      <c r="H78" s="330">
        <f>AVERAGEIF('ProCESS CSE'!$W:$W,'Control Strategy Eligibility'!$X78,'ProCESS CSE'!Q:Q)</f>
        <v>3.2854269608107937E-2</v>
      </c>
      <c r="I78" s="330">
        <f>AVERAGEIF('ProCESS CSE'!$W:$W,'Control Strategy Eligibility'!$X78,'ProCESS CSE'!R:R)</f>
        <v>3.7679646078468999E-2</v>
      </c>
      <c r="J78" s="330">
        <f t="shared" si="57"/>
        <v>4.3213735856368264E-2</v>
      </c>
      <c r="K78" s="330">
        <f t="shared" si="58"/>
        <v>4.956062917297565E-2</v>
      </c>
      <c r="L78" s="330">
        <f t="shared" si="59"/>
        <v>5.6839704213150891E-2</v>
      </c>
      <c r="M78" s="330">
        <f t="shared" si="60"/>
        <v>6.5187872489725032E-2</v>
      </c>
      <c r="N78" s="330">
        <f t="shared" si="61"/>
        <v>7.4762154000679343E-2</v>
      </c>
      <c r="O78" s="330">
        <f t="shared" si="62"/>
        <v>8.574263060513744E-2</v>
      </c>
      <c r="P78" s="330">
        <f t="shared" si="63"/>
        <v>9.8335833167972231E-2</v>
      </c>
      <c r="Q78" s="330">
        <f t="shared" si="64"/>
        <v>0.11277862618154702</v>
      </c>
      <c r="R78" s="330">
        <f t="shared" si="65"/>
        <v>0.12934266293011568</v>
      </c>
      <c r="S78" s="330">
        <f t="shared" si="66"/>
        <v>0.14833949499369614</v>
      </c>
      <c r="T78" s="330">
        <f t="shared" si="67"/>
        <v>0.17012643219564741</v>
      </c>
      <c r="U78" s="330">
        <f t="shared" si="68"/>
        <v>0.19511326321321359</v>
      </c>
      <c r="V78" s="430"/>
      <c r="W78" s="200" t="str">
        <f t="shared" si="54"/>
        <v>Small</v>
      </c>
      <c r="X78" s="198" t="str">
        <f t="shared" si="53"/>
        <v>DLC-Thermostat-DI-Baseboard HeatingSmall</v>
      </c>
      <c r="Y78" s="157" t="b">
        <f>ISNUMBER(MATCH(X78,'ProCESS CSE'!W:W,0))</f>
        <v>1</v>
      </c>
      <c r="Z78" s="157"/>
      <c r="AA78" s="157"/>
      <c r="AB78" s="157"/>
      <c r="AC78" s="157"/>
      <c r="AD78" s="157"/>
      <c r="AE78" s="157"/>
      <c r="AF78" s="157"/>
      <c r="AG78" s="157"/>
      <c r="AH78" s="157"/>
      <c r="AI78" s="157"/>
      <c r="AJ78" s="157"/>
      <c r="AK78" s="157"/>
      <c r="AL78" s="157"/>
      <c r="AM78" s="157"/>
      <c r="AN78" s="157"/>
      <c r="AO78" s="157"/>
      <c r="AP78" s="157"/>
    </row>
    <row r="79" spans="1:42" ht="14.4" x14ac:dyDescent="0.25">
      <c r="A79" s="225" t="str">
        <f>'Participation Assumptions'!B80</f>
        <v>DLC-Thermostat-DI-Baseboard Heating</v>
      </c>
      <c r="B79" s="225" t="s">
        <v>397</v>
      </c>
      <c r="C79" s="225" t="str">
        <f>'Participation Assumptions'!C80</f>
        <v>Small Industrial</v>
      </c>
      <c r="D79" s="225" t="str">
        <f>'Participation Assumptions'!D80</f>
        <v>Retail Trade</v>
      </c>
      <c r="E79" s="330">
        <f t="shared" si="55"/>
        <v>2.6256333097901485E-2</v>
      </c>
      <c r="F79" s="330">
        <f t="shared" si="56"/>
        <v>2.8293498699336377E-2</v>
      </c>
      <c r="G79" s="330">
        <f>AVERAGEIF('ProCESS CSE'!$W:$W,'Control Strategy Eligibility'!$X79,'ProCESS CSE'!P:P)</f>
        <v>3.0488723069762181E-2</v>
      </c>
      <c r="H79" s="330">
        <f>AVERAGEIF('ProCESS CSE'!$W:$W,'Control Strategy Eligibility'!$X79,'ProCESS CSE'!Q:Q)</f>
        <v>3.2854269608107937E-2</v>
      </c>
      <c r="I79" s="330">
        <f>AVERAGEIF('ProCESS CSE'!$W:$W,'Control Strategy Eligibility'!$X79,'ProCESS CSE'!R:R)</f>
        <v>3.7679646078468999E-2</v>
      </c>
      <c r="J79" s="330">
        <f t="shared" si="57"/>
        <v>4.3213735856368264E-2</v>
      </c>
      <c r="K79" s="330">
        <f t="shared" si="58"/>
        <v>4.956062917297565E-2</v>
      </c>
      <c r="L79" s="330">
        <f t="shared" si="59"/>
        <v>5.6839704213150891E-2</v>
      </c>
      <c r="M79" s="330">
        <f t="shared" si="60"/>
        <v>6.5187872489725032E-2</v>
      </c>
      <c r="N79" s="330">
        <f t="shared" si="61"/>
        <v>7.4762154000679343E-2</v>
      </c>
      <c r="O79" s="330">
        <f t="shared" si="62"/>
        <v>8.574263060513744E-2</v>
      </c>
      <c r="P79" s="330">
        <f t="shared" si="63"/>
        <v>9.8335833167972231E-2</v>
      </c>
      <c r="Q79" s="330">
        <f t="shared" si="64"/>
        <v>0.11277862618154702</v>
      </c>
      <c r="R79" s="330">
        <f t="shared" si="65"/>
        <v>0.12934266293011568</v>
      </c>
      <c r="S79" s="330">
        <f t="shared" si="66"/>
        <v>0.14833949499369614</v>
      </c>
      <c r="T79" s="330">
        <f t="shared" si="67"/>
        <v>0.17012643219564741</v>
      </c>
      <c r="U79" s="330">
        <f t="shared" si="68"/>
        <v>0.19511326321321359</v>
      </c>
      <c r="V79" s="430"/>
      <c r="W79" s="200" t="str">
        <f t="shared" si="54"/>
        <v>Small</v>
      </c>
      <c r="X79" s="198" t="str">
        <f t="shared" si="53"/>
        <v>DLC-Thermostat-DI-Baseboard HeatingSmall</v>
      </c>
      <c r="Y79" s="157" t="b">
        <f>ISNUMBER(MATCH(X79,'ProCESS CSE'!W:W,0))</f>
        <v>1</v>
      </c>
      <c r="Z79" s="157"/>
      <c r="AA79" s="157"/>
      <c r="AB79" s="157"/>
      <c r="AC79" s="157"/>
      <c r="AD79" s="157"/>
      <c r="AE79" s="157"/>
      <c r="AF79" s="157"/>
      <c r="AG79" s="157"/>
      <c r="AH79" s="157"/>
      <c r="AI79" s="157"/>
      <c r="AJ79" s="157"/>
      <c r="AK79" s="157"/>
      <c r="AL79" s="157"/>
      <c r="AM79" s="157"/>
      <c r="AN79" s="157"/>
      <c r="AO79" s="157"/>
      <c r="AP79" s="157"/>
    </row>
    <row r="80" spans="1:42" ht="14.4" x14ac:dyDescent="0.25">
      <c r="A80" s="225" t="str">
        <f>'Participation Assumptions'!B81</f>
        <v>DLC-Thermostat-BYOT-Baseboard Heating</v>
      </c>
      <c r="B80" s="225" t="s">
        <v>397</v>
      </c>
      <c r="C80" s="225" t="str">
        <f>'Participation Assumptions'!C81</f>
        <v>Small Commercial</v>
      </c>
      <c r="D80" s="225" t="str">
        <f>'Participation Assumptions'!D81</f>
        <v>Manufacturing</v>
      </c>
      <c r="E80" s="330">
        <f>E33</f>
        <v>0.09</v>
      </c>
      <c r="F80" s="330">
        <f t="shared" ref="F80:U80" si="69">F33</f>
        <v>0.09</v>
      </c>
      <c r="G80" s="330">
        <f t="shared" si="69"/>
        <v>0.09</v>
      </c>
      <c r="H80" s="330">
        <f t="shared" si="69"/>
        <v>0.09</v>
      </c>
      <c r="I80" s="330">
        <f t="shared" si="69"/>
        <v>0.09</v>
      </c>
      <c r="J80" s="330">
        <f t="shared" si="69"/>
        <v>0.09</v>
      </c>
      <c r="K80" s="330">
        <f t="shared" si="69"/>
        <v>0.09</v>
      </c>
      <c r="L80" s="330">
        <f t="shared" si="69"/>
        <v>0.09</v>
      </c>
      <c r="M80" s="330">
        <f t="shared" si="69"/>
        <v>0.09</v>
      </c>
      <c r="N80" s="330">
        <f t="shared" si="69"/>
        <v>0.09</v>
      </c>
      <c r="O80" s="330">
        <f t="shared" si="69"/>
        <v>0.09</v>
      </c>
      <c r="P80" s="330">
        <f t="shared" si="69"/>
        <v>0.09</v>
      </c>
      <c r="Q80" s="330">
        <f t="shared" si="69"/>
        <v>0.09</v>
      </c>
      <c r="R80" s="330">
        <f t="shared" si="69"/>
        <v>0.09</v>
      </c>
      <c r="S80" s="330">
        <f t="shared" si="69"/>
        <v>0.09</v>
      </c>
      <c r="T80" s="330">
        <f t="shared" si="69"/>
        <v>0.09</v>
      </c>
      <c r="U80" s="330">
        <f t="shared" si="69"/>
        <v>0.09</v>
      </c>
      <c r="V80" s="430"/>
      <c r="W80" s="200" t="str">
        <f t="shared" si="54"/>
        <v>Small</v>
      </c>
      <c r="X80" s="198" t="str">
        <f t="shared" si="53"/>
        <v>DLC-Thermostat-BYOT-Baseboard HeatingSmall</v>
      </c>
      <c r="Y80" s="157" t="b">
        <f>ISNUMBER(MATCH(X80,'ProCESS CSE'!W:W,0))</f>
        <v>0</v>
      </c>
      <c r="Z80" s="157"/>
      <c r="AA80" s="157"/>
      <c r="AB80" s="157"/>
      <c r="AC80" s="157"/>
      <c r="AD80" s="157"/>
      <c r="AE80" s="157"/>
      <c r="AF80" s="157"/>
      <c r="AG80" s="157"/>
      <c r="AH80" s="157"/>
      <c r="AI80" s="157"/>
      <c r="AJ80" s="157"/>
      <c r="AK80" s="157"/>
      <c r="AL80" s="157"/>
      <c r="AM80" s="157"/>
      <c r="AN80" s="157"/>
      <c r="AO80" s="157"/>
      <c r="AP80" s="157"/>
    </row>
    <row r="81" spans="1:42" ht="14.4" x14ac:dyDescent="0.25">
      <c r="A81" s="225" t="str">
        <f>'Participation Assumptions'!B82</f>
        <v>DLC-Thermostat-BYOT-Baseboard Heating</v>
      </c>
      <c r="B81" s="225" t="s">
        <v>397</v>
      </c>
      <c r="C81" s="225" t="str">
        <f>'Participation Assumptions'!C82</f>
        <v>Small Commercial</v>
      </c>
      <c r="D81" s="225" t="str">
        <f>'Participation Assumptions'!D82</f>
        <v>Miscellaneous</v>
      </c>
      <c r="E81" s="330">
        <f t="shared" ref="E81:E89" si="70">E80</f>
        <v>0.09</v>
      </c>
      <c r="F81" s="330">
        <f t="shared" ref="F81:F89" si="71">F80</f>
        <v>0.09</v>
      </c>
      <c r="G81" s="330">
        <f t="shared" ref="G81:G89" si="72">G80</f>
        <v>0.09</v>
      </c>
      <c r="H81" s="330">
        <f t="shared" ref="H81:H89" si="73">H80</f>
        <v>0.09</v>
      </c>
      <c r="I81" s="330">
        <f t="shared" ref="I81:I89" si="74">I80</f>
        <v>0.09</v>
      </c>
      <c r="J81" s="330">
        <f t="shared" ref="J81:J89" si="75">J80</f>
        <v>0.09</v>
      </c>
      <c r="K81" s="330">
        <f t="shared" ref="K81:K89" si="76">K80</f>
        <v>0.09</v>
      </c>
      <c r="L81" s="330">
        <f t="shared" ref="L81:L89" si="77">L80</f>
        <v>0.09</v>
      </c>
      <c r="M81" s="330">
        <f t="shared" ref="M81:M89" si="78">M80</f>
        <v>0.09</v>
      </c>
      <c r="N81" s="330">
        <f t="shared" ref="N81:N89" si="79">N80</f>
        <v>0.09</v>
      </c>
      <c r="O81" s="330">
        <f t="shared" ref="O81:O89" si="80">O80</f>
        <v>0.09</v>
      </c>
      <c r="P81" s="330">
        <f t="shared" ref="P81:P89" si="81">P80</f>
        <v>0.09</v>
      </c>
      <c r="Q81" s="330">
        <f t="shared" ref="Q81:Q89" si="82">Q80</f>
        <v>0.09</v>
      </c>
      <c r="R81" s="330">
        <f t="shared" ref="R81:R89" si="83">R80</f>
        <v>0.09</v>
      </c>
      <c r="S81" s="330">
        <f t="shared" ref="S81:S89" si="84">S80</f>
        <v>0.09</v>
      </c>
      <c r="T81" s="330">
        <f t="shared" ref="T81:T89" si="85">T80</f>
        <v>0.09</v>
      </c>
      <c r="U81" s="330">
        <f t="shared" ref="U81:U89" si="86">U80</f>
        <v>0.09</v>
      </c>
      <c r="V81" s="430"/>
      <c r="W81" s="200" t="str">
        <f t="shared" si="54"/>
        <v>Small</v>
      </c>
      <c r="X81" s="198" t="str">
        <f t="shared" si="53"/>
        <v>DLC-Thermostat-BYOT-Baseboard HeatingSmall</v>
      </c>
      <c r="Y81" s="157" t="b">
        <f>ISNUMBER(MATCH(X81,'ProCESS CSE'!W:W,0))</f>
        <v>0</v>
      </c>
      <c r="Z81" s="157"/>
      <c r="AA81" s="157"/>
      <c r="AB81" s="157"/>
      <c r="AC81" s="157"/>
      <c r="AD81" s="157"/>
      <c r="AE81" s="157"/>
      <c r="AF81" s="157"/>
      <c r="AG81" s="157"/>
      <c r="AH81" s="157"/>
      <c r="AI81" s="157"/>
      <c r="AJ81" s="157"/>
      <c r="AK81" s="157"/>
      <c r="AL81" s="157"/>
      <c r="AM81" s="157"/>
      <c r="AN81" s="157"/>
      <c r="AO81" s="157"/>
      <c r="AP81" s="157"/>
    </row>
    <row r="82" spans="1:42" ht="14.4" x14ac:dyDescent="0.25">
      <c r="A82" s="225" t="str">
        <f>'Participation Assumptions'!B83</f>
        <v>DLC-Thermostat-BYOT-Baseboard Heating</v>
      </c>
      <c r="B82" s="225" t="s">
        <v>397</v>
      </c>
      <c r="C82" s="225" t="str">
        <f>'Participation Assumptions'!C83</f>
        <v>Small Commercial</v>
      </c>
      <c r="D82" s="225" t="str">
        <f>'Participation Assumptions'!D83</f>
        <v>Offices</v>
      </c>
      <c r="E82" s="330">
        <f t="shared" si="70"/>
        <v>0.09</v>
      </c>
      <c r="F82" s="330">
        <f t="shared" si="71"/>
        <v>0.09</v>
      </c>
      <c r="G82" s="330">
        <f t="shared" si="72"/>
        <v>0.09</v>
      </c>
      <c r="H82" s="330">
        <f t="shared" si="73"/>
        <v>0.09</v>
      </c>
      <c r="I82" s="330">
        <f t="shared" si="74"/>
        <v>0.09</v>
      </c>
      <c r="J82" s="330">
        <f t="shared" si="75"/>
        <v>0.09</v>
      </c>
      <c r="K82" s="330">
        <f t="shared" si="76"/>
        <v>0.09</v>
      </c>
      <c r="L82" s="330">
        <f t="shared" si="77"/>
        <v>0.09</v>
      </c>
      <c r="M82" s="330">
        <f t="shared" si="78"/>
        <v>0.09</v>
      </c>
      <c r="N82" s="330">
        <f t="shared" si="79"/>
        <v>0.09</v>
      </c>
      <c r="O82" s="330">
        <f t="shared" si="80"/>
        <v>0.09</v>
      </c>
      <c r="P82" s="330">
        <f t="shared" si="81"/>
        <v>0.09</v>
      </c>
      <c r="Q82" s="330">
        <f t="shared" si="82"/>
        <v>0.09</v>
      </c>
      <c r="R82" s="330">
        <f t="shared" si="83"/>
        <v>0.09</v>
      </c>
      <c r="S82" s="330">
        <f t="shared" si="84"/>
        <v>0.09</v>
      </c>
      <c r="T82" s="330">
        <f t="shared" si="85"/>
        <v>0.09</v>
      </c>
      <c r="U82" s="330">
        <f t="shared" si="86"/>
        <v>0.09</v>
      </c>
      <c r="V82" s="430"/>
      <c r="W82" s="200" t="str">
        <f t="shared" si="54"/>
        <v>Small</v>
      </c>
      <c r="X82" s="198" t="str">
        <f t="shared" si="53"/>
        <v>DLC-Thermostat-BYOT-Baseboard HeatingSmall</v>
      </c>
      <c r="Y82" s="157" t="b">
        <f>ISNUMBER(MATCH(X82,'ProCESS CSE'!W:W,0))</f>
        <v>0</v>
      </c>
      <c r="Z82" s="157"/>
      <c r="AA82" s="157"/>
      <c r="AB82" s="157"/>
      <c r="AC82" s="157"/>
      <c r="AD82" s="157"/>
      <c r="AE82" s="157"/>
      <c r="AF82" s="157"/>
      <c r="AG82" s="157"/>
      <c r="AH82" s="157"/>
      <c r="AI82" s="157"/>
      <c r="AJ82" s="157"/>
      <c r="AK82" s="157"/>
      <c r="AL82" s="157"/>
      <c r="AM82" s="157"/>
      <c r="AN82" s="157"/>
      <c r="AO82" s="157"/>
      <c r="AP82" s="157"/>
    </row>
    <row r="83" spans="1:42" ht="14.4" x14ac:dyDescent="0.25">
      <c r="A83" s="225" t="str">
        <f>'Participation Assumptions'!B84</f>
        <v>DLC-Thermostat-BYOT-Baseboard Heating</v>
      </c>
      <c r="B83" s="225" t="s">
        <v>397</v>
      </c>
      <c r="C83" s="225" t="str">
        <f>'Participation Assumptions'!C84</f>
        <v>Small Commercial</v>
      </c>
      <c r="D83" s="225" t="str">
        <f>'Participation Assumptions'!D84</f>
        <v>Retail Trade</v>
      </c>
      <c r="E83" s="330">
        <f t="shared" si="70"/>
        <v>0.09</v>
      </c>
      <c r="F83" s="330">
        <f t="shared" si="71"/>
        <v>0.09</v>
      </c>
      <c r="G83" s="330">
        <f t="shared" si="72"/>
        <v>0.09</v>
      </c>
      <c r="H83" s="330">
        <f t="shared" si="73"/>
        <v>0.09</v>
      </c>
      <c r="I83" s="330">
        <f t="shared" si="74"/>
        <v>0.09</v>
      </c>
      <c r="J83" s="330">
        <f t="shared" si="75"/>
        <v>0.09</v>
      </c>
      <c r="K83" s="330">
        <f t="shared" si="76"/>
        <v>0.09</v>
      </c>
      <c r="L83" s="330">
        <f t="shared" si="77"/>
        <v>0.09</v>
      </c>
      <c r="M83" s="330">
        <f t="shared" si="78"/>
        <v>0.09</v>
      </c>
      <c r="N83" s="330">
        <f t="shared" si="79"/>
        <v>0.09</v>
      </c>
      <c r="O83" s="330">
        <f t="shared" si="80"/>
        <v>0.09</v>
      </c>
      <c r="P83" s="330">
        <f t="shared" si="81"/>
        <v>0.09</v>
      </c>
      <c r="Q83" s="330">
        <f t="shared" si="82"/>
        <v>0.09</v>
      </c>
      <c r="R83" s="330">
        <f t="shared" si="83"/>
        <v>0.09</v>
      </c>
      <c r="S83" s="330">
        <f t="shared" si="84"/>
        <v>0.09</v>
      </c>
      <c r="T83" s="330">
        <f t="shared" si="85"/>
        <v>0.09</v>
      </c>
      <c r="U83" s="330">
        <f t="shared" si="86"/>
        <v>0.09</v>
      </c>
      <c r="V83" s="430"/>
      <c r="W83" s="200" t="str">
        <f t="shared" si="54"/>
        <v>Small</v>
      </c>
      <c r="X83" s="198" t="str">
        <f t="shared" si="53"/>
        <v>DLC-Thermostat-BYOT-Baseboard HeatingSmall</v>
      </c>
      <c r="Y83" s="157" t="b">
        <f>ISNUMBER(MATCH(X83,'ProCESS CSE'!W:W,0))</f>
        <v>0</v>
      </c>
      <c r="Z83" s="157"/>
      <c r="AA83" s="157"/>
      <c r="AB83" s="157"/>
      <c r="AC83" s="157"/>
      <c r="AD83" s="157"/>
      <c r="AE83" s="157"/>
      <c r="AF83" s="157"/>
      <c r="AG83" s="157"/>
      <c r="AH83" s="157"/>
      <c r="AI83" s="157"/>
      <c r="AJ83" s="157"/>
      <c r="AK83" s="157"/>
      <c r="AL83" s="157"/>
      <c r="AM83" s="157"/>
      <c r="AN83" s="157"/>
      <c r="AO83" s="157"/>
      <c r="AP83" s="157"/>
    </row>
    <row r="84" spans="1:42" ht="14.4" x14ac:dyDescent="0.25">
      <c r="A84" s="225" t="str">
        <f>'Participation Assumptions'!B85</f>
        <v>DLC-Thermostat-BYOT-Baseboard Heating</v>
      </c>
      <c r="B84" s="225" t="s">
        <v>397</v>
      </c>
      <c r="C84" s="225" t="str">
        <f>'Participation Assumptions'!C85</f>
        <v>Small Commercial</v>
      </c>
      <c r="D84" s="225" t="str">
        <f>'Participation Assumptions'!D85</f>
        <v>Services</v>
      </c>
      <c r="E84" s="330">
        <f t="shared" si="70"/>
        <v>0.09</v>
      </c>
      <c r="F84" s="330">
        <f t="shared" si="71"/>
        <v>0.09</v>
      </c>
      <c r="G84" s="330">
        <f t="shared" si="72"/>
        <v>0.09</v>
      </c>
      <c r="H84" s="330">
        <f t="shared" si="73"/>
        <v>0.09</v>
      </c>
      <c r="I84" s="330">
        <f t="shared" si="74"/>
        <v>0.09</v>
      </c>
      <c r="J84" s="330">
        <f t="shared" si="75"/>
        <v>0.09</v>
      </c>
      <c r="K84" s="330">
        <f t="shared" si="76"/>
        <v>0.09</v>
      </c>
      <c r="L84" s="330">
        <f t="shared" si="77"/>
        <v>0.09</v>
      </c>
      <c r="M84" s="330">
        <f t="shared" si="78"/>
        <v>0.09</v>
      </c>
      <c r="N84" s="330">
        <f t="shared" si="79"/>
        <v>0.09</v>
      </c>
      <c r="O84" s="330">
        <f t="shared" si="80"/>
        <v>0.09</v>
      </c>
      <c r="P84" s="330">
        <f t="shared" si="81"/>
        <v>0.09</v>
      </c>
      <c r="Q84" s="330">
        <f t="shared" si="82"/>
        <v>0.09</v>
      </c>
      <c r="R84" s="330">
        <f t="shared" si="83"/>
        <v>0.09</v>
      </c>
      <c r="S84" s="330">
        <f t="shared" si="84"/>
        <v>0.09</v>
      </c>
      <c r="T84" s="330">
        <f t="shared" si="85"/>
        <v>0.09</v>
      </c>
      <c r="U84" s="330">
        <f t="shared" si="86"/>
        <v>0.09</v>
      </c>
      <c r="V84" s="430"/>
      <c r="W84" s="200" t="str">
        <f t="shared" si="54"/>
        <v>Small</v>
      </c>
      <c r="X84" s="198" t="str">
        <f t="shared" si="53"/>
        <v>DLC-Thermostat-BYOT-Baseboard HeatingSmall</v>
      </c>
      <c r="Y84" s="157" t="b">
        <f>ISNUMBER(MATCH(X84,'ProCESS CSE'!W:W,0))</f>
        <v>0</v>
      </c>
      <c r="Z84" s="157"/>
      <c r="AA84" s="157"/>
      <c r="AB84" s="157"/>
      <c r="AC84" s="157"/>
      <c r="AD84" s="157"/>
      <c r="AE84" s="157"/>
      <c r="AF84" s="157"/>
      <c r="AG84" s="157"/>
      <c r="AH84" s="157"/>
      <c r="AI84" s="157"/>
      <c r="AJ84" s="157"/>
      <c r="AK84" s="157"/>
      <c r="AL84" s="157"/>
      <c r="AM84" s="157"/>
      <c r="AN84" s="157"/>
      <c r="AO84" s="157"/>
      <c r="AP84" s="157"/>
    </row>
    <row r="85" spans="1:42" ht="14.4" x14ac:dyDescent="0.25">
      <c r="A85" s="225" t="str">
        <f>'Participation Assumptions'!B86</f>
        <v>DLC-Thermostat-BYOT-Baseboard Heating</v>
      </c>
      <c r="B85" s="225" t="s">
        <v>397</v>
      </c>
      <c r="C85" s="225" t="str">
        <f>'Participation Assumptions'!C86</f>
        <v>Small Industrial</v>
      </c>
      <c r="D85" s="225" t="str">
        <f>'Participation Assumptions'!D86</f>
        <v>Services</v>
      </c>
      <c r="E85" s="330">
        <f t="shared" si="70"/>
        <v>0.09</v>
      </c>
      <c r="F85" s="330">
        <f t="shared" si="71"/>
        <v>0.09</v>
      </c>
      <c r="G85" s="330">
        <f t="shared" si="72"/>
        <v>0.09</v>
      </c>
      <c r="H85" s="330">
        <f t="shared" si="73"/>
        <v>0.09</v>
      </c>
      <c r="I85" s="330">
        <f t="shared" si="74"/>
        <v>0.09</v>
      </c>
      <c r="J85" s="330">
        <f t="shared" si="75"/>
        <v>0.09</v>
      </c>
      <c r="K85" s="330">
        <f t="shared" si="76"/>
        <v>0.09</v>
      </c>
      <c r="L85" s="330">
        <f t="shared" si="77"/>
        <v>0.09</v>
      </c>
      <c r="M85" s="330">
        <f t="shared" si="78"/>
        <v>0.09</v>
      </c>
      <c r="N85" s="330">
        <f t="shared" si="79"/>
        <v>0.09</v>
      </c>
      <c r="O85" s="330">
        <f t="shared" si="80"/>
        <v>0.09</v>
      </c>
      <c r="P85" s="330">
        <f t="shared" si="81"/>
        <v>0.09</v>
      </c>
      <c r="Q85" s="330">
        <f t="shared" si="82"/>
        <v>0.09</v>
      </c>
      <c r="R85" s="330">
        <f t="shared" si="83"/>
        <v>0.09</v>
      </c>
      <c r="S85" s="330">
        <f t="shared" si="84"/>
        <v>0.09</v>
      </c>
      <c r="T85" s="330">
        <f t="shared" si="85"/>
        <v>0.09</v>
      </c>
      <c r="U85" s="330">
        <f t="shared" si="86"/>
        <v>0.09</v>
      </c>
      <c r="V85" s="430"/>
      <c r="W85" s="200" t="str">
        <f t="shared" si="54"/>
        <v>Small</v>
      </c>
      <c r="X85" s="198" t="str">
        <f t="shared" si="53"/>
        <v>DLC-Thermostat-BYOT-Baseboard HeatingSmall</v>
      </c>
      <c r="Y85" s="157" t="b">
        <f>ISNUMBER(MATCH(X85,'ProCESS CSE'!W:W,0))</f>
        <v>0</v>
      </c>
      <c r="Z85" s="157"/>
      <c r="AA85" s="157"/>
      <c r="AB85" s="157"/>
      <c r="AC85" s="157"/>
      <c r="AD85" s="157"/>
      <c r="AE85" s="157"/>
      <c r="AF85" s="157"/>
      <c r="AG85" s="157"/>
      <c r="AH85" s="157"/>
      <c r="AI85" s="157"/>
      <c r="AJ85" s="157"/>
      <c r="AK85" s="157"/>
      <c r="AL85" s="157"/>
      <c r="AM85" s="157"/>
      <c r="AN85" s="157"/>
      <c r="AO85" s="157"/>
      <c r="AP85" s="157"/>
    </row>
    <row r="86" spans="1:42" ht="14.4" x14ac:dyDescent="0.25">
      <c r="A86" s="225" t="str">
        <f>'Participation Assumptions'!B87</f>
        <v>DLC-Thermostat-BYOT-Baseboard Heating</v>
      </c>
      <c r="B86" s="225" t="s">
        <v>397</v>
      </c>
      <c r="C86" s="225" t="str">
        <f>'Participation Assumptions'!C87</f>
        <v>Small Industrial</v>
      </c>
      <c r="D86" s="225" t="str">
        <f>'Participation Assumptions'!D87</f>
        <v>Manufacturing</v>
      </c>
      <c r="E86" s="330">
        <f t="shared" si="70"/>
        <v>0.09</v>
      </c>
      <c r="F86" s="330">
        <f t="shared" si="71"/>
        <v>0.09</v>
      </c>
      <c r="G86" s="330">
        <f t="shared" si="72"/>
        <v>0.09</v>
      </c>
      <c r="H86" s="330">
        <f t="shared" si="73"/>
        <v>0.09</v>
      </c>
      <c r="I86" s="330">
        <f t="shared" si="74"/>
        <v>0.09</v>
      </c>
      <c r="J86" s="330">
        <f t="shared" si="75"/>
        <v>0.09</v>
      </c>
      <c r="K86" s="330">
        <f t="shared" si="76"/>
        <v>0.09</v>
      </c>
      <c r="L86" s="330">
        <f t="shared" si="77"/>
        <v>0.09</v>
      </c>
      <c r="M86" s="330">
        <f t="shared" si="78"/>
        <v>0.09</v>
      </c>
      <c r="N86" s="330">
        <f t="shared" si="79"/>
        <v>0.09</v>
      </c>
      <c r="O86" s="330">
        <f t="shared" si="80"/>
        <v>0.09</v>
      </c>
      <c r="P86" s="330">
        <f t="shared" si="81"/>
        <v>0.09</v>
      </c>
      <c r="Q86" s="330">
        <f t="shared" si="82"/>
        <v>0.09</v>
      </c>
      <c r="R86" s="330">
        <f t="shared" si="83"/>
        <v>0.09</v>
      </c>
      <c r="S86" s="330">
        <f t="shared" si="84"/>
        <v>0.09</v>
      </c>
      <c r="T86" s="330">
        <f t="shared" si="85"/>
        <v>0.09</v>
      </c>
      <c r="U86" s="330">
        <f t="shared" si="86"/>
        <v>0.09</v>
      </c>
      <c r="V86" s="430"/>
      <c r="W86" s="200" t="str">
        <f t="shared" si="54"/>
        <v>Small</v>
      </c>
      <c r="X86" s="198" t="str">
        <f t="shared" si="53"/>
        <v>DLC-Thermostat-BYOT-Baseboard HeatingSmall</v>
      </c>
      <c r="Y86" s="157" t="b">
        <f>ISNUMBER(MATCH(X86,'ProCESS CSE'!W:W,0))</f>
        <v>0</v>
      </c>
      <c r="Z86" s="157"/>
      <c r="AA86" s="157"/>
      <c r="AB86" s="157"/>
      <c r="AC86" s="157"/>
      <c r="AD86" s="157"/>
      <c r="AE86" s="157"/>
      <c r="AF86" s="157"/>
      <c r="AG86" s="157"/>
      <c r="AH86" s="157"/>
      <c r="AI86" s="157"/>
      <c r="AJ86" s="157"/>
      <c r="AK86" s="157"/>
      <c r="AL86" s="157"/>
      <c r="AM86" s="157"/>
      <c r="AN86" s="157"/>
      <c r="AO86" s="157"/>
      <c r="AP86" s="157"/>
    </row>
    <row r="87" spans="1:42" ht="14.4" x14ac:dyDescent="0.25">
      <c r="A87" s="225" t="str">
        <f>'Participation Assumptions'!B88</f>
        <v>DLC-Thermostat-BYOT-Baseboard Heating</v>
      </c>
      <c r="B87" s="225" t="s">
        <v>397</v>
      </c>
      <c r="C87" s="225" t="str">
        <f>'Participation Assumptions'!C88</f>
        <v>Small Industrial</v>
      </c>
      <c r="D87" s="225" t="str">
        <f>'Participation Assumptions'!D88</f>
        <v>Miscellaneous</v>
      </c>
      <c r="E87" s="330">
        <f t="shared" si="70"/>
        <v>0.09</v>
      </c>
      <c r="F87" s="330">
        <f t="shared" si="71"/>
        <v>0.09</v>
      </c>
      <c r="G87" s="330">
        <f t="shared" si="72"/>
        <v>0.09</v>
      </c>
      <c r="H87" s="330">
        <f t="shared" si="73"/>
        <v>0.09</v>
      </c>
      <c r="I87" s="330">
        <f t="shared" si="74"/>
        <v>0.09</v>
      </c>
      <c r="J87" s="330">
        <f t="shared" si="75"/>
        <v>0.09</v>
      </c>
      <c r="K87" s="330">
        <f t="shared" si="76"/>
        <v>0.09</v>
      </c>
      <c r="L87" s="330">
        <f t="shared" si="77"/>
        <v>0.09</v>
      </c>
      <c r="M87" s="330">
        <f t="shared" si="78"/>
        <v>0.09</v>
      </c>
      <c r="N87" s="330">
        <f t="shared" si="79"/>
        <v>0.09</v>
      </c>
      <c r="O87" s="330">
        <f t="shared" si="80"/>
        <v>0.09</v>
      </c>
      <c r="P87" s="330">
        <f t="shared" si="81"/>
        <v>0.09</v>
      </c>
      <c r="Q87" s="330">
        <f t="shared" si="82"/>
        <v>0.09</v>
      </c>
      <c r="R87" s="330">
        <f t="shared" si="83"/>
        <v>0.09</v>
      </c>
      <c r="S87" s="330">
        <f t="shared" si="84"/>
        <v>0.09</v>
      </c>
      <c r="T87" s="330">
        <f t="shared" si="85"/>
        <v>0.09</v>
      </c>
      <c r="U87" s="330">
        <f t="shared" si="86"/>
        <v>0.09</v>
      </c>
      <c r="V87" s="430"/>
      <c r="W87" s="200" t="str">
        <f t="shared" si="54"/>
        <v>Small</v>
      </c>
      <c r="X87" s="198" t="str">
        <f t="shared" si="53"/>
        <v>DLC-Thermostat-BYOT-Baseboard HeatingSmall</v>
      </c>
      <c r="Y87" s="157" t="b">
        <f>ISNUMBER(MATCH(X87,'ProCESS CSE'!W:W,0))</f>
        <v>0</v>
      </c>
      <c r="Z87" s="157"/>
      <c r="AA87" s="157"/>
      <c r="AB87" s="157"/>
      <c r="AC87" s="157"/>
      <c r="AD87" s="157"/>
      <c r="AE87" s="157"/>
      <c r="AF87" s="157"/>
      <c r="AG87" s="157"/>
      <c r="AH87" s="157"/>
      <c r="AI87" s="157"/>
      <c r="AJ87" s="157"/>
      <c r="AK87" s="157"/>
      <c r="AL87" s="157"/>
      <c r="AM87" s="157"/>
      <c r="AN87" s="157"/>
      <c r="AO87" s="157"/>
      <c r="AP87" s="157"/>
    </row>
    <row r="88" spans="1:42" ht="14.4" x14ac:dyDescent="0.25">
      <c r="A88" s="225" t="str">
        <f>'Participation Assumptions'!B89</f>
        <v>DLC-Thermostat-BYOT-Baseboard Heating</v>
      </c>
      <c r="B88" s="225" t="s">
        <v>397</v>
      </c>
      <c r="C88" s="225" t="str">
        <f>'Participation Assumptions'!C89</f>
        <v>Small Industrial</v>
      </c>
      <c r="D88" s="225" t="str">
        <f>'Participation Assumptions'!D89</f>
        <v>Offices</v>
      </c>
      <c r="E88" s="330">
        <f t="shared" si="70"/>
        <v>0.09</v>
      </c>
      <c r="F88" s="330">
        <f t="shared" si="71"/>
        <v>0.09</v>
      </c>
      <c r="G88" s="330">
        <f t="shared" si="72"/>
        <v>0.09</v>
      </c>
      <c r="H88" s="330">
        <f t="shared" si="73"/>
        <v>0.09</v>
      </c>
      <c r="I88" s="330">
        <f t="shared" si="74"/>
        <v>0.09</v>
      </c>
      <c r="J88" s="330">
        <f t="shared" si="75"/>
        <v>0.09</v>
      </c>
      <c r="K88" s="330">
        <f t="shared" si="76"/>
        <v>0.09</v>
      </c>
      <c r="L88" s="330">
        <f t="shared" si="77"/>
        <v>0.09</v>
      </c>
      <c r="M88" s="330">
        <f t="shared" si="78"/>
        <v>0.09</v>
      </c>
      <c r="N88" s="330">
        <f t="shared" si="79"/>
        <v>0.09</v>
      </c>
      <c r="O88" s="330">
        <f t="shared" si="80"/>
        <v>0.09</v>
      </c>
      <c r="P88" s="330">
        <f t="shared" si="81"/>
        <v>0.09</v>
      </c>
      <c r="Q88" s="330">
        <f t="shared" si="82"/>
        <v>0.09</v>
      </c>
      <c r="R88" s="330">
        <f t="shared" si="83"/>
        <v>0.09</v>
      </c>
      <c r="S88" s="330">
        <f t="shared" si="84"/>
        <v>0.09</v>
      </c>
      <c r="T88" s="330">
        <f t="shared" si="85"/>
        <v>0.09</v>
      </c>
      <c r="U88" s="330">
        <f t="shared" si="86"/>
        <v>0.09</v>
      </c>
      <c r="V88" s="430"/>
      <c r="W88" s="200" t="str">
        <f t="shared" si="54"/>
        <v>Small</v>
      </c>
      <c r="X88" s="198" t="str">
        <f t="shared" si="53"/>
        <v>DLC-Thermostat-BYOT-Baseboard HeatingSmall</v>
      </c>
      <c r="Y88" s="157" t="b">
        <f>ISNUMBER(MATCH(X88,'ProCESS CSE'!W:W,0))</f>
        <v>0</v>
      </c>
      <c r="Z88" s="157"/>
      <c r="AA88" s="157"/>
      <c r="AB88" s="157"/>
      <c r="AC88" s="157"/>
      <c r="AD88" s="157"/>
      <c r="AE88" s="157"/>
      <c r="AF88" s="157"/>
      <c r="AG88" s="157"/>
      <c r="AH88" s="157"/>
      <c r="AI88" s="157"/>
      <c r="AJ88" s="157"/>
      <c r="AK88" s="157"/>
      <c r="AL88" s="157"/>
      <c r="AM88" s="157"/>
      <c r="AN88" s="157"/>
      <c r="AO88" s="157"/>
      <c r="AP88" s="157"/>
    </row>
    <row r="89" spans="1:42" ht="14.4" x14ac:dyDescent="0.25">
      <c r="A89" s="225" t="str">
        <f>'Participation Assumptions'!B90</f>
        <v>DLC-Thermostat-BYOT-Baseboard Heating</v>
      </c>
      <c r="B89" s="225" t="s">
        <v>397</v>
      </c>
      <c r="C89" s="225" t="str">
        <f>'Participation Assumptions'!C90</f>
        <v>Small Industrial</v>
      </c>
      <c r="D89" s="225" t="str">
        <f>'Participation Assumptions'!D90</f>
        <v>Retail Trade</v>
      </c>
      <c r="E89" s="330">
        <f t="shared" si="70"/>
        <v>0.09</v>
      </c>
      <c r="F89" s="330">
        <f t="shared" si="71"/>
        <v>0.09</v>
      </c>
      <c r="G89" s="330">
        <f t="shared" si="72"/>
        <v>0.09</v>
      </c>
      <c r="H89" s="330">
        <f t="shared" si="73"/>
        <v>0.09</v>
      </c>
      <c r="I89" s="330">
        <f t="shared" si="74"/>
        <v>0.09</v>
      </c>
      <c r="J89" s="330">
        <f t="shared" si="75"/>
        <v>0.09</v>
      </c>
      <c r="K89" s="330">
        <f t="shared" si="76"/>
        <v>0.09</v>
      </c>
      <c r="L89" s="330">
        <f t="shared" si="77"/>
        <v>0.09</v>
      </c>
      <c r="M89" s="330">
        <f t="shared" si="78"/>
        <v>0.09</v>
      </c>
      <c r="N89" s="330">
        <f t="shared" si="79"/>
        <v>0.09</v>
      </c>
      <c r="O89" s="330">
        <f t="shared" si="80"/>
        <v>0.09</v>
      </c>
      <c r="P89" s="330">
        <f t="shared" si="81"/>
        <v>0.09</v>
      </c>
      <c r="Q89" s="330">
        <f t="shared" si="82"/>
        <v>0.09</v>
      </c>
      <c r="R89" s="330">
        <f t="shared" si="83"/>
        <v>0.09</v>
      </c>
      <c r="S89" s="330">
        <f t="shared" si="84"/>
        <v>0.09</v>
      </c>
      <c r="T89" s="330">
        <f t="shared" si="85"/>
        <v>0.09</v>
      </c>
      <c r="U89" s="330">
        <f t="shared" si="86"/>
        <v>0.09</v>
      </c>
      <c r="V89" s="430"/>
      <c r="W89" s="200" t="str">
        <f t="shared" si="54"/>
        <v>Small</v>
      </c>
      <c r="X89" s="198" t="str">
        <f t="shared" si="53"/>
        <v>DLC-Thermostat-BYOT-Baseboard HeatingSmall</v>
      </c>
      <c r="Y89" s="157" t="b">
        <f>ISNUMBER(MATCH(X89,'ProCESS CSE'!W:W,0))</f>
        <v>0</v>
      </c>
      <c r="Z89" s="157"/>
      <c r="AA89" s="157"/>
      <c r="AB89" s="157"/>
      <c r="AC89" s="157"/>
      <c r="AD89" s="157"/>
      <c r="AE89" s="157"/>
      <c r="AF89" s="157"/>
      <c r="AG89" s="157"/>
      <c r="AH89" s="157"/>
      <c r="AI89" s="157"/>
      <c r="AJ89" s="157"/>
      <c r="AK89" s="157"/>
      <c r="AL89" s="157"/>
      <c r="AM89" s="157"/>
      <c r="AN89" s="157"/>
      <c r="AO89" s="157"/>
      <c r="AP89" s="157"/>
    </row>
    <row r="90" spans="1:42" ht="14.4" x14ac:dyDescent="0.25">
      <c r="A90" s="225" t="str">
        <f>'Participation Assumptions'!B91</f>
        <v>DLC-Thermostat-DI-MSHP</v>
      </c>
      <c r="B90" s="225" t="s">
        <v>397</v>
      </c>
      <c r="C90" s="225" t="str">
        <f>'Participation Assumptions'!C91</f>
        <v>Small Commercial</v>
      </c>
      <c r="D90" s="225" t="str">
        <f>'Participation Assumptions'!D91</f>
        <v>Manufacturing</v>
      </c>
      <c r="E90" s="330">
        <f t="shared" ref="E90:E99" si="87">(F90/G90)*F90</f>
        <v>4.3352725983309874E-3</v>
      </c>
      <c r="F90" s="330">
        <f t="shared" ref="F90:F99" si="88">(G90/H90)*G90</f>
        <v>4.2102989300562398E-3</v>
      </c>
      <c r="G90" s="330">
        <f>AVERAGEIF('ProCESS CSE'!$W:$W,'Control Strategy Eligibility'!$X90,'ProCESS CSE'!P:P)</f>
        <v>4.0889278997720217E-3</v>
      </c>
      <c r="H90" s="330">
        <f>AVERAGEIF('ProCESS CSE'!$W:$W,'Control Strategy Eligibility'!$X90,'ProCESS CSE'!Q:Q)</f>
        <v>3.9710556535971914E-3</v>
      </c>
      <c r="I90" s="330">
        <f>AVERAGEIF('ProCESS CSE'!$W:$W,'Control Strategy Eligibility'!$X90,'ProCESS CSE'!R:R)</f>
        <v>4.109388191821421E-3</v>
      </c>
      <c r="J90" s="330">
        <f t="shared" ref="J90:J99" si="89">MIN(1,(I90/H90)*I90)</f>
        <v>4.2525395723890524E-3</v>
      </c>
      <c r="K90" s="330">
        <f t="shared" ref="K90:K99" si="90">MIN(1,(J90/I90)*J90)</f>
        <v>4.4006776606615441E-3</v>
      </c>
      <c r="L90" s="330">
        <f t="shared" ref="L90:L99" si="91">MIN(1,(K90/J90)*K90)</f>
        <v>4.5539761696246541E-3</v>
      </c>
      <c r="M90" s="330">
        <f t="shared" ref="M90:M99" si="92">MIN(1,(L90/K90)*L90)</f>
        <v>4.71261486359163E-3</v>
      </c>
      <c r="N90" s="330">
        <f t="shared" ref="N90:N99" si="93">MIN(1,(M90/L90)*M90)</f>
        <v>4.8767797690024445E-3</v>
      </c>
      <c r="O90" s="330">
        <f t="shared" ref="O90:O99" si="94">MIN(1,(N90/M90)*N90)</f>
        <v>5.0466633925662632E-3</v>
      </c>
      <c r="P90" s="330">
        <f t="shared" ref="P90:P99" si="95">MIN(1,(O90/N90)*O90)</f>
        <v>5.2224649470029531E-3</v>
      </c>
      <c r="Q90" s="330">
        <f t="shared" ref="Q90:Q99" si="96">MIN(1,(P90/O90)*P90)</f>
        <v>5.4043905846483395E-3</v>
      </c>
      <c r="R90" s="330">
        <f t="shared" ref="R90:R99" si="97">MIN(1,(Q90/P90)*Q90)</f>
        <v>5.5926536391971505E-3</v>
      </c>
      <c r="S90" s="330">
        <f t="shared" ref="S90:S99" si="98">MIN(1,(R90/Q90)*R90)</f>
        <v>5.7874748758671296E-3</v>
      </c>
      <c r="T90" s="330">
        <f t="shared" ref="T90:T99" si="99">MIN(1,(S90/R90)*S90)</f>
        <v>5.9890827502776627E-3</v>
      </c>
      <c r="U90" s="330">
        <f t="shared" ref="U90:U99" si="100">MIN(1,(T90/S90)*T90)</f>
        <v>6.1977136763464967E-3</v>
      </c>
      <c r="V90" s="430"/>
      <c r="W90" s="200" t="str">
        <f t="shared" si="54"/>
        <v>Small</v>
      </c>
      <c r="X90" s="198" t="str">
        <f t="shared" si="53"/>
        <v>DLC-Thermostat-DI-MSHPSmall</v>
      </c>
      <c r="Y90" s="157" t="b">
        <f>ISNUMBER(MATCH(X90,'ProCESS CSE'!W:W,0))</f>
        <v>1</v>
      </c>
      <c r="Z90" s="157"/>
      <c r="AA90" s="157"/>
      <c r="AB90" s="157"/>
      <c r="AC90" s="157"/>
      <c r="AD90" s="157"/>
      <c r="AE90" s="157"/>
      <c r="AF90" s="157"/>
      <c r="AG90" s="157"/>
      <c r="AH90" s="157"/>
      <c r="AI90" s="157"/>
      <c r="AJ90" s="157"/>
      <c r="AK90" s="157"/>
      <c r="AL90" s="157"/>
      <c r="AM90" s="157"/>
      <c r="AN90" s="157"/>
      <c r="AO90" s="157"/>
      <c r="AP90" s="157"/>
    </row>
    <row r="91" spans="1:42" ht="14.4" x14ac:dyDescent="0.25">
      <c r="A91" s="225" t="str">
        <f>'Participation Assumptions'!B92</f>
        <v>DLC-Thermostat-DI-MSHP</v>
      </c>
      <c r="B91" s="225" t="s">
        <v>397</v>
      </c>
      <c r="C91" s="225" t="str">
        <f>'Participation Assumptions'!C92</f>
        <v>Small Commercial</v>
      </c>
      <c r="D91" s="225" t="str">
        <f>'Participation Assumptions'!D92</f>
        <v>Miscellaneous</v>
      </c>
      <c r="E91" s="330">
        <f t="shared" si="87"/>
        <v>4.3352725983309874E-3</v>
      </c>
      <c r="F91" s="330">
        <f t="shared" si="88"/>
        <v>4.2102989300562398E-3</v>
      </c>
      <c r="G91" s="330">
        <f>AVERAGEIF('ProCESS CSE'!$W:$W,'Control Strategy Eligibility'!$X91,'ProCESS CSE'!P:P)</f>
        <v>4.0889278997720217E-3</v>
      </c>
      <c r="H91" s="330">
        <f>AVERAGEIF('ProCESS CSE'!$W:$W,'Control Strategy Eligibility'!$X91,'ProCESS CSE'!Q:Q)</f>
        <v>3.9710556535971914E-3</v>
      </c>
      <c r="I91" s="330">
        <f>AVERAGEIF('ProCESS CSE'!$W:$W,'Control Strategy Eligibility'!$X91,'ProCESS CSE'!R:R)</f>
        <v>4.109388191821421E-3</v>
      </c>
      <c r="J91" s="330">
        <f t="shared" si="89"/>
        <v>4.2525395723890524E-3</v>
      </c>
      <c r="K91" s="330">
        <f t="shared" si="90"/>
        <v>4.4006776606615441E-3</v>
      </c>
      <c r="L91" s="330">
        <f t="shared" si="91"/>
        <v>4.5539761696246541E-3</v>
      </c>
      <c r="M91" s="330">
        <f t="shared" si="92"/>
        <v>4.71261486359163E-3</v>
      </c>
      <c r="N91" s="330">
        <f t="shared" si="93"/>
        <v>4.8767797690024445E-3</v>
      </c>
      <c r="O91" s="330">
        <f t="shared" si="94"/>
        <v>5.0466633925662632E-3</v>
      </c>
      <c r="P91" s="330">
        <f t="shared" si="95"/>
        <v>5.2224649470029531E-3</v>
      </c>
      <c r="Q91" s="330">
        <f t="shared" si="96"/>
        <v>5.4043905846483395E-3</v>
      </c>
      <c r="R91" s="330">
        <f t="shared" si="97"/>
        <v>5.5926536391971505E-3</v>
      </c>
      <c r="S91" s="330">
        <f t="shared" si="98"/>
        <v>5.7874748758671296E-3</v>
      </c>
      <c r="T91" s="330">
        <f t="shared" si="99"/>
        <v>5.9890827502776627E-3</v>
      </c>
      <c r="U91" s="330">
        <f t="shared" si="100"/>
        <v>6.1977136763464967E-3</v>
      </c>
      <c r="V91" s="430"/>
      <c r="W91" s="200" t="str">
        <f t="shared" si="54"/>
        <v>Small</v>
      </c>
      <c r="X91" s="198" t="str">
        <f t="shared" si="53"/>
        <v>DLC-Thermostat-DI-MSHPSmall</v>
      </c>
      <c r="Y91" s="157" t="b">
        <f>ISNUMBER(MATCH(X91,'ProCESS CSE'!W:W,0))</f>
        <v>1</v>
      </c>
      <c r="Z91" s="157"/>
      <c r="AA91" s="157"/>
      <c r="AB91" s="157"/>
      <c r="AC91" s="157"/>
      <c r="AD91" s="157"/>
      <c r="AE91" s="157"/>
      <c r="AF91" s="157"/>
      <c r="AG91" s="157"/>
      <c r="AH91" s="157"/>
      <c r="AI91" s="157"/>
      <c r="AJ91" s="157"/>
      <c r="AK91" s="157"/>
      <c r="AL91" s="157"/>
      <c r="AM91" s="157"/>
      <c r="AN91" s="157"/>
      <c r="AO91" s="157"/>
      <c r="AP91" s="157"/>
    </row>
    <row r="92" spans="1:42" ht="14.4" x14ac:dyDescent="0.25">
      <c r="A92" s="225" t="str">
        <f>'Participation Assumptions'!B93</f>
        <v>DLC-Thermostat-DI-MSHP</v>
      </c>
      <c r="B92" s="225" t="s">
        <v>397</v>
      </c>
      <c r="C92" s="225" t="str">
        <f>'Participation Assumptions'!C93</f>
        <v>Small Commercial</v>
      </c>
      <c r="D92" s="225" t="str">
        <f>'Participation Assumptions'!D93</f>
        <v>Offices</v>
      </c>
      <c r="E92" s="330">
        <f t="shared" si="87"/>
        <v>4.3352725983309874E-3</v>
      </c>
      <c r="F92" s="330">
        <f t="shared" si="88"/>
        <v>4.2102989300562398E-3</v>
      </c>
      <c r="G92" s="330">
        <f>AVERAGEIF('ProCESS CSE'!$W:$W,'Control Strategy Eligibility'!$X92,'ProCESS CSE'!P:P)</f>
        <v>4.0889278997720217E-3</v>
      </c>
      <c r="H92" s="330">
        <f>AVERAGEIF('ProCESS CSE'!$W:$W,'Control Strategy Eligibility'!$X92,'ProCESS CSE'!Q:Q)</f>
        <v>3.9710556535971914E-3</v>
      </c>
      <c r="I92" s="330">
        <f>AVERAGEIF('ProCESS CSE'!$W:$W,'Control Strategy Eligibility'!$X92,'ProCESS CSE'!R:R)</f>
        <v>4.109388191821421E-3</v>
      </c>
      <c r="J92" s="330">
        <f t="shared" si="89"/>
        <v>4.2525395723890524E-3</v>
      </c>
      <c r="K92" s="330">
        <f t="shared" si="90"/>
        <v>4.4006776606615441E-3</v>
      </c>
      <c r="L92" s="330">
        <f t="shared" si="91"/>
        <v>4.5539761696246541E-3</v>
      </c>
      <c r="M92" s="330">
        <f t="shared" si="92"/>
        <v>4.71261486359163E-3</v>
      </c>
      <c r="N92" s="330">
        <f t="shared" si="93"/>
        <v>4.8767797690024445E-3</v>
      </c>
      <c r="O92" s="330">
        <f t="shared" si="94"/>
        <v>5.0466633925662632E-3</v>
      </c>
      <c r="P92" s="330">
        <f t="shared" si="95"/>
        <v>5.2224649470029531E-3</v>
      </c>
      <c r="Q92" s="330">
        <f t="shared" si="96"/>
        <v>5.4043905846483395E-3</v>
      </c>
      <c r="R92" s="330">
        <f t="shared" si="97"/>
        <v>5.5926536391971505E-3</v>
      </c>
      <c r="S92" s="330">
        <f t="shared" si="98"/>
        <v>5.7874748758671296E-3</v>
      </c>
      <c r="T92" s="330">
        <f t="shared" si="99"/>
        <v>5.9890827502776627E-3</v>
      </c>
      <c r="U92" s="330">
        <f t="shared" si="100"/>
        <v>6.1977136763464967E-3</v>
      </c>
      <c r="V92" s="430"/>
      <c r="W92" s="200" t="str">
        <f t="shared" si="54"/>
        <v>Small</v>
      </c>
      <c r="X92" s="198" t="str">
        <f t="shared" si="53"/>
        <v>DLC-Thermostat-DI-MSHPSmall</v>
      </c>
      <c r="Y92" s="157" t="b">
        <f>ISNUMBER(MATCH(X92,'ProCESS CSE'!W:W,0))</f>
        <v>1</v>
      </c>
      <c r="Z92" s="157"/>
      <c r="AA92" s="157"/>
      <c r="AB92" s="157"/>
      <c r="AC92" s="157"/>
      <c r="AD92" s="157"/>
      <c r="AE92" s="157"/>
      <c r="AF92" s="157"/>
      <c r="AG92" s="157"/>
      <c r="AH92" s="157"/>
      <c r="AI92" s="157"/>
      <c r="AJ92" s="157"/>
      <c r="AK92" s="157"/>
      <c r="AL92" s="157"/>
      <c r="AM92" s="157"/>
      <c r="AN92" s="157"/>
      <c r="AO92" s="157"/>
      <c r="AP92" s="157"/>
    </row>
    <row r="93" spans="1:42" ht="14.4" x14ac:dyDescent="0.25">
      <c r="A93" s="225" t="str">
        <f>'Participation Assumptions'!B94</f>
        <v>DLC-Thermostat-DI-MSHP</v>
      </c>
      <c r="B93" s="225" t="s">
        <v>397</v>
      </c>
      <c r="C93" s="225" t="str">
        <f>'Participation Assumptions'!C94</f>
        <v>Small Commercial</v>
      </c>
      <c r="D93" s="225" t="str">
        <f>'Participation Assumptions'!D94</f>
        <v>Retail Trade</v>
      </c>
      <c r="E93" s="330">
        <f t="shared" si="87"/>
        <v>4.3352725983309874E-3</v>
      </c>
      <c r="F93" s="330">
        <f t="shared" si="88"/>
        <v>4.2102989300562398E-3</v>
      </c>
      <c r="G93" s="330">
        <f>AVERAGEIF('ProCESS CSE'!$W:$W,'Control Strategy Eligibility'!$X93,'ProCESS CSE'!P:P)</f>
        <v>4.0889278997720217E-3</v>
      </c>
      <c r="H93" s="330">
        <f>AVERAGEIF('ProCESS CSE'!$W:$W,'Control Strategy Eligibility'!$X93,'ProCESS CSE'!Q:Q)</f>
        <v>3.9710556535971914E-3</v>
      </c>
      <c r="I93" s="330">
        <f>AVERAGEIF('ProCESS CSE'!$W:$W,'Control Strategy Eligibility'!$X93,'ProCESS CSE'!R:R)</f>
        <v>4.109388191821421E-3</v>
      </c>
      <c r="J93" s="330">
        <f t="shared" si="89"/>
        <v>4.2525395723890524E-3</v>
      </c>
      <c r="K93" s="330">
        <f t="shared" si="90"/>
        <v>4.4006776606615441E-3</v>
      </c>
      <c r="L93" s="330">
        <f t="shared" si="91"/>
        <v>4.5539761696246541E-3</v>
      </c>
      <c r="M93" s="330">
        <f t="shared" si="92"/>
        <v>4.71261486359163E-3</v>
      </c>
      <c r="N93" s="330">
        <f t="shared" si="93"/>
        <v>4.8767797690024445E-3</v>
      </c>
      <c r="O93" s="330">
        <f t="shared" si="94"/>
        <v>5.0466633925662632E-3</v>
      </c>
      <c r="P93" s="330">
        <f t="shared" si="95"/>
        <v>5.2224649470029531E-3</v>
      </c>
      <c r="Q93" s="330">
        <f t="shared" si="96"/>
        <v>5.4043905846483395E-3</v>
      </c>
      <c r="R93" s="330">
        <f t="shared" si="97"/>
        <v>5.5926536391971505E-3</v>
      </c>
      <c r="S93" s="330">
        <f t="shared" si="98"/>
        <v>5.7874748758671296E-3</v>
      </c>
      <c r="T93" s="330">
        <f t="shared" si="99"/>
        <v>5.9890827502776627E-3</v>
      </c>
      <c r="U93" s="330">
        <f t="shared" si="100"/>
        <v>6.1977136763464967E-3</v>
      </c>
      <c r="V93" s="430"/>
      <c r="W93" s="200" t="str">
        <f t="shared" si="54"/>
        <v>Small</v>
      </c>
      <c r="X93" s="198" t="str">
        <f t="shared" si="53"/>
        <v>DLC-Thermostat-DI-MSHPSmall</v>
      </c>
      <c r="Y93" s="157" t="b">
        <f>ISNUMBER(MATCH(X93,'ProCESS CSE'!W:W,0))</f>
        <v>1</v>
      </c>
      <c r="Z93" s="157"/>
      <c r="AA93" s="157"/>
      <c r="AB93" s="157"/>
      <c r="AC93" s="157"/>
      <c r="AD93" s="157"/>
      <c r="AE93" s="157"/>
      <c r="AF93" s="157"/>
      <c r="AG93" s="157"/>
      <c r="AH93" s="157"/>
      <c r="AI93" s="157"/>
      <c r="AJ93" s="157"/>
      <c r="AK93" s="157"/>
      <c r="AL93" s="157"/>
      <c r="AM93" s="157"/>
      <c r="AN93" s="157"/>
      <c r="AO93" s="157"/>
      <c r="AP93" s="157"/>
    </row>
    <row r="94" spans="1:42" ht="14.4" x14ac:dyDescent="0.25">
      <c r="A94" s="225" t="str">
        <f>'Participation Assumptions'!B95</f>
        <v>DLC-Thermostat-DI-MSHP</v>
      </c>
      <c r="B94" s="225" t="s">
        <v>397</v>
      </c>
      <c r="C94" s="225" t="str">
        <f>'Participation Assumptions'!C95</f>
        <v>Small Commercial</v>
      </c>
      <c r="D94" s="225" t="str">
        <f>'Participation Assumptions'!D95</f>
        <v>Services</v>
      </c>
      <c r="E94" s="330">
        <f t="shared" si="87"/>
        <v>4.3352725983309874E-3</v>
      </c>
      <c r="F94" s="330">
        <f t="shared" si="88"/>
        <v>4.2102989300562398E-3</v>
      </c>
      <c r="G94" s="330">
        <f>AVERAGEIF('ProCESS CSE'!$W:$W,'Control Strategy Eligibility'!$X94,'ProCESS CSE'!P:P)</f>
        <v>4.0889278997720217E-3</v>
      </c>
      <c r="H94" s="330">
        <f>AVERAGEIF('ProCESS CSE'!$W:$W,'Control Strategy Eligibility'!$X94,'ProCESS CSE'!Q:Q)</f>
        <v>3.9710556535971914E-3</v>
      </c>
      <c r="I94" s="330">
        <f>AVERAGEIF('ProCESS CSE'!$W:$W,'Control Strategy Eligibility'!$X94,'ProCESS CSE'!R:R)</f>
        <v>4.109388191821421E-3</v>
      </c>
      <c r="J94" s="330">
        <f t="shared" si="89"/>
        <v>4.2525395723890524E-3</v>
      </c>
      <c r="K94" s="330">
        <f t="shared" si="90"/>
        <v>4.4006776606615441E-3</v>
      </c>
      <c r="L94" s="330">
        <f t="shared" si="91"/>
        <v>4.5539761696246541E-3</v>
      </c>
      <c r="M94" s="330">
        <f t="shared" si="92"/>
        <v>4.71261486359163E-3</v>
      </c>
      <c r="N94" s="330">
        <f t="shared" si="93"/>
        <v>4.8767797690024445E-3</v>
      </c>
      <c r="O94" s="330">
        <f t="shared" si="94"/>
        <v>5.0466633925662632E-3</v>
      </c>
      <c r="P94" s="330">
        <f t="shared" si="95"/>
        <v>5.2224649470029531E-3</v>
      </c>
      <c r="Q94" s="330">
        <f t="shared" si="96"/>
        <v>5.4043905846483395E-3</v>
      </c>
      <c r="R94" s="330">
        <f t="shared" si="97"/>
        <v>5.5926536391971505E-3</v>
      </c>
      <c r="S94" s="330">
        <f t="shared" si="98"/>
        <v>5.7874748758671296E-3</v>
      </c>
      <c r="T94" s="330">
        <f t="shared" si="99"/>
        <v>5.9890827502776627E-3</v>
      </c>
      <c r="U94" s="330">
        <f t="shared" si="100"/>
        <v>6.1977136763464967E-3</v>
      </c>
      <c r="V94" s="430"/>
      <c r="W94" s="200" t="str">
        <f t="shared" si="54"/>
        <v>Small</v>
      </c>
      <c r="X94" s="198" t="str">
        <f t="shared" si="53"/>
        <v>DLC-Thermostat-DI-MSHPSmall</v>
      </c>
      <c r="Y94" s="157" t="b">
        <f>ISNUMBER(MATCH(X94,'ProCESS CSE'!W:W,0))</f>
        <v>1</v>
      </c>
      <c r="Z94" s="157"/>
      <c r="AA94" s="157"/>
      <c r="AB94" s="157"/>
      <c r="AC94" s="157"/>
      <c r="AD94" s="157"/>
      <c r="AE94" s="157"/>
      <c r="AF94" s="157"/>
      <c r="AG94" s="157"/>
      <c r="AH94" s="157"/>
      <c r="AI94" s="157"/>
      <c r="AJ94" s="157"/>
      <c r="AK94" s="157"/>
      <c r="AL94" s="157"/>
      <c r="AM94" s="157"/>
      <c r="AN94" s="157"/>
      <c r="AO94" s="157"/>
      <c r="AP94" s="157"/>
    </row>
    <row r="95" spans="1:42" ht="14.4" x14ac:dyDescent="0.25">
      <c r="A95" s="225" t="str">
        <f>'Participation Assumptions'!B96</f>
        <v>DLC-Thermostat-DI-MSHP</v>
      </c>
      <c r="B95" s="225" t="s">
        <v>397</v>
      </c>
      <c r="C95" s="225" t="str">
        <f>'Participation Assumptions'!C96</f>
        <v>Small Industrial</v>
      </c>
      <c r="D95" s="225" t="str">
        <f>'Participation Assumptions'!D96</f>
        <v>Services</v>
      </c>
      <c r="E95" s="330">
        <f t="shared" si="87"/>
        <v>4.3352725983309874E-3</v>
      </c>
      <c r="F95" s="330">
        <f t="shared" si="88"/>
        <v>4.2102989300562398E-3</v>
      </c>
      <c r="G95" s="330">
        <f>AVERAGEIF('ProCESS CSE'!$W:$W,'Control Strategy Eligibility'!$X95,'ProCESS CSE'!P:P)</f>
        <v>4.0889278997720217E-3</v>
      </c>
      <c r="H95" s="330">
        <f>AVERAGEIF('ProCESS CSE'!$W:$W,'Control Strategy Eligibility'!$X95,'ProCESS CSE'!Q:Q)</f>
        <v>3.9710556535971914E-3</v>
      </c>
      <c r="I95" s="330">
        <f>AVERAGEIF('ProCESS CSE'!$W:$W,'Control Strategy Eligibility'!$X95,'ProCESS CSE'!R:R)</f>
        <v>4.109388191821421E-3</v>
      </c>
      <c r="J95" s="330">
        <f t="shared" si="89"/>
        <v>4.2525395723890524E-3</v>
      </c>
      <c r="K95" s="330">
        <f t="shared" si="90"/>
        <v>4.4006776606615441E-3</v>
      </c>
      <c r="L95" s="330">
        <f t="shared" si="91"/>
        <v>4.5539761696246541E-3</v>
      </c>
      <c r="M95" s="330">
        <f t="shared" si="92"/>
        <v>4.71261486359163E-3</v>
      </c>
      <c r="N95" s="330">
        <f t="shared" si="93"/>
        <v>4.8767797690024445E-3</v>
      </c>
      <c r="O95" s="330">
        <f t="shared" si="94"/>
        <v>5.0466633925662632E-3</v>
      </c>
      <c r="P95" s="330">
        <f t="shared" si="95"/>
        <v>5.2224649470029531E-3</v>
      </c>
      <c r="Q95" s="330">
        <f t="shared" si="96"/>
        <v>5.4043905846483395E-3</v>
      </c>
      <c r="R95" s="330">
        <f t="shared" si="97"/>
        <v>5.5926536391971505E-3</v>
      </c>
      <c r="S95" s="330">
        <f t="shared" si="98"/>
        <v>5.7874748758671296E-3</v>
      </c>
      <c r="T95" s="330">
        <f t="shared" si="99"/>
        <v>5.9890827502776627E-3</v>
      </c>
      <c r="U95" s="330">
        <f t="shared" si="100"/>
        <v>6.1977136763464967E-3</v>
      </c>
      <c r="V95" s="430"/>
      <c r="W95" s="200" t="str">
        <f t="shared" si="54"/>
        <v>Small</v>
      </c>
      <c r="X95" s="198" t="str">
        <f t="shared" si="53"/>
        <v>DLC-Thermostat-DI-MSHPSmall</v>
      </c>
      <c r="Y95" s="157" t="b">
        <f>ISNUMBER(MATCH(X95,'ProCESS CSE'!W:W,0))</f>
        <v>1</v>
      </c>
      <c r="Z95" s="157"/>
      <c r="AA95" s="157"/>
      <c r="AB95" s="157"/>
      <c r="AC95" s="157"/>
      <c r="AD95" s="157"/>
      <c r="AE95" s="157"/>
      <c r="AF95" s="157"/>
      <c r="AG95" s="157"/>
      <c r="AH95" s="157"/>
      <c r="AI95" s="157"/>
      <c r="AJ95" s="157"/>
      <c r="AK95" s="157"/>
      <c r="AL95" s="157"/>
      <c r="AM95" s="157"/>
      <c r="AN95" s="157"/>
      <c r="AO95" s="157"/>
      <c r="AP95" s="157"/>
    </row>
    <row r="96" spans="1:42" ht="14.4" x14ac:dyDescent="0.25">
      <c r="A96" s="225" t="str">
        <f>'Participation Assumptions'!B97</f>
        <v>DLC-Thermostat-DI-MSHP</v>
      </c>
      <c r="B96" s="225" t="s">
        <v>397</v>
      </c>
      <c r="C96" s="225" t="str">
        <f>'Participation Assumptions'!C97</f>
        <v>Small Industrial</v>
      </c>
      <c r="D96" s="225" t="str">
        <f>'Participation Assumptions'!D97</f>
        <v>Manufacturing</v>
      </c>
      <c r="E96" s="330">
        <f t="shared" si="87"/>
        <v>4.3352725983309874E-3</v>
      </c>
      <c r="F96" s="330">
        <f t="shared" si="88"/>
        <v>4.2102989300562398E-3</v>
      </c>
      <c r="G96" s="330">
        <f>AVERAGEIF('ProCESS CSE'!$W:$W,'Control Strategy Eligibility'!$X96,'ProCESS CSE'!P:P)</f>
        <v>4.0889278997720217E-3</v>
      </c>
      <c r="H96" s="330">
        <f>AVERAGEIF('ProCESS CSE'!$W:$W,'Control Strategy Eligibility'!$X96,'ProCESS CSE'!Q:Q)</f>
        <v>3.9710556535971914E-3</v>
      </c>
      <c r="I96" s="330">
        <f>AVERAGEIF('ProCESS CSE'!$W:$W,'Control Strategy Eligibility'!$X96,'ProCESS CSE'!R:R)</f>
        <v>4.109388191821421E-3</v>
      </c>
      <c r="J96" s="330">
        <f t="shared" si="89"/>
        <v>4.2525395723890524E-3</v>
      </c>
      <c r="K96" s="330">
        <f t="shared" si="90"/>
        <v>4.4006776606615441E-3</v>
      </c>
      <c r="L96" s="330">
        <f t="shared" si="91"/>
        <v>4.5539761696246541E-3</v>
      </c>
      <c r="M96" s="330">
        <f t="shared" si="92"/>
        <v>4.71261486359163E-3</v>
      </c>
      <c r="N96" s="330">
        <f t="shared" si="93"/>
        <v>4.8767797690024445E-3</v>
      </c>
      <c r="O96" s="330">
        <f t="shared" si="94"/>
        <v>5.0466633925662632E-3</v>
      </c>
      <c r="P96" s="330">
        <f t="shared" si="95"/>
        <v>5.2224649470029531E-3</v>
      </c>
      <c r="Q96" s="330">
        <f t="shared" si="96"/>
        <v>5.4043905846483395E-3</v>
      </c>
      <c r="R96" s="330">
        <f t="shared" si="97"/>
        <v>5.5926536391971505E-3</v>
      </c>
      <c r="S96" s="330">
        <f t="shared" si="98"/>
        <v>5.7874748758671296E-3</v>
      </c>
      <c r="T96" s="330">
        <f t="shared" si="99"/>
        <v>5.9890827502776627E-3</v>
      </c>
      <c r="U96" s="330">
        <f t="shared" si="100"/>
        <v>6.1977136763464967E-3</v>
      </c>
      <c r="V96" s="430"/>
      <c r="W96" s="200" t="str">
        <f t="shared" si="54"/>
        <v>Small</v>
      </c>
      <c r="X96" s="198" t="str">
        <f t="shared" si="53"/>
        <v>DLC-Thermostat-DI-MSHPSmall</v>
      </c>
      <c r="Y96" s="157" t="b">
        <f>ISNUMBER(MATCH(X96,'ProCESS CSE'!W:W,0))</f>
        <v>1</v>
      </c>
      <c r="Z96" s="157"/>
      <c r="AA96" s="157"/>
      <c r="AB96" s="157"/>
      <c r="AC96" s="157"/>
      <c r="AD96" s="157"/>
      <c r="AE96" s="157"/>
      <c r="AF96" s="157"/>
      <c r="AG96" s="157"/>
      <c r="AH96" s="157"/>
      <c r="AI96" s="157"/>
      <c r="AJ96" s="157"/>
      <c r="AK96" s="157"/>
      <c r="AL96" s="157"/>
      <c r="AM96" s="157"/>
      <c r="AN96" s="157"/>
      <c r="AO96" s="157"/>
      <c r="AP96" s="157"/>
    </row>
    <row r="97" spans="1:42" ht="14.4" x14ac:dyDescent="0.25">
      <c r="A97" s="225" t="str">
        <f>'Participation Assumptions'!B98</f>
        <v>DLC-Thermostat-DI-MSHP</v>
      </c>
      <c r="B97" s="225" t="s">
        <v>397</v>
      </c>
      <c r="C97" s="225" t="str">
        <f>'Participation Assumptions'!C98</f>
        <v>Small Industrial</v>
      </c>
      <c r="D97" s="225" t="str">
        <f>'Participation Assumptions'!D98</f>
        <v>Miscellaneous</v>
      </c>
      <c r="E97" s="330">
        <f t="shared" si="87"/>
        <v>4.3352725983309874E-3</v>
      </c>
      <c r="F97" s="330">
        <f t="shared" si="88"/>
        <v>4.2102989300562398E-3</v>
      </c>
      <c r="G97" s="330">
        <f>AVERAGEIF('ProCESS CSE'!$W:$W,'Control Strategy Eligibility'!$X97,'ProCESS CSE'!P:P)</f>
        <v>4.0889278997720217E-3</v>
      </c>
      <c r="H97" s="330">
        <f>AVERAGEIF('ProCESS CSE'!$W:$W,'Control Strategy Eligibility'!$X97,'ProCESS CSE'!Q:Q)</f>
        <v>3.9710556535971914E-3</v>
      </c>
      <c r="I97" s="330">
        <f>AVERAGEIF('ProCESS CSE'!$W:$W,'Control Strategy Eligibility'!$X97,'ProCESS CSE'!R:R)</f>
        <v>4.109388191821421E-3</v>
      </c>
      <c r="J97" s="330">
        <f t="shared" si="89"/>
        <v>4.2525395723890524E-3</v>
      </c>
      <c r="K97" s="330">
        <f t="shared" si="90"/>
        <v>4.4006776606615441E-3</v>
      </c>
      <c r="L97" s="330">
        <f t="shared" si="91"/>
        <v>4.5539761696246541E-3</v>
      </c>
      <c r="M97" s="330">
        <f t="shared" si="92"/>
        <v>4.71261486359163E-3</v>
      </c>
      <c r="N97" s="330">
        <f t="shared" si="93"/>
        <v>4.8767797690024445E-3</v>
      </c>
      <c r="O97" s="330">
        <f t="shared" si="94"/>
        <v>5.0466633925662632E-3</v>
      </c>
      <c r="P97" s="330">
        <f t="shared" si="95"/>
        <v>5.2224649470029531E-3</v>
      </c>
      <c r="Q97" s="330">
        <f t="shared" si="96"/>
        <v>5.4043905846483395E-3</v>
      </c>
      <c r="R97" s="330">
        <f t="shared" si="97"/>
        <v>5.5926536391971505E-3</v>
      </c>
      <c r="S97" s="330">
        <f t="shared" si="98"/>
        <v>5.7874748758671296E-3</v>
      </c>
      <c r="T97" s="330">
        <f t="shared" si="99"/>
        <v>5.9890827502776627E-3</v>
      </c>
      <c r="U97" s="330">
        <f t="shared" si="100"/>
        <v>6.1977136763464967E-3</v>
      </c>
      <c r="V97" s="430"/>
      <c r="W97" s="200" t="str">
        <f t="shared" si="54"/>
        <v>Small</v>
      </c>
      <c r="X97" s="198" t="str">
        <f t="shared" si="53"/>
        <v>DLC-Thermostat-DI-MSHPSmall</v>
      </c>
      <c r="Y97" s="157" t="b">
        <f>ISNUMBER(MATCH(X97,'ProCESS CSE'!W:W,0))</f>
        <v>1</v>
      </c>
      <c r="Z97" s="157"/>
      <c r="AA97" s="157"/>
      <c r="AB97" s="157"/>
      <c r="AC97" s="157"/>
      <c r="AD97" s="157"/>
      <c r="AE97" s="157"/>
      <c r="AF97" s="157"/>
      <c r="AG97" s="157"/>
      <c r="AH97" s="157"/>
      <c r="AI97" s="157"/>
      <c r="AJ97" s="157"/>
      <c r="AK97" s="157"/>
      <c r="AL97" s="157"/>
      <c r="AM97" s="157"/>
      <c r="AN97" s="157"/>
      <c r="AO97" s="157"/>
      <c r="AP97" s="157"/>
    </row>
    <row r="98" spans="1:42" ht="14.4" x14ac:dyDescent="0.25">
      <c r="A98" s="225" t="str">
        <f>'Participation Assumptions'!B99</f>
        <v>DLC-Thermostat-DI-MSHP</v>
      </c>
      <c r="B98" s="225" t="s">
        <v>397</v>
      </c>
      <c r="C98" s="225" t="str">
        <f>'Participation Assumptions'!C99</f>
        <v>Small Industrial</v>
      </c>
      <c r="D98" s="225" t="str">
        <f>'Participation Assumptions'!D99</f>
        <v>Offices</v>
      </c>
      <c r="E98" s="330">
        <f t="shared" si="87"/>
        <v>4.3352725983309874E-3</v>
      </c>
      <c r="F98" s="330">
        <f t="shared" si="88"/>
        <v>4.2102989300562398E-3</v>
      </c>
      <c r="G98" s="330">
        <f>AVERAGEIF('ProCESS CSE'!$W:$W,'Control Strategy Eligibility'!$X98,'ProCESS CSE'!P:P)</f>
        <v>4.0889278997720217E-3</v>
      </c>
      <c r="H98" s="330">
        <f>AVERAGEIF('ProCESS CSE'!$W:$W,'Control Strategy Eligibility'!$X98,'ProCESS CSE'!Q:Q)</f>
        <v>3.9710556535971914E-3</v>
      </c>
      <c r="I98" s="330">
        <f>AVERAGEIF('ProCESS CSE'!$W:$W,'Control Strategy Eligibility'!$X98,'ProCESS CSE'!R:R)</f>
        <v>4.109388191821421E-3</v>
      </c>
      <c r="J98" s="330">
        <f t="shared" si="89"/>
        <v>4.2525395723890524E-3</v>
      </c>
      <c r="K98" s="330">
        <f t="shared" si="90"/>
        <v>4.4006776606615441E-3</v>
      </c>
      <c r="L98" s="330">
        <f t="shared" si="91"/>
        <v>4.5539761696246541E-3</v>
      </c>
      <c r="M98" s="330">
        <f t="shared" si="92"/>
        <v>4.71261486359163E-3</v>
      </c>
      <c r="N98" s="330">
        <f t="shared" si="93"/>
        <v>4.8767797690024445E-3</v>
      </c>
      <c r="O98" s="330">
        <f t="shared" si="94"/>
        <v>5.0466633925662632E-3</v>
      </c>
      <c r="P98" s="330">
        <f t="shared" si="95"/>
        <v>5.2224649470029531E-3</v>
      </c>
      <c r="Q98" s="330">
        <f t="shared" si="96"/>
        <v>5.4043905846483395E-3</v>
      </c>
      <c r="R98" s="330">
        <f t="shared" si="97"/>
        <v>5.5926536391971505E-3</v>
      </c>
      <c r="S98" s="330">
        <f t="shared" si="98"/>
        <v>5.7874748758671296E-3</v>
      </c>
      <c r="T98" s="330">
        <f t="shared" si="99"/>
        <v>5.9890827502776627E-3</v>
      </c>
      <c r="U98" s="330">
        <f t="shared" si="100"/>
        <v>6.1977136763464967E-3</v>
      </c>
      <c r="V98" s="430"/>
      <c r="W98" s="200" t="str">
        <f t="shared" si="54"/>
        <v>Small</v>
      </c>
      <c r="X98" s="198" t="str">
        <f t="shared" si="53"/>
        <v>DLC-Thermostat-DI-MSHPSmall</v>
      </c>
      <c r="Y98" s="157" t="b">
        <f>ISNUMBER(MATCH(X98,'ProCESS CSE'!W:W,0))</f>
        <v>1</v>
      </c>
      <c r="Z98" s="157"/>
      <c r="AA98" s="157"/>
      <c r="AB98" s="157"/>
      <c r="AC98" s="157"/>
      <c r="AD98" s="157"/>
      <c r="AE98" s="157"/>
      <c r="AF98" s="157"/>
      <c r="AG98" s="157"/>
      <c r="AH98" s="157"/>
      <c r="AI98" s="157"/>
      <c r="AJ98" s="157"/>
      <c r="AK98" s="157"/>
      <c r="AL98" s="157"/>
      <c r="AM98" s="157"/>
      <c r="AN98" s="157"/>
      <c r="AO98" s="157"/>
      <c r="AP98" s="157"/>
    </row>
    <row r="99" spans="1:42" ht="14.4" x14ac:dyDescent="0.25">
      <c r="A99" s="225" t="str">
        <f>'Participation Assumptions'!B100</f>
        <v>DLC-Thermostat-DI-MSHP</v>
      </c>
      <c r="B99" s="225" t="s">
        <v>397</v>
      </c>
      <c r="C99" s="225" t="str">
        <f>'Participation Assumptions'!C100</f>
        <v>Small Industrial</v>
      </c>
      <c r="D99" s="225" t="str">
        <f>'Participation Assumptions'!D100</f>
        <v>Retail Trade</v>
      </c>
      <c r="E99" s="330">
        <f t="shared" si="87"/>
        <v>4.3352725983309874E-3</v>
      </c>
      <c r="F99" s="330">
        <f t="shared" si="88"/>
        <v>4.2102989300562398E-3</v>
      </c>
      <c r="G99" s="330">
        <f>AVERAGEIF('ProCESS CSE'!$W:$W,'Control Strategy Eligibility'!$X99,'ProCESS CSE'!P:P)</f>
        <v>4.0889278997720217E-3</v>
      </c>
      <c r="H99" s="330">
        <f>AVERAGEIF('ProCESS CSE'!$W:$W,'Control Strategy Eligibility'!$X99,'ProCESS CSE'!Q:Q)</f>
        <v>3.9710556535971914E-3</v>
      </c>
      <c r="I99" s="330">
        <f>AVERAGEIF('ProCESS CSE'!$W:$W,'Control Strategy Eligibility'!$X99,'ProCESS CSE'!R:R)</f>
        <v>4.109388191821421E-3</v>
      </c>
      <c r="J99" s="330">
        <f t="shared" si="89"/>
        <v>4.2525395723890524E-3</v>
      </c>
      <c r="K99" s="330">
        <f t="shared" si="90"/>
        <v>4.4006776606615441E-3</v>
      </c>
      <c r="L99" s="330">
        <f t="shared" si="91"/>
        <v>4.5539761696246541E-3</v>
      </c>
      <c r="M99" s="330">
        <f t="shared" si="92"/>
        <v>4.71261486359163E-3</v>
      </c>
      <c r="N99" s="330">
        <f t="shared" si="93"/>
        <v>4.8767797690024445E-3</v>
      </c>
      <c r="O99" s="330">
        <f t="shared" si="94"/>
        <v>5.0466633925662632E-3</v>
      </c>
      <c r="P99" s="330">
        <f t="shared" si="95"/>
        <v>5.2224649470029531E-3</v>
      </c>
      <c r="Q99" s="330">
        <f t="shared" si="96"/>
        <v>5.4043905846483395E-3</v>
      </c>
      <c r="R99" s="330">
        <f t="shared" si="97"/>
        <v>5.5926536391971505E-3</v>
      </c>
      <c r="S99" s="330">
        <f t="shared" si="98"/>
        <v>5.7874748758671296E-3</v>
      </c>
      <c r="T99" s="330">
        <f t="shared" si="99"/>
        <v>5.9890827502776627E-3</v>
      </c>
      <c r="U99" s="330">
        <f t="shared" si="100"/>
        <v>6.1977136763464967E-3</v>
      </c>
      <c r="V99" s="430"/>
      <c r="W99" s="200" t="str">
        <f t="shared" si="54"/>
        <v>Small</v>
      </c>
      <c r="X99" s="198" t="str">
        <f t="shared" si="53"/>
        <v>DLC-Thermostat-DI-MSHPSmall</v>
      </c>
      <c r="Y99" s="157" t="b">
        <f>ISNUMBER(MATCH(X99,'ProCESS CSE'!W:W,0))</f>
        <v>1</v>
      </c>
      <c r="Z99" s="157"/>
      <c r="AA99" s="157"/>
      <c r="AB99" s="157"/>
      <c r="AC99" s="157"/>
      <c r="AD99" s="157"/>
      <c r="AE99" s="157"/>
      <c r="AF99" s="157"/>
      <c r="AG99" s="157"/>
      <c r="AH99" s="157"/>
      <c r="AI99" s="157"/>
      <c r="AJ99" s="157"/>
      <c r="AK99" s="157"/>
      <c r="AL99" s="157"/>
      <c r="AM99" s="157"/>
      <c r="AN99" s="157"/>
      <c r="AO99" s="157"/>
      <c r="AP99" s="157"/>
    </row>
    <row r="100" spans="1:42" ht="14.4" x14ac:dyDescent="0.25">
      <c r="A100" s="225" t="str">
        <f>'Participation Assumptions'!B101</f>
        <v>DLC-Thermostat-BYOT-MSHP</v>
      </c>
      <c r="B100" s="225" t="s">
        <v>397</v>
      </c>
      <c r="C100" s="225" t="str">
        <f>'Participation Assumptions'!C101</f>
        <v>Small Commercial</v>
      </c>
      <c r="D100" s="225" t="str">
        <f>'Participation Assumptions'!D101</f>
        <v>Manufacturing</v>
      </c>
      <c r="E100" s="330">
        <f>E37</f>
        <v>0.09</v>
      </c>
      <c r="F100" s="330">
        <f t="shared" ref="F100:U100" si="101">F37</f>
        <v>0.09</v>
      </c>
      <c r="G100" s="330">
        <f t="shared" si="101"/>
        <v>0.09</v>
      </c>
      <c r="H100" s="330">
        <f t="shared" si="101"/>
        <v>0.09</v>
      </c>
      <c r="I100" s="330">
        <f t="shared" si="101"/>
        <v>0.09</v>
      </c>
      <c r="J100" s="330">
        <f t="shared" si="101"/>
        <v>0.09</v>
      </c>
      <c r="K100" s="330">
        <f t="shared" si="101"/>
        <v>0.09</v>
      </c>
      <c r="L100" s="330">
        <f t="shared" si="101"/>
        <v>0.09</v>
      </c>
      <c r="M100" s="330">
        <f t="shared" si="101"/>
        <v>0.09</v>
      </c>
      <c r="N100" s="330">
        <f t="shared" si="101"/>
        <v>0.09</v>
      </c>
      <c r="O100" s="330">
        <f t="shared" si="101"/>
        <v>0.09</v>
      </c>
      <c r="P100" s="330">
        <f t="shared" si="101"/>
        <v>0.09</v>
      </c>
      <c r="Q100" s="330">
        <f t="shared" si="101"/>
        <v>0.09</v>
      </c>
      <c r="R100" s="330">
        <f t="shared" si="101"/>
        <v>0.09</v>
      </c>
      <c r="S100" s="330">
        <f t="shared" si="101"/>
        <v>0.09</v>
      </c>
      <c r="T100" s="330">
        <f t="shared" si="101"/>
        <v>0.09</v>
      </c>
      <c r="U100" s="330">
        <f t="shared" si="101"/>
        <v>0.09</v>
      </c>
      <c r="V100" s="430"/>
      <c r="W100" s="200" t="str">
        <f t="shared" si="54"/>
        <v>Small</v>
      </c>
      <c r="X100" s="198" t="str">
        <f t="shared" si="53"/>
        <v>DLC-Thermostat-BYOT-MSHPSmall</v>
      </c>
      <c r="Y100" s="157" t="b">
        <f>ISNUMBER(MATCH(X100,'ProCESS CSE'!W:W,0))</f>
        <v>0</v>
      </c>
      <c r="Z100" s="157"/>
      <c r="AA100" s="157"/>
      <c r="AB100" s="157"/>
      <c r="AC100" s="157"/>
      <c r="AD100" s="157"/>
      <c r="AE100" s="157"/>
      <c r="AF100" s="157"/>
      <c r="AG100" s="157"/>
      <c r="AH100" s="157"/>
      <c r="AI100" s="157"/>
      <c r="AJ100" s="157"/>
      <c r="AK100" s="157"/>
      <c r="AL100" s="157"/>
      <c r="AM100" s="157"/>
      <c r="AN100" s="157"/>
      <c r="AO100" s="157"/>
      <c r="AP100" s="157"/>
    </row>
    <row r="101" spans="1:42" ht="14.4" x14ac:dyDescent="0.25">
      <c r="A101" s="225" t="str">
        <f>'Participation Assumptions'!B102</f>
        <v>DLC-Thermostat-BYOT-MSHP</v>
      </c>
      <c r="B101" s="225" t="s">
        <v>397</v>
      </c>
      <c r="C101" s="225" t="str">
        <f>'Participation Assumptions'!C102</f>
        <v>Small Commercial</v>
      </c>
      <c r="D101" s="225" t="str">
        <f>'Participation Assumptions'!D102</f>
        <v>Miscellaneous</v>
      </c>
      <c r="E101" s="330">
        <f t="shared" ref="E101:E109" si="102">E100</f>
        <v>0.09</v>
      </c>
      <c r="F101" s="330">
        <f t="shared" ref="F101:F109" si="103">F100</f>
        <v>0.09</v>
      </c>
      <c r="G101" s="330">
        <f t="shared" ref="G101:G109" si="104">G100</f>
        <v>0.09</v>
      </c>
      <c r="H101" s="330">
        <f t="shared" ref="H101:H109" si="105">H100</f>
        <v>0.09</v>
      </c>
      <c r="I101" s="330">
        <f t="shared" ref="I101:I109" si="106">I100</f>
        <v>0.09</v>
      </c>
      <c r="J101" s="330">
        <f t="shared" ref="J101:J109" si="107">J100</f>
        <v>0.09</v>
      </c>
      <c r="K101" s="330">
        <f t="shared" ref="K101:K109" si="108">K100</f>
        <v>0.09</v>
      </c>
      <c r="L101" s="330">
        <f t="shared" ref="L101:L109" si="109">L100</f>
        <v>0.09</v>
      </c>
      <c r="M101" s="330">
        <f t="shared" ref="M101:M109" si="110">M100</f>
        <v>0.09</v>
      </c>
      <c r="N101" s="330">
        <f t="shared" ref="N101:N109" si="111">N100</f>
        <v>0.09</v>
      </c>
      <c r="O101" s="330">
        <f t="shared" ref="O101:O109" si="112">O100</f>
        <v>0.09</v>
      </c>
      <c r="P101" s="330">
        <f t="shared" ref="P101:P109" si="113">P100</f>
        <v>0.09</v>
      </c>
      <c r="Q101" s="330">
        <f t="shared" ref="Q101:Q109" si="114">Q100</f>
        <v>0.09</v>
      </c>
      <c r="R101" s="330">
        <f t="shared" ref="R101:R109" si="115">R100</f>
        <v>0.09</v>
      </c>
      <c r="S101" s="330">
        <f t="shared" ref="S101:S109" si="116">S100</f>
        <v>0.09</v>
      </c>
      <c r="T101" s="330">
        <f t="shared" ref="T101:T109" si="117">T100</f>
        <v>0.09</v>
      </c>
      <c r="U101" s="330">
        <f t="shared" ref="U101:U109" si="118">U100</f>
        <v>0.09</v>
      </c>
      <c r="V101" s="430"/>
      <c r="W101" s="200" t="str">
        <f t="shared" si="54"/>
        <v>Small</v>
      </c>
      <c r="X101" s="198" t="str">
        <f t="shared" si="53"/>
        <v>DLC-Thermostat-BYOT-MSHPSmall</v>
      </c>
      <c r="Y101" s="157" t="b">
        <f>ISNUMBER(MATCH(X101,'ProCESS CSE'!W:W,0))</f>
        <v>0</v>
      </c>
      <c r="Z101" s="157"/>
      <c r="AA101" s="157"/>
      <c r="AB101" s="157"/>
      <c r="AC101" s="157"/>
      <c r="AD101" s="157"/>
      <c r="AE101" s="157"/>
      <c r="AF101" s="157"/>
      <c r="AG101" s="157"/>
      <c r="AH101" s="157"/>
      <c r="AI101" s="157"/>
      <c r="AJ101" s="157"/>
      <c r="AK101" s="157"/>
      <c r="AL101" s="157"/>
      <c r="AM101" s="157"/>
      <c r="AN101" s="157"/>
      <c r="AO101" s="157"/>
      <c r="AP101" s="157"/>
    </row>
    <row r="102" spans="1:42" ht="14.4" x14ac:dyDescent="0.25">
      <c r="A102" s="225" t="str">
        <f>'Participation Assumptions'!B103</f>
        <v>DLC-Thermostat-BYOT-MSHP</v>
      </c>
      <c r="B102" s="225" t="s">
        <v>397</v>
      </c>
      <c r="C102" s="225" t="str">
        <f>'Participation Assumptions'!C103</f>
        <v>Small Commercial</v>
      </c>
      <c r="D102" s="225" t="str">
        <f>'Participation Assumptions'!D103</f>
        <v>Offices</v>
      </c>
      <c r="E102" s="330">
        <f t="shared" si="102"/>
        <v>0.09</v>
      </c>
      <c r="F102" s="330">
        <f t="shared" si="103"/>
        <v>0.09</v>
      </c>
      <c r="G102" s="330">
        <f t="shared" si="104"/>
        <v>0.09</v>
      </c>
      <c r="H102" s="330">
        <f t="shared" si="105"/>
        <v>0.09</v>
      </c>
      <c r="I102" s="330">
        <f t="shared" si="106"/>
        <v>0.09</v>
      </c>
      <c r="J102" s="330">
        <f t="shared" si="107"/>
        <v>0.09</v>
      </c>
      <c r="K102" s="330">
        <f t="shared" si="108"/>
        <v>0.09</v>
      </c>
      <c r="L102" s="330">
        <f t="shared" si="109"/>
        <v>0.09</v>
      </c>
      <c r="M102" s="330">
        <f t="shared" si="110"/>
        <v>0.09</v>
      </c>
      <c r="N102" s="330">
        <f t="shared" si="111"/>
        <v>0.09</v>
      </c>
      <c r="O102" s="330">
        <f t="shared" si="112"/>
        <v>0.09</v>
      </c>
      <c r="P102" s="330">
        <f t="shared" si="113"/>
        <v>0.09</v>
      </c>
      <c r="Q102" s="330">
        <f t="shared" si="114"/>
        <v>0.09</v>
      </c>
      <c r="R102" s="330">
        <f t="shared" si="115"/>
        <v>0.09</v>
      </c>
      <c r="S102" s="330">
        <f t="shared" si="116"/>
        <v>0.09</v>
      </c>
      <c r="T102" s="330">
        <f t="shared" si="117"/>
        <v>0.09</v>
      </c>
      <c r="U102" s="330">
        <f t="shared" si="118"/>
        <v>0.09</v>
      </c>
      <c r="V102" s="430"/>
      <c r="W102" s="200" t="str">
        <f t="shared" si="54"/>
        <v>Small</v>
      </c>
      <c r="X102" s="198" t="str">
        <f t="shared" si="53"/>
        <v>DLC-Thermostat-BYOT-MSHPSmall</v>
      </c>
      <c r="Y102" s="157" t="b">
        <f>ISNUMBER(MATCH(X102,'ProCESS CSE'!W:W,0))</f>
        <v>0</v>
      </c>
      <c r="Z102" s="157"/>
      <c r="AA102" s="157"/>
      <c r="AB102" s="157"/>
      <c r="AC102" s="157"/>
      <c r="AD102" s="157"/>
      <c r="AE102" s="157"/>
      <c r="AF102" s="157"/>
      <c r="AG102" s="157"/>
      <c r="AH102" s="157"/>
      <c r="AI102" s="157"/>
      <c r="AJ102" s="157"/>
      <c r="AK102" s="157"/>
      <c r="AL102" s="157"/>
      <c r="AM102" s="157"/>
      <c r="AN102" s="157"/>
      <c r="AO102" s="157"/>
      <c r="AP102" s="157"/>
    </row>
    <row r="103" spans="1:42" ht="14.4" x14ac:dyDescent="0.25">
      <c r="A103" s="225" t="str">
        <f>'Participation Assumptions'!B104</f>
        <v>DLC-Thermostat-BYOT-MSHP</v>
      </c>
      <c r="B103" s="225" t="s">
        <v>397</v>
      </c>
      <c r="C103" s="225" t="str">
        <f>'Participation Assumptions'!C104</f>
        <v>Small Commercial</v>
      </c>
      <c r="D103" s="225" t="str">
        <f>'Participation Assumptions'!D104</f>
        <v>Retail Trade</v>
      </c>
      <c r="E103" s="330">
        <f t="shared" si="102"/>
        <v>0.09</v>
      </c>
      <c r="F103" s="330">
        <f t="shared" si="103"/>
        <v>0.09</v>
      </c>
      <c r="G103" s="330">
        <f t="shared" si="104"/>
        <v>0.09</v>
      </c>
      <c r="H103" s="330">
        <f t="shared" si="105"/>
        <v>0.09</v>
      </c>
      <c r="I103" s="330">
        <f t="shared" si="106"/>
        <v>0.09</v>
      </c>
      <c r="J103" s="330">
        <f t="shared" si="107"/>
        <v>0.09</v>
      </c>
      <c r="K103" s="330">
        <f t="shared" si="108"/>
        <v>0.09</v>
      </c>
      <c r="L103" s="330">
        <f t="shared" si="109"/>
        <v>0.09</v>
      </c>
      <c r="M103" s="330">
        <f t="shared" si="110"/>
        <v>0.09</v>
      </c>
      <c r="N103" s="330">
        <f t="shared" si="111"/>
        <v>0.09</v>
      </c>
      <c r="O103" s="330">
        <f t="shared" si="112"/>
        <v>0.09</v>
      </c>
      <c r="P103" s="330">
        <f t="shared" si="113"/>
        <v>0.09</v>
      </c>
      <c r="Q103" s="330">
        <f t="shared" si="114"/>
        <v>0.09</v>
      </c>
      <c r="R103" s="330">
        <f t="shared" si="115"/>
        <v>0.09</v>
      </c>
      <c r="S103" s="330">
        <f t="shared" si="116"/>
        <v>0.09</v>
      </c>
      <c r="T103" s="330">
        <f t="shared" si="117"/>
        <v>0.09</v>
      </c>
      <c r="U103" s="330">
        <f t="shared" si="118"/>
        <v>0.09</v>
      </c>
      <c r="V103" s="430"/>
      <c r="W103" s="200" t="str">
        <f t="shared" si="54"/>
        <v>Small</v>
      </c>
      <c r="X103" s="198" t="str">
        <f t="shared" si="53"/>
        <v>DLC-Thermostat-BYOT-MSHPSmall</v>
      </c>
      <c r="Y103" s="157" t="b">
        <f>ISNUMBER(MATCH(X103,'ProCESS CSE'!W:W,0))</f>
        <v>0</v>
      </c>
      <c r="Z103" s="157"/>
      <c r="AA103" s="157"/>
      <c r="AB103" s="157"/>
      <c r="AC103" s="157"/>
      <c r="AD103" s="157"/>
      <c r="AE103" s="157"/>
      <c r="AF103" s="157"/>
      <c r="AG103" s="157"/>
      <c r="AH103" s="157"/>
      <c r="AI103" s="157"/>
      <c r="AJ103" s="157"/>
      <c r="AK103" s="157"/>
      <c r="AL103" s="157"/>
      <c r="AM103" s="157"/>
      <c r="AN103" s="157"/>
      <c r="AO103" s="157"/>
      <c r="AP103" s="157"/>
    </row>
    <row r="104" spans="1:42" ht="14.4" x14ac:dyDescent="0.25">
      <c r="A104" s="225" t="str">
        <f>'Participation Assumptions'!B105</f>
        <v>DLC-Thermostat-BYOT-MSHP</v>
      </c>
      <c r="B104" s="225" t="s">
        <v>397</v>
      </c>
      <c r="C104" s="225" t="str">
        <f>'Participation Assumptions'!C105</f>
        <v>Small Commercial</v>
      </c>
      <c r="D104" s="225" t="str">
        <f>'Participation Assumptions'!D105</f>
        <v>Services</v>
      </c>
      <c r="E104" s="330">
        <f t="shared" si="102"/>
        <v>0.09</v>
      </c>
      <c r="F104" s="330">
        <f t="shared" si="103"/>
        <v>0.09</v>
      </c>
      <c r="G104" s="330">
        <f t="shared" si="104"/>
        <v>0.09</v>
      </c>
      <c r="H104" s="330">
        <f t="shared" si="105"/>
        <v>0.09</v>
      </c>
      <c r="I104" s="330">
        <f t="shared" si="106"/>
        <v>0.09</v>
      </c>
      <c r="J104" s="330">
        <f t="shared" si="107"/>
        <v>0.09</v>
      </c>
      <c r="K104" s="330">
        <f t="shared" si="108"/>
        <v>0.09</v>
      </c>
      <c r="L104" s="330">
        <f t="shared" si="109"/>
        <v>0.09</v>
      </c>
      <c r="M104" s="330">
        <f t="shared" si="110"/>
        <v>0.09</v>
      </c>
      <c r="N104" s="330">
        <f t="shared" si="111"/>
        <v>0.09</v>
      </c>
      <c r="O104" s="330">
        <f t="shared" si="112"/>
        <v>0.09</v>
      </c>
      <c r="P104" s="330">
        <f t="shared" si="113"/>
        <v>0.09</v>
      </c>
      <c r="Q104" s="330">
        <f t="shared" si="114"/>
        <v>0.09</v>
      </c>
      <c r="R104" s="330">
        <f t="shared" si="115"/>
        <v>0.09</v>
      </c>
      <c r="S104" s="330">
        <f t="shared" si="116"/>
        <v>0.09</v>
      </c>
      <c r="T104" s="330">
        <f t="shared" si="117"/>
        <v>0.09</v>
      </c>
      <c r="U104" s="330">
        <f t="shared" si="118"/>
        <v>0.09</v>
      </c>
      <c r="V104" s="430"/>
      <c r="W104" s="200" t="str">
        <f t="shared" si="54"/>
        <v>Small</v>
      </c>
      <c r="X104" s="198" t="str">
        <f t="shared" si="53"/>
        <v>DLC-Thermostat-BYOT-MSHPSmall</v>
      </c>
      <c r="Y104" s="157" t="b">
        <f>ISNUMBER(MATCH(X104,'ProCESS CSE'!W:W,0))</f>
        <v>0</v>
      </c>
      <c r="Z104" s="157"/>
      <c r="AA104" s="157"/>
      <c r="AB104" s="157"/>
      <c r="AC104" s="157"/>
      <c r="AD104" s="157"/>
      <c r="AE104" s="157"/>
      <c r="AF104" s="157"/>
      <c r="AG104" s="157"/>
      <c r="AH104" s="157"/>
      <c r="AI104" s="157"/>
      <c r="AJ104" s="157"/>
      <c r="AK104" s="157"/>
      <c r="AL104" s="157"/>
      <c r="AM104" s="157"/>
      <c r="AN104" s="157"/>
      <c r="AO104" s="157"/>
      <c r="AP104" s="157"/>
    </row>
    <row r="105" spans="1:42" ht="14.4" x14ac:dyDescent="0.25">
      <c r="A105" s="225" t="str">
        <f>'Participation Assumptions'!B106</f>
        <v>DLC-Thermostat-BYOT-MSHP</v>
      </c>
      <c r="B105" s="225" t="s">
        <v>397</v>
      </c>
      <c r="C105" s="225" t="str">
        <f>'Participation Assumptions'!C106</f>
        <v>Small Industrial</v>
      </c>
      <c r="D105" s="225" t="str">
        <f>'Participation Assumptions'!D106</f>
        <v>Services</v>
      </c>
      <c r="E105" s="330">
        <f t="shared" si="102"/>
        <v>0.09</v>
      </c>
      <c r="F105" s="330">
        <f t="shared" si="103"/>
        <v>0.09</v>
      </c>
      <c r="G105" s="330">
        <f t="shared" si="104"/>
        <v>0.09</v>
      </c>
      <c r="H105" s="330">
        <f t="shared" si="105"/>
        <v>0.09</v>
      </c>
      <c r="I105" s="330">
        <f t="shared" si="106"/>
        <v>0.09</v>
      </c>
      <c r="J105" s="330">
        <f t="shared" si="107"/>
        <v>0.09</v>
      </c>
      <c r="K105" s="330">
        <f t="shared" si="108"/>
        <v>0.09</v>
      </c>
      <c r="L105" s="330">
        <f t="shared" si="109"/>
        <v>0.09</v>
      </c>
      <c r="M105" s="330">
        <f t="shared" si="110"/>
        <v>0.09</v>
      </c>
      <c r="N105" s="330">
        <f t="shared" si="111"/>
        <v>0.09</v>
      </c>
      <c r="O105" s="330">
        <f t="shared" si="112"/>
        <v>0.09</v>
      </c>
      <c r="P105" s="330">
        <f t="shared" si="113"/>
        <v>0.09</v>
      </c>
      <c r="Q105" s="330">
        <f t="shared" si="114"/>
        <v>0.09</v>
      </c>
      <c r="R105" s="330">
        <f t="shared" si="115"/>
        <v>0.09</v>
      </c>
      <c r="S105" s="330">
        <f t="shared" si="116"/>
        <v>0.09</v>
      </c>
      <c r="T105" s="330">
        <f t="shared" si="117"/>
        <v>0.09</v>
      </c>
      <c r="U105" s="330">
        <f t="shared" si="118"/>
        <v>0.09</v>
      </c>
      <c r="V105" s="430"/>
      <c r="W105" s="200" t="str">
        <f t="shared" si="54"/>
        <v>Small</v>
      </c>
      <c r="X105" s="198" t="str">
        <f t="shared" si="53"/>
        <v>DLC-Thermostat-BYOT-MSHPSmall</v>
      </c>
      <c r="Y105" s="157" t="b">
        <f>ISNUMBER(MATCH(X105,'ProCESS CSE'!W:W,0))</f>
        <v>0</v>
      </c>
      <c r="Z105" s="157"/>
      <c r="AA105" s="157"/>
      <c r="AB105" s="157"/>
      <c r="AC105" s="157"/>
      <c r="AD105" s="157"/>
      <c r="AE105" s="157"/>
      <c r="AF105" s="157"/>
      <c r="AG105" s="157"/>
      <c r="AH105" s="157"/>
      <c r="AI105" s="157"/>
      <c r="AJ105" s="157"/>
      <c r="AK105" s="157"/>
      <c r="AL105" s="157"/>
      <c r="AM105" s="157"/>
      <c r="AN105" s="157"/>
      <c r="AO105" s="157"/>
      <c r="AP105" s="157"/>
    </row>
    <row r="106" spans="1:42" ht="14.4" x14ac:dyDescent="0.25">
      <c r="A106" s="225" t="str">
        <f>'Participation Assumptions'!B107</f>
        <v>DLC-Thermostat-BYOT-MSHP</v>
      </c>
      <c r="B106" s="225" t="s">
        <v>397</v>
      </c>
      <c r="C106" s="225" t="str">
        <f>'Participation Assumptions'!C107</f>
        <v>Small Industrial</v>
      </c>
      <c r="D106" s="225" t="str">
        <f>'Participation Assumptions'!D107</f>
        <v>Manufacturing</v>
      </c>
      <c r="E106" s="330">
        <f t="shared" si="102"/>
        <v>0.09</v>
      </c>
      <c r="F106" s="330">
        <f t="shared" si="103"/>
        <v>0.09</v>
      </c>
      <c r="G106" s="330">
        <f t="shared" si="104"/>
        <v>0.09</v>
      </c>
      <c r="H106" s="330">
        <f t="shared" si="105"/>
        <v>0.09</v>
      </c>
      <c r="I106" s="330">
        <f t="shared" si="106"/>
        <v>0.09</v>
      </c>
      <c r="J106" s="330">
        <f t="shared" si="107"/>
        <v>0.09</v>
      </c>
      <c r="K106" s="330">
        <f t="shared" si="108"/>
        <v>0.09</v>
      </c>
      <c r="L106" s="330">
        <f t="shared" si="109"/>
        <v>0.09</v>
      </c>
      <c r="M106" s="330">
        <f t="shared" si="110"/>
        <v>0.09</v>
      </c>
      <c r="N106" s="330">
        <f t="shared" si="111"/>
        <v>0.09</v>
      </c>
      <c r="O106" s="330">
        <f t="shared" si="112"/>
        <v>0.09</v>
      </c>
      <c r="P106" s="330">
        <f t="shared" si="113"/>
        <v>0.09</v>
      </c>
      <c r="Q106" s="330">
        <f t="shared" si="114"/>
        <v>0.09</v>
      </c>
      <c r="R106" s="330">
        <f t="shared" si="115"/>
        <v>0.09</v>
      </c>
      <c r="S106" s="330">
        <f t="shared" si="116"/>
        <v>0.09</v>
      </c>
      <c r="T106" s="330">
        <f t="shared" si="117"/>
        <v>0.09</v>
      </c>
      <c r="U106" s="330">
        <f t="shared" si="118"/>
        <v>0.09</v>
      </c>
      <c r="V106" s="430"/>
      <c r="W106" s="200" t="str">
        <f t="shared" si="54"/>
        <v>Small</v>
      </c>
      <c r="X106" s="198" t="str">
        <f t="shared" si="53"/>
        <v>DLC-Thermostat-BYOT-MSHPSmall</v>
      </c>
      <c r="Y106" s="157" t="b">
        <f>ISNUMBER(MATCH(X106,'ProCESS CSE'!W:W,0))</f>
        <v>0</v>
      </c>
      <c r="Z106" s="157"/>
      <c r="AA106" s="157"/>
      <c r="AB106" s="157"/>
      <c r="AC106" s="157"/>
      <c r="AD106" s="157"/>
      <c r="AE106" s="157"/>
      <c r="AF106" s="157"/>
      <c r="AG106" s="157"/>
      <c r="AH106" s="157"/>
      <c r="AI106" s="157"/>
      <c r="AJ106" s="157"/>
      <c r="AK106" s="157"/>
      <c r="AL106" s="157"/>
      <c r="AM106" s="157"/>
      <c r="AN106" s="157"/>
      <c r="AO106" s="157"/>
      <c r="AP106" s="157"/>
    </row>
    <row r="107" spans="1:42" ht="14.4" x14ac:dyDescent="0.25">
      <c r="A107" s="225" t="str">
        <f>'Participation Assumptions'!B108</f>
        <v>DLC-Thermostat-BYOT-MSHP</v>
      </c>
      <c r="B107" s="225" t="s">
        <v>397</v>
      </c>
      <c r="C107" s="225" t="str">
        <f>'Participation Assumptions'!C108</f>
        <v>Small Industrial</v>
      </c>
      <c r="D107" s="225" t="str">
        <f>'Participation Assumptions'!D108</f>
        <v>Miscellaneous</v>
      </c>
      <c r="E107" s="330">
        <f t="shared" si="102"/>
        <v>0.09</v>
      </c>
      <c r="F107" s="330">
        <f t="shared" si="103"/>
        <v>0.09</v>
      </c>
      <c r="G107" s="330">
        <f t="shared" si="104"/>
        <v>0.09</v>
      </c>
      <c r="H107" s="330">
        <f t="shared" si="105"/>
        <v>0.09</v>
      </c>
      <c r="I107" s="330">
        <f t="shared" si="106"/>
        <v>0.09</v>
      </c>
      <c r="J107" s="330">
        <f t="shared" si="107"/>
        <v>0.09</v>
      </c>
      <c r="K107" s="330">
        <f t="shared" si="108"/>
        <v>0.09</v>
      </c>
      <c r="L107" s="330">
        <f t="shared" si="109"/>
        <v>0.09</v>
      </c>
      <c r="M107" s="330">
        <f t="shared" si="110"/>
        <v>0.09</v>
      </c>
      <c r="N107" s="330">
        <f t="shared" si="111"/>
        <v>0.09</v>
      </c>
      <c r="O107" s="330">
        <f t="shared" si="112"/>
        <v>0.09</v>
      </c>
      <c r="P107" s="330">
        <f t="shared" si="113"/>
        <v>0.09</v>
      </c>
      <c r="Q107" s="330">
        <f t="shared" si="114"/>
        <v>0.09</v>
      </c>
      <c r="R107" s="330">
        <f t="shared" si="115"/>
        <v>0.09</v>
      </c>
      <c r="S107" s="330">
        <f t="shared" si="116"/>
        <v>0.09</v>
      </c>
      <c r="T107" s="330">
        <f t="shared" si="117"/>
        <v>0.09</v>
      </c>
      <c r="U107" s="330">
        <f t="shared" si="118"/>
        <v>0.09</v>
      </c>
      <c r="V107" s="430"/>
      <c r="W107" s="200" t="str">
        <f t="shared" si="54"/>
        <v>Small</v>
      </c>
      <c r="X107" s="198" t="str">
        <f t="shared" si="53"/>
        <v>DLC-Thermostat-BYOT-MSHPSmall</v>
      </c>
      <c r="Y107" s="157" t="b">
        <f>ISNUMBER(MATCH(X107,'ProCESS CSE'!W:W,0))</f>
        <v>0</v>
      </c>
      <c r="Z107" s="157"/>
      <c r="AA107" s="157"/>
      <c r="AB107" s="157"/>
      <c r="AC107" s="157"/>
      <c r="AD107" s="157"/>
      <c r="AE107" s="157"/>
      <c r="AF107" s="157"/>
      <c r="AG107" s="157"/>
      <c r="AH107" s="157"/>
      <c r="AI107" s="157"/>
      <c r="AJ107" s="157"/>
      <c r="AK107" s="157"/>
      <c r="AL107" s="157"/>
      <c r="AM107" s="157"/>
      <c r="AN107" s="157"/>
      <c r="AO107" s="157"/>
      <c r="AP107" s="157"/>
    </row>
    <row r="108" spans="1:42" ht="14.4" x14ac:dyDescent="0.25">
      <c r="A108" s="225" t="str">
        <f>'Participation Assumptions'!B109</f>
        <v>DLC-Thermostat-BYOT-MSHP</v>
      </c>
      <c r="B108" s="225" t="s">
        <v>397</v>
      </c>
      <c r="C108" s="225" t="str">
        <f>'Participation Assumptions'!C109</f>
        <v>Small Industrial</v>
      </c>
      <c r="D108" s="225" t="str">
        <f>'Participation Assumptions'!D109</f>
        <v>Offices</v>
      </c>
      <c r="E108" s="330">
        <f t="shared" si="102"/>
        <v>0.09</v>
      </c>
      <c r="F108" s="330">
        <f t="shared" si="103"/>
        <v>0.09</v>
      </c>
      <c r="G108" s="330">
        <f t="shared" si="104"/>
        <v>0.09</v>
      </c>
      <c r="H108" s="330">
        <f t="shared" si="105"/>
        <v>0.09</v>
      </c>
      <c r="I108" s="330">
        <f t="shared" si="106"/>
        <v>0.09</v>
      </c>
      <c r="J108" s="330">
        <f t="shared" si="107"/>
        <v>0.09</v>
      </c>
      <c r="K108" s="330">
        <f t="shared" si="108"/>
        <v>0.09</v>
      </c>
      <c r="L108" s="330">
        <f t="shared" si="109"/>
        <v>0.09</v>
      </c>
      <c r="M108" s="330">
        <f t="shared" si="110"/>
        <v>0.09</v>
      </c>
      <c r="N108" s="330">
        <f t="shared" si="111"/>
        <v>0.09</v>
      </c>
      <c r="O108" s="330">
        <f t="shared" si="112"/>
        <v>0.09</v>
      </c>
      <c r="P108" s="330">
        <f t="shared" si="113"/>
        <v>0.09</v>
      </c>
      <c r="Q108" s="330">
        <f t="shared" si="114"/>
        <v>0.09</v>
      </c>
      <c r="R108" s="330">
        <f t="shared" si="115"/>
        <v>0.09</v>
      </c>
      <c r="S108" s="330">
        <f t="shared" si="116"/>
        <v>0.09</v>
      </c>
      <c r="T108" s="330">
        <f t="shared" si="117"/>
        <v>0.09</v>
      </c>
      <c r="U108" s="330">
        <f t="shared" si="118"/>
        <v>0.09</v>
      </c>
      <c r="V108" s="430"/>
      <c r="W108" s="200" t="str">
        <f t="shared" si="54"/>
        <v>Small</v>
      </c>
      <c r="X108" s="198" t="str">
        <f t="shared" si="53"/>
        <v>DLC-Thermostat-BYOT-MSHPSmall</v>
      </c>
      <c r="Y108" s="157" t="b">
        <f>ISNUMBER(MATCH(X108,'ProCESS CSE'!W:W,0))</f>
        <v>0</v>
      </c>
      <c r="Z108" s="157"/>
      <c r="AA108" s="157"/>
      <c r="AB108" s="157"/>
      <c r="AC108" s="157"/>
      <c r="AD108" s="157"/>
      <c r="AE108" s="157"/>
      <c r="AF108" s="157"/>
      <c r="AG108" s="157"/>
      <c r="AH108" s="157"/>
      <c r="AI108" s="157"/>
      <c r="AJ108" s="157"/>
      <c r="AK108" s="157"/>
      <c r="AL108" s="157"/>
      <c r="AM108" s="157"/>
      <c r="AN108" s="157"/>
      <c r="AO108" s="157"/>
      <c r="AP108" s="157"/>
    </row>
    <row r="109" spans="1:42" ht="14.4" x14ac:dyDescent="0.25">
      <c r="A109" s="225" t="str">
        <f>'Participation Assumptions'!B110</f>
        <v>DLC-Thermostat-BYOT-MSHP</v>
      </c>
      <c r="B109" s="225" t="s">
        <v>397</v>
      </c>
      <c r="C109" s="225" t="str">
        <f>'Participation Assumptions'!C110</f>
        <v>Small Industrial</v>
      </c>
      <c r="D109" s="225" t="str">
        <f>'Participation Assumptions'!D110</f>
        <v>Retail Trade</v>
      </c>
      <c r="E109" s="330">
        <f t="shared" si="102"/>
        <v>0.09</v>
      </c>
      <c r="F109" s="330">
        <f t="shared" si="103"/>
        <v>0.09</v>
      </c>
      <c r="G109" s="330">
        <f t="shared" si="104"/>
        <v>0.09</v>
      </c>
      <c r="H109" s="330">
        <f t="shared" si="105"/>
        <v>0.09</v>
      </c>
      <c r="I109" s="330">
        <f t="shared" si="106"/>
        <v>0.09</v>
      </c>
      <c r="J109" s="330">
        <f t="shared" si="107"/>
        <v>0.09</v>
      </c>
      <c r="K109" s="330">
        <f t="shared" si="108"/>
        <v>0.09</v>
      </c>
      <c r="L109" s="330">
        <f t="shared" si="109"/>
        <v>0.09</v>
      </c>
      <c r="M109" s="330">
        <f t="shared" si="110"/>
        <v>0.09</v>
      </c>
      <c r="N109" s="330">
        <f t="shared" si="111"/>
        <v>0.09</v>
      </c>
      <c r="O109" s="330">
        <f t="shared" si="112"/>
        <v>0.09</v>
      </c>
      <c r="P109" s="330">
        <f t="shared" si="113"/>
        <v>0.09</v>
      </c>
      <c r="Q109" s="330">
        <f t="shared" si="114"/>
        <v>0.09</v>
      </c>
      <c r="R109" s="330">
        <f t="shared" si="115"/>
        <v>0.09</v>
      </c>
      <c r="S109" s="330">
        <f t="shared" si="116"/>
        <v>0.09</v>
      </c>
      <c r="T109" s="330">
        <f t="shared" si="117"/>
        <v>0.09</v>
      </c>
      <c r="U109" s="330">
        <f t="shared" si="118"/>
        <v>0.09</v>
      </c>
      <c r="V109" s="430"/>
      <c r="W109" s="200" t="str">
        <f t="shared" si="54"/>
        <v>Small</v>
      </c>
      <c r="X109" s="198" t="str">
        <f t="shared" si="53"/>
        <v>DLC-Thermostat-BYOT-MSHPSmall</v>
      </c>
      <c r="Y109" s="157" t="b">
        <f>ISNUMBER(MATCH(X109,'ProCESS CSE'!W:W,0))</f>
        <v>0</v>
      </c>
      <c r="Z109" s="157"/>
      <c r="AA109" s="157"/>
      <c r="AB109" s="157"/>
      <c r="AC109" s="157"/>
      <c r="AD109" s="157"/>
      <c r="AE109" s="157"/>
      <c r="AF109" s="157"/>
      <c r="AG109" s="157"/>
      <c r="AH109" s="157"/>
      <c r="AI109" s="157"/>
      <c r="AJ109" s="157"/>
      <c r="AK109" s="157"/>
      <c r="AL109" s="157"/>
      <c r="AM109" s="157"/>
      <c r="AN109" s="157"/>
      <c r="AO109" s="157"/>
      <c r="AP109" s="157"/>
    </row>
    <row r="110" spans="1:42" ht="14.4" x14ac:dyDescent="0.25">
      <c r="A110" s="225" t="str">
        <f>'Participation Assumptions'!B111</f>
        <v>BTM Battery Control</v>
      </c>
      <c r="B110" s="225" t="s">
        <v>397</v>
      </c>
      <c r="C110" s="225" t="str">
        <f>'Participation Assumptions'!C111</f>
        <v>Interruptible Rider</v>
      </c>
      <c r="D110" s="225" t="str">
        <f>'Participation Assumptions'!D111</f>
        <v>Manufacturing</v>
      </c>
      <c r="E110" s="330">
        <v>1</v>
      </c>
      <c r="F110" s="330">
        <v>1</v>
      </c>
      <c r="G110" s="330">
        <v>1</v>
      </c>
      <c r="H110" s="330">
        <v>1</v>
      </c>
      <c r="I110" s="330">
        <v>1</v>
      </c>
      <c r="J110" s="330">
        <v>1</v>
      </c>
      <c r="K110" s="330">
        <v>1</v>
      </c>
      <c r="L110" s="330">
        <v>1</v>
      </c>
      <c r="M110" s="330">
        <v>1</v>
      </c>
      <c r="N110" s="330">
        <v>1</v>
      </c>
      <c r="O110" s="330">
        <v>1</v>
      </c>
      <c r="P110" s="330">
        <v>1</v>
      </c>
      <c r="Q110" s="330">
        <v>1</v>
      </c>
      <c r="R110" s="330">
        <v>1</v>
      </c>
      <c r="S110" s="330">
        <v>1</v>
      </c>
      <c r="T110" s="330">
        <v>1</v>
      </c>
      <c r="U110" s="330">
        <v>1</v>
      </c>
      <c r="V110" s="327"/>
      <c r="W110" s="200" t="str">
        <f t="shared" si="54"/>
        <v>Large</v>
      </c>
      <c r="X110" s="198" t="str">
        <f t="shared" si="53"/>
        <v>BTM Battery ControlLarge</v>
      </c>
      <c r="Y110" s="157" t="b">
        <f>ISNUMBER(MATCH(X110,'ProCESS CSE'!W:W,0))</f>
        <v>0</v>
      </c>
      <c r="Z110" s="157"/>
      <c r="AA110" s="157"/>
      <c r="AB110" s="157"/>
      <c r="AC110" s="157"/>
      <c r="AD110" s="157"/>
      <c r="AE110" s="157"/>
      <c r="AF110" s="157"/>
      <c r="AG110" s="157"/>
      <c r="AH110" s="157"/>
      <c r="AI110" s="157"/>
      <c r="AJ110" s="157"/>
      <c r="AK110" s="157"/>
      <c r="AL110" s="157"/>
      <c r="AM110" s="157"/>
      <c r="AN110" s="157"/>
      <c r="AO110" s="157"/>
      <c r="AP110" s="157"/>
    </row>
    <row r="111" spans="1:42" ht="14.4" x14ac:dyDescent="0.25">
      <c r="A111" s="225" t="str">
        <f>'Participation Assumptions'!B112</f>
        <v>BTM Battery Control</v>
      </c>
      <c r="B111" s="225" t="s">
        <v>397</v>
      </c>
      <c r="C111" s="225" t="str">
        <f>'Participation Assumptions'!C112</f>
        <v>Interruptible Rider</v>
      </c>
      <c r="D111" s="225" t="str">
        <f>'Participation Assumptions'!D112</f>
        <v>Miscellaneous</v>
      </c>
      <c r="E111" s="330">
        <v>1</v>
      </c>
      <c r="F111" s="330">
        <v>1</v>
      </c>
      <c r="G111" s="330">
        <v>1</v>
      </c>
      <c r="H111" s="330">
        <v>1</v>
      </c>
      <c r="I111" s="330">
        <v>1</v>
      </c>
      <c r="J111" s="330">
        <v>1</v>
      </c>
      <c r="K111" s="330">
        <v>1</v>
      </c>
      <c r="L111" s="330">
        <v>1</v>
      </c>
      <c r="M111" s="330">
        <v>1</v>
      </c>
      <c r="N111" s="330">
        <v>1</v>
      </c>
      <c r="O111" s="330">
        <v>1</v>
      </c>
      <c r="P111" s="330">
        <v>1</v>
      </c>
      <c r="Q111" s="330">
        <v>1</v>
      </c>
      <c r="R111" s="330">
        <v>1</v>
      </c>
      <c r="S111" s="330">
        <v>1</v>
      </c>
      <c r="T111" s="330">
        <v>1</v>
      </c>
      <c r="U111" s="330">
        <v>1</v>
      </c>
      <c r="V111" s="327"/>
      <c r="W111" s="200" t="str">
        <f t="shared" si="54"/>
        <v>Large</v>
      </c>
      <c r="X111" s="198" t="str">
        <f t="shared" si="53"/>
        <v>BTM Battery ControlLarge</v>
      </c>
      <c r="Y111" s="157" t="b">
        <f>ISNUMBER(MATCH(X111,'ProCESS CSE'!W:W,0))</f>
        <v>0</v>
      </c>
      <c r="Z111" s="157"/>
      <c r="AA111" s="157"/>
      <c r="AB111" s="157"/>
      <c r="AC111" s="157"/>
      <c r="AD111" s="157"/>
      <c r="AE111" s="157"/>
      <c r="AF111" s="157"/>
      <c r="AG111" s="157"/>
      <c r="AH111" s="157"/>
      <c r="AI111" s="157"/>
      <c r="AJ111" s="157"/>
      <c r="AK111" s="157"/>
      <c r="AL111" s="157"/>
      <c r="AM111" s="157"/>
      <c r="AN111" s="157"/>
      <c r="AO111" s="157"/>
      <c r="AP111" s="157"/>
    </row>
    <row r="112" spans="1:42" ht="14.4" x14ac:dyDescent="0.25">
      <c r="A112" s="225" t="str">
        <f>'Participation Assumptions'!B113</f>
        <v>BTM Battery Control</v>
      </c>
      <c r="B112" s="225" t="s">
        <v>397</v>
      </c>
      <c r="C112" s="225" t="str">
        <f>'Participation Assumptions'!C113</f>
        <v>Interruptible Rider</v>
      </c>
      <c r="D112" s="225" t="str">
        <f>'Participation Assumptions'!D113</f>
        <v>Retail Trade</v>
      </c>
      <c r="E112" s="330">
        <v>1</v>
      </c>
      <c r="F112" s="330">
        <v>1</v>
      </c>
      <c r="G112" s="330">
        <v>1</v>
      </c>
      <c r="H112" s="330">
        <v>1</v>
      </c>
      <c r="I112" s="330">
        <v>1</v>
      </c>
      <c r="J112" s="330">
        <v>1</v>
      </c>
      <c r="K112" s="330">
        <v>1</v>
      </c>
      <c r="L112" s="330">
        <v>1</v>
      </c>
      <c r="M112" s="330">
        <v>1</v>
      </c>
      <c r="N112" s="330">
        <v>1</v>
      </c>
      <c r="O112" s="330">
        <v>1</v>
      </c>
      <c r="P112" s="330">
        <v>1</v>
      </c>
      <c r="Q112" s="330">
        <v>1</v>
      </c>
      <c r="R112" s="330">
        <v>1</v>
      </c>
      <c r="S112" s="330">
        <v>1</v>
      </c>
      <c r="T112" s="330">
        <v>1</v>
      </c>
      <c r="U112" s="330">
        <v>1</v>
      </c>
      <c r="V112" s="327"/>
      <c r="W112" s="200" t="str">
        <f t="shared" si="54"/>
        <v>Large</v>
      </c>
      <c r="X112" s="198" t="str">
        <f t="shared" si="53"/>
        <v>BTM Battery ControlLarge</v>
      </c>
      <c r="Y112" s="157" t="b">
        <f>ISNUMBER(MATCH(X112,'ProCESS CSE'!W:W,0))</f>
        <v>0</v>
      </c>
      <c r="Z112" s="157"/>
      <c r="AA112" s="157"/>
      <c r="AB112" s="157"/>
      <c r="AC112" s="157"/>
      <c r="AD112" s="157"/>
      <c r="AE112" s="157"/>
      <c r="AF112" s="157"/>
      <c r="AG112" s="157"/>
      <c r="AH112" s="157"/>
      <c r="AI112" s="157"/>
      <c r="AJ112" s="157"/>
      <c r="AK112" s="157"/>
      <c r="AL112" s="157"/>
      <c r="AM112" s="157"/>
      <c r="AN112" s="157"/>
      <c r="AO112" s="157"/>
      <c r="AP112" s="157"/>
    </row>
    <row r="113" spans="1:42" ht="14.4" x14ac:dyDescent="0.25">
      <c r="A113" s="225" t="str">
        <f>'Participation Assumptions'!B114</f>
        <v>BTM Battery Control</v>
      </c>
      <c r="B113" s="225" t="s">
        <v>397</v>
      </c>
      <c r="C113" s="225" t="str">
        <f>'Participation Assumptions'!C114</f>
        <v>Large Commercial</v>
      </c>
      <c r="D113" s="225" t="str">
        <f>'Participation Assumptions'!D114</f>
        <v>Offices</v>
      </c>
      <c r="E113" s="330">
        <v>1</v>
      </c>
      <c r="F113" s="330">
        <v>1</v>
      </c>
      <c r="G113" s="330">
        <v>1</v>
      </c>
      <c r="H113" s="330">
        <v>1</v>
      </c>
      <c r="I113" s="330">
        <v>1</v>
      </c>
      <c r="J113" s="330">
        <v>1</v>
      </c>
      <c r="K113" s="330">
        <v>1</v>
      </c>
      <c r="L113" s="330">
        <v>1</v>
      </c>
      <c r="M113" s="330">
        <v>1</v>
      </c>
      <c r="N113" s="330">
        <v>1</v>
      </c>
      <c r="O113" s="330">
        <v>1</v>
      </c>
      <c r="P113" s="330">
        <v>1</v>
      </c>
      <c r="Q113" s="330">
        <v>1</v>
      </c>
      <c r="R113" s="330">
        <v>1</v>
      </c>
      <c r="S113" s="330">
        <v>1</v>
      </c>
      <c r="T113" s="330">
        <v>1</v>
      </c>
      <c r="U113" s="330">
        <v>1</v>
      </c>
      <c r="V113" s="327"/>
      <c r="W113" s="200" t="str">
        <f t="shared" si="54"/>
        <v>Large</v>
      </c>
      <c r="X113" s="198" t="str">
        <f t="shared" si="53"/>
        <v>BTM Battery ControlLarge</v>
      </c>
      <c r="Y113" s="157" t="b">
        <f>ISNUMBER(MATCH(X113,'ProCESS CSE'!W:W,0))</f>
        <v>0</v>
      </c>
      <c r="Z113" s="157"/>
      <c r="AA113" s="157"/>
      <c r="AB113" s="157"/>
      <c r="AC113" s="157"/>
      <c r="AD113" s="157"/>
      <c r="AE113" s="157"/>
      <c r="AF113" s="157"/>
      <c r="AG113" s="157"/>
      <c r="AH113" s="157"/>
      <c r="AI113" s="157"/>
      <c r="AJ113" s="157"/>
      <c r="AK113" s="157"/>
      <c r="AL113" s="157"/>
      <c r="AM113" s="157"/>
      <c r="AN113" s="157"/>
      <c r="AO113" s="157"/>
      <c r="AP113" s="157"/>
    </row>
    <row r="114" spans="1:42" ht="14.4" x14ac:dyDescent="0.25">
      <c r="A114" s="225" t="str">
        <f>'Participation Assumptions'!B115</f>
        <v>BTM Battery Control</v>
      </c>
      <c r="B114" s="225" t="s">
        <v>397</v>
      </c>
      <c r="C114" s="225" t="str">
        <f>'Participation Assumptions'!C115</f>
        <v>Large Commercial</v>
      </c>
      <c r="D114" s="225" t="str">
        <f>'Participation Assumptions'!D115</f>
        <v>Services</v>
      </c>
      <c r="E114" s="330">
        <v>1</v>
      </c>
      <c r="F114" s="330">
        <v>1</v>
      </c>
      <c r="G114" s="330">
        <v>1</v>
      </c>
      <c r="H114" s="330">
        <v>1</v>
      </c>
      <c r="I114" s="330">
        <v>1</v>
      </c>
      <c r="J114" s="330">
        <v>1</v>
      </c>
      <c r="K114" s="330">
        <v>1</v>
      </c>
      <c r="L114" s="330">
        <v>1</v>
      </c>
      <c r="M114" s="330">
        <v>1</v>
      </c>
      <c r="N114" s="330">
        <v>1</v>
      </c>
      <c r="O114" s="330">
        <v>1</v>
      </c>
      <c r="P114" s="330">
        <v>1</v>
      </c>
      <c r="Q114" s="330">
        <v>1</v>
      </c>
      <c r="R114" s="330">
        <v>1</v>
      </c>
      <c r="S114" s="330">
        <v>1</v>
      </c>
      <c r="T114" s="330">
        <v>1</v>
      </c>
      <c r="U114" s="330">
        <v>1</v>
      </c>
      <c r="V114" s="327"/>
      <c r="W114" s="200" t="str">
        <f t="shared" si="54"/>
        <v>Large</v>
      </c>
      <c r="X114" s="198" t="str">
        <f t="shared" si="53"/>
        <v>BTM Battery ControlLarge</v>
      </c>
      <c r="Y114" s="157" t="b">
        <f>ISNUMBER(MATCH(X114,'ProCESS CSE'!W:W,0))</f>
        <v>0</v>
      </c>
      <c r="Z114" s="157"/>
      <c r="AA114" s="157"/>
      <c r="AB114" s="157"/>
      <c r="AC114" s="157"/>
      <c r="AD114" s="157"/>
      <c r="AE114" s="157"/>
      <c r="AF114" s="157"/>
      <c r="AG114" s="157"/>
      <c r="AH114" s="157"/>
      <c r="AI114" s="157"/>
      <c r="AJ114" s="157"/>
      <c r="AK114" s="157"/>
      <c r="AL114" s="157"/>
      <c r="AM114" s="157"/>
      <c r="AN114" s="157"/>
      <c r="AO114" s="157"/>
      <c r="AP114" s="157"/>
    </row>
    <row r="115" spans="1:42" ht="14.4" x14ac:dyDescent="0.25">
      <c r="A115" s="225" t="str">
        <f>'Participation Assumptions'!B116</f>
        <v>BTM Battery Control</v>
      </c>
      <c r="B115" s="225" t="s">
        <v>397</v>
      </c>
      <c r="C115" s="225" t="str">
        <f>'Participation Assumptions'!C116</f>
        <v>Large Industrial</v>
      </c>
      <c r="D115" s="225" t="str">
        <f>'Participation Assumptions'!D116</f>
        <v>Manufacturing</v>
      </c>
      <c r="E115" s="330">
        <v>1</v>
      </c>
      <c r="F115" s="330">
        <v>1</v>
      </c>
      <c r="G115" s="330">
        <v>1</v>
      </c>
      <c r="H115" s="330">
        <v>1</v>
      </c>
      <c r="I115" s="330">
        <v>1</v>
      </c>
      <c r="J115" s="330">
        <v>1</v>
      </c>
      <c r="K115" s="330">
        <v>1</v>
      </c>
      <c r="L115" s="330">
        <v>1</v>
      </c>
      <c r="M115" s="330">
        <v>1</v>
      </c>
      <c r="N115" s="330">
        <v>1</v>
      </c>
      <c r="O115" s="330">
        <v>1</v>
      </c>
      <c r="P115" s="330">
        <v>1</v>
      </c>
      <c r="Q115" s="330">
        <v>1</v>
      </c>
      <c r="R115" s="330">
        <v>1</v>
      </c>
      <c r="S115" s="330">
        <v>1</v>
      </c>
      <c r="T115" s="330">
        <v>1</v>
      </c>
      <c r="U115" s="330">
        <v>1</v>
      </c>
      <c r="V115" s="327"/>
      <c r="W115" s="200" t="str">
        <f t="shared" si="54"/>
        <v>Large</v>
      </c>
      <c r="X115" s="198" t="str">
        <f t="shared" si="53"/>
        <v>BTM Battery ControlLarge</v>
      </c>
      <c r="Y115" s="157" t="b">
        <f>ISNUMBER(MATCH(X115,'ProCESS CSE'!W:W,0))</f>
        <v>0</v>
      </c>
      <c r="Z115" s="157"/>
      <c r="AA115" s="157"/>
      <c r="AB115" s="157"/>
      <c r="AC115" s="157"/>
      <c r="AD115" s="157"/>
      <c r="AE115" s="157"/>
      <c r="AF115" s="157"/>
      <c r="AG115" s="157"/>
      <c r="AH115" s="157"/>
      <c r="AI115" s="157"/>
      <c r="AJ115" s="157"/>
      <c r="AK115" s="157"/>
      <c r="AL115" s="157"/>
      <c r="AM115" s="157"/>
      <c r="AN115" s="157"/>
      <c r="AO115" s="157"/>
      <c r="AP115" s="157"/>
    </row>
    <row r="116" spans="1:42" ht="14.4" x14ac:dyDescent="0.25">
      <c r="A116" s="225" t="str">
        <f>'Participation Assumptions'!B117</f>
        <v>BTM Battery Control</v>
      </c>
      <c r="B116" s="225" t="s">
        <v>397</v>
      </c>
      <c r="C116" s="225" t="str">
        <f>'Participation Assumptions'!C117</f>
        <v>Large Industrial</v>
      </c>
      <c r="D116" s="225" t="str">
        <f>'Participation Assumptions'!D117</f>
        <v>Miscellaneous</v>
      </c>
      <c r="E116" s="330">
        <v>1</v>
      </c>
      <c r="F116" s="330">
        <v>1</v>
      </c>
      <c r="G116" s="330">
        <v>1</v>
      </c>
      <c r="H116" s="330">
        <v>1</v>
      </c>
      <c r="I116" s="330">
        <v>1</v>
      </c>
      <c r="J116" s="330">
        <v>1</v>
      </c>
      <c r="K116" s="330">
        <v>1</v>
      </c>
      <c r="L116" s="330">
        <v>1</v>
      </c>
      <c r="M116" s="330">
        <v>1</v>
      </c>
      <c r="N116" s="330">
        <v>1</v>
      </c>
      <c r="O116" s="330">
        <v>1</v>
      </c>
      <c r="P116" s="330">
        <v>1</v>
      </c>
      <c r="Q116" s="330">
        <v>1</v>
      </c>
      <c r="R116" s="330">
        <v>1</v>
      </c>
      <c r="S116" s="330">
        <v>1</v>
      </c>
      <c r="T116" s="330">
        <v>1</v>
      </c>
      <c r="U116" s="330">
        <v>1</v>
      </c>
      <c r="V116" s="327"/>
      <c r="W116" s="200" t="str">
        <f t="shared" si="54"/>
        <v>Large</v>
      </c>
      <c r="X116" s="198" t="str">
        <f t="shared" si="53"/>
        <v>BTM Battery ControlLarge</v>
      </c>
      <c r="Y116" s="157" t="b">
        <f>ISNUMBER(MATCH(X116,'ProCESS CSE'!W:W,0))</f>
        <v>0</v>
      </c>
      <c r="Z116" s="157"/>
      <c r="AA116" s="157"/>
      <c r="AB116" s="157"/>
      <c r="AC116" s="157"/>
      <c r="AD116" s="157"/>
      <c r="AE116" s="157"/>
      <c r="AF116" s="157"/>
      <c r="AG116" s="157"/>
      <c r="AH116" s="157"/>
      <c r="AI116" s="157"/>
      <c r="AJ116" s="157"/>
      <c r="AK116" s="157"/>
      <c r="AL116" s="157"/>
      <c r="AM116" s="157"/>
      <c r="AN116" s="157"/>
      <c r="AO116" s="157"/>
      <c r="AP116" s="157"/>
    </row>
    <row r="117" spans="1:42" ht="14.4" x14ac:dyDescent="0.25">
      <c r="A117" s="225" t="str">
        <f>'Participation Assumptions'!B118</f>
        <v>BTM Battery Control</v>
      </c>
      <c r="B117" s="225" t="s">
        <v>397</v>
      </c>
      <c r="C117" s="225" t="str">
        <f>'Participation Assumptions'!C118</f>
        <v>Large Industrial</v>
      </c>
      <c r="D117" s="225" t="str">
        <f>'Participation Assumptions'!D118</f>
        <v>Offices</v>
      </c>
      <c r="E117" s="330">
        <v>1</v>
      </c>
      <c r="F117" s="330">
        <v>1</v>
      </c>
      <c r="G117" s="330">
        <v>1</v>
      </c>
      <c r="H117" s="330">
        <v>1</v>
      </c>
      <c r="I117" s="330">
        <v>1</v>
      </c>
      <c r="J117" s="330">
        <v>1</v>
      </c>
      <c r="K117" s="330">
        <v>1</v>
      </c>
      <c r="L117" s="330">
        <v>1</v>
      </c>
      <c r="M117" s="330">
        <v>1</v>
      </c>
      <c r="N117" s="330">
        <v>1</v>
      </c>
      <c r="O117" s="330">
        <v>1</v>
      </c>
      <c r="P117" s="330">
        <v>1</v>
      </c>
      <c r="Q117" s="330">
        <v>1</v>
      </c>
      <c r="R117" s="330">
        <v>1</v>
      </c>
      <c r="S117" s="330">
        <v>1</v>
      </c>
      <c r="T117" s="330">
        <v>1</v>
      </c>
      <c r="U117" s="330">
        <v>1</v>
      </c>
      <c r="V117" s="327"/>
      <c r="W117" s="200" t="str">
        <f t="shared" si="54"/>
        <v>Large</v>
      </c>
      <c r="X117" s="198" t="str">
        <f t="shared" si="53"/>
        <v>BTM Battery ControlLarge</v>
      </c>
      <c r="Y117" s="157" t="b">
        <f>ISNUMBER(MATCH(X117,'ProCESS CSE'!W:W,0))</f>
        <v>0</v>
      </c>
      <c r="Z117" s="157"/>
      <c r="AA117" s="157"/>
      <c r="AB117" s="157"/>
      <c r="AC117" s="157"/>
      <c r="AD117" s="157"/>
      <c r="AE117" s="157"/>
      <c r="AF117" s="157"/>
      <c r="AG117" s="157"/>
      <c r="AH117" s="157"/>
      <c r="AI117" s="157"/>
      <c r="AJ117" s="157"/>
      <c r="AK117" s="157"/>
      <c r="AL117" s="157"/>
      <c r="AM117" s="157"/>
      <c r="AN117" s="157"/>
      <c r="AO117" s="157"/>
      <c r="AP117" s="157"/>
    </row>
    <row r="118" spans="1:42" ht="14.4" x14ac:dyDescent="0.25">
      <c r="A118" s="225" t="str">
        <f>'Participation Assumptions'!B119</f>
        <v>BTM Battery Control</v>
      </c>
      <c r="B118" s="225" t="s">
        <v>397</v>
      </c>
      <c r="C118" s="225" t="str">
        <f>'Participation Assumptions'!C119</f>
        <v>Large Industrial</v>
      </c>
      <c r="D118" s="225" t="str">
        <f>'Participation Assumptions'!D119</f>
        <v>Retail Trade</v>
      </c>
      <c r="E118" s="330">
        <v>1</v>
      </c>
      <c r="F118" s="330">
        <v>1</v>
      </c>
      <c r="G118" s="330">
        <v>1</v>
      </c>
      <c r="H118" s="330">
        <v>1</v>
      </c>
      <c r="I118" s="330">
        <v>1</v>
      </c>
      <c r="J118" s="330">
        <v>1</v>
      </c>
      <c r="K118" s="330">
        <v>1</v>
      </c>
      <c r="L118" s="330">
        <v>1</v>
      </c>
      <c r="M118" s="330">
        <v>1</v>
      </c>
      <c r="N118" s="330">
        <v>1</v>
      </c>
      <c r="O118" s="330">
        <v>1</v>
      </c>
      <c r="P118" s="330">
        <v>1</v>
      </c>
      <c r="Q118" s="330">
        <v>1</v>
      </c>
      <c r="R118" s="330">
        <v>1</v>
      </c>
      <c r="S118" s="330">
        <v>1</v>
      </c>
      <c r="T118" s="330">
        <v>1</v>
      </c>
      <c r="U118" s="330">
        <v>1</v>
      </c>
      <c r="V118" s="327"/>
      <c r="W118" s="200" t="str">
        <f t="shared" si="54"/>
        <v>Large</v>
      </c>
      <c r="X118" s="198" t="str">
        <f t="shared" si="53"/>
        <v>BTM Battery ControlLarge</v>
      </c>
      <c r="Y118" s="157" t="b">
        <f>ISNUMBER(MATCH(X118,'ProCESS CSE'!W:W,0))</f>
        <v>0</v>
      </c>
      <c r="Z118" s="157"/>
      <c r="AA118" s="157"/>
      <c r="AB118" s="157"/>
      <c r="AC118" s="157"/>
      <c r="AD118" s="157"/>
      <c r="AE118" s="157"/>
      <c r="AF118" s="157"/>
      <c r="AG118" s="157"/>
      <c r="AH118" s="157"/>
      <c r="AI118" s="157"/>
      <c r="AJ118" s="157"/>
      <c r="AK118" s="157"/>
      <c r="AL118" s="157"/>
      <c r="AM118" s="157"/>
      <c r="AN118" s="157"/>
      <c r="AO118" s="157"/>
      <c r="AP118" s="157"/>
    </row>
    <row r="119" spans="1:42" ht="14.4" x14ac:dyDescent="0.25">
      <c r="A119" s="225" t="str">
        <f>'Participation Assumptions'!B120</f>
        <v>BTM Battery Control</v>
      </c>
      <c r="B119" s="225" t="s">
        <v>397</v>
      </c>
      <c r="C119" s="225" t="str">
        <f>'Participation Assumptions'!C120</f>
        <v>Large Industrial</v>
      </c>
      <c r="D119" s="225" t="str">
        <f>'Participation Assumptions'!D120</f>
        <v>Services</v>
      </c>
      <c r="E119" s="330">
        <v>1</v>
      </c>
      <c r="F119" s="330">
        <v>1</v>
      </c>
      <c r="G119" s="330">
        <v>1</v>
      </c>
      <c r="H119" s="330">
        <v>1</v>
      </c>
      <c r="I119" s="330">
        <v>1</v>
      </c>
      <c r="J119" s="330">
        <v>1</v>
      </c>
      <c r="K119" s="330">
        <v>1</v>
      </c>
      <c r="L119" s="330">
        <v>1</v>
      </c>
      <c r="M119" s="330">
        <v>1</v>
      </c>
      <c r="N119" s="330">
        <v>1</v>
      </c>
      <c r="O119" s="330">
        <v>1</v>
      </c>
      <c r="P119" s="330">
        <v>1</v>
      </c>
      <c r="Q119" s="330">
        <v>1</v>
      </c>
      <c r="R119" s="330">
        <v>1</v>
      </c>
      <c r="S119" s="330">
        <v>1</v>
      </c>
      <c r="T119" s="330">
        <v>1</v>
      </c>
      <c r="U119" s="330">
        <v>1</v>
      </c>
      <c r="V119" s="327"/>
      <c r="W119" s="200" t="str">
        <f t="shared" si="54"/>
        <v>Large</v>
      </c>
      <c r="X119" s="198" t="str">
        <f t="shared" si="53"/>
        <v>BTM Battery ControlLarge</v>
      </c>
      <c r="Y119" s="157" t="b">
        <f>ISNUMBER(MATCH(X119,'ProCESS CSE'!W:W,0))</f>
        <v>0</v>
      </c>
      <c r="Z119" s="157"/>
      <c r="AA119" s="157"/>
      <c r="AB119" s="157"/>
      <c r="AC119" s="157"/>
      <c r="AD119" s="157"/>
      <c r="AE119" s="157"/>
      <c r="AF119" s="157"/>
      <c r="AG119" s="157"/>
      <c r="AH119" s="157"/>
      <c r="AI119" s="157"/>
      <c r="AJ119" s="157"/>
      <c r="AK119" s="157"/>
      <c r="AL119" s="157"/>
      <c r="AM119" s="157"/>
      <c r="AN119" s="157"/>
      <c r="AO119" s="157"/>
      <c r="AP119" s="157"/>
    </row>
    <row r="120" spans="1:42" ht="14.4" x14ac:dyDescent="0.25">
      <c r="A120" s="225" t="str">
        <f>'Participation Assumptions'!B121</f>
        <v>BTM Battery Control</v>
      </c>
      <c r="B120" s="225" t="s">
        <v>397</v>
      </c>
      <c r="C120" s="225" t="str">
        <f>'Participation Assumptions'!C121</f>
        <v>Small Commercial</v>
      </c>
      <c r="D120" s="225" t="str">
        <f>'Participation Assumptions'!D121</f>
        <v>Manufacturing</v>
      </c>
      <c r="E120" s="330">
        <v>1</v>
      </c>
      <c r="F120" s="330">
        <v>1</v>
      </c>
      <c r="G120" s="330">
        <v>1</v>
      </c>
      <c r="H120" s="330">
        <v>1</v>
      </c>
      <c r="I120" s="330">
        <v>1</v>
      </c>
      <c r="J120" s="330">
        <v>1</v>
      </c>
      <c r="K120" s="330">
        <v>1</v>
      </c>
      <c r="L120" s="330">
        <v>1</v>
      </c>
      <c r="M120" s="330">
        <v>1</v>
      </c>
      <c r="N120" s="330">
        <v>1</v>
      </c>
      <c r="O120" s="330">
        <v>1</v>
      </c>
      <c r="P120" s="330">
        <v>1</v>
      </c>
      <c r="Q120" s="330">
        <v>1</v>
      </c>
      <c r="R120" s="330">
        <v>1</v>
      </c>
      <c r="S120" s="330">
        <v>1</v>
      </c>
      <c r="T120" s="330">
        <v>1</v>
      </c>
      <c r="U120" s="330">
        <v>1</v>
      </c>
      <c r="V120" s="327"/>
      <c r="W120" s="200" t="str">
        <f t="shared" si="54"/>
        <v>Small</v>
      </c>
      <c r="X120" s="198" t="str">
        <f t="shared" si="53"/>
        <v>BTM Battery ControlSmall</v>
      </c>
      <c r="Y120" s="157" t="b">
        <f>ISNUMBER(MATCH(X120,'ProCESS CSE'!W:W,0))</f>
        <v>0</v>
      </c>
      <c r="Z120" s="157"/>
      <c r="AA120" s="157"/>
      <c r="AB120" s="157"/>
      <c r="AC120" s="157"/>
      <c r="AD120" s="157"/>
      <c r="AE120" s="157"/>
      <c r="AF120" s="157"/>
      <c r="AG120" s="157"/>
      <c r="AH120" s="157"/>
      <c r="AI120" s="157"/>
      <c r="AJ120" s="157"/>
      <c r="AK120" s="157"/>
      <c r="AL120" s="157"/>
      <c r="AM120" s="157"/>
      <c r="AN120" s="157"/>
      <c r="AO120" s="157"/>
      <c r="AP120" s="157"/>
    </row>
    <row r="121" spans="1:42" ht="14.4" x14ac:dyDescent="0.25">
      <c r="A121" s="225" t="str">
        <f>'Participation Assumptions'!B122</f>
        <v>BTM Battery Control</v>
      </c>
      <c r="B121" s="225" t="s">
        <v>397</v>
      </c>
      <c r="C121" s="225" t="str">
        <f>'Participation Assumptions'!C122</f>
        <v>Small Commercial</v>
      </c>
      <c r="D121" s="225" t="str">
        <f>'Participation Assumptions'!D122</f>
        <v>Miscellaneous</v>
      </c>
      <c r="E121" s="330">
        <v>1</v>
      </c>
      <c r="F121" s="330">
        <v>1</v>
      </c>
      <c r="G121" s="330">
        <v>1</v>
      </c>
      <c r="H121" s="330">
        <v>1</v>
      </c>
      <c r="I121" s="330">
        <v>1</v>
      </c>
      <c r="J121" s="330">
        <v>1</v>
      </c>
      <c r="K121" s="330">
        <v>1</v>
      </c>
      <c r="L121" s="330">
        <v>1</v>
      </c>
      <c r="M121" s="330">
        <v>1</v>
      </c>
      <c r="N121" s="330">
        <v>1</v>
      </c>
      <c r="O121" s="330">
        <v>1</v>
      </c>
      <c r="P121" s="330">
        <v>1</v>
      </c>
      <c r="Q121" s="330">
        <v>1</v>
      </c>
      <c r="R121" s="330">
        <v>1</v>
      </c>
      <c r="S121" s="330">
        <v>1</v>
      </c>
      <c r="T121" s="330">
        <v>1</v>
      </c>
      <c r="U121" s="330">
        <v>1</v>
      </c>
      <c r="V121" s="327"/>
      <c r="W121" s="200" t="str">
        <f t="shared" si="54"/>
        <v>Small</v>
      </c>
      <c r="X121" s="198" t="str">
        <f t="shared" si="53"/>
        <v>BTM Battery ControlSmall</v>
      </c>
      <c r="Y121" s="157" t="b">
        <f>ISNUMBER(MATCH(X121,'ProCESS CSE'!W:W,0))</f>
        <v>0</v>
      </c>
      <c r="Z121" s="157"/>
      <c r="AA121" s="157"/>
      <c r="AB121" s="157"/>
      <c r="AC121" s="157"/>
      <c r="AD121" s="157"/>
      <c r="AE121" s="157"/>
      <c r="AF121" s="157"/>
      <c r="AG121" s="157"/>
      <c r="AH121" s="157"/>
      <c r="AI121" s="157"/>
      <c r="AJ121" s="157"/>
      <c r="AK121" s="157"/>
      <c r="AL121" s="157"/>
      <c r="AM121" s="157"/>
      <c r="AN121" s="157"/>
      <c r="AO121" s="157"/>
      <c r="AP121" s="157"/>
    </row>
    <row r="122" spans="1:42" ht="14.4" x14ac:dyDescent="0.25">
      <c r="A122" s="225" t="str">
        <f>'Participation Assumptions'!B123</f>
        <v>BTM Battery Control</v>
      </c>
      <c r="B122" s="225" t="s">
        <v>397</v>
      </c>
      <c r="C122" s="225" t="str">
        <f>'Participation Assumptions'!C123</f>
        <v>Small Commercial</v>
      </c>
      <c r="D122" s="225" t="str">
        <f>'Participation Assumptions'!D123</f>
        <v>Offices</v>
      </c>
      <c r="E122" s="330">
        <v>1</v>
      </c>
      <c r="F122" s="330">
        <v>1</v>
      </c>
      <c r="G122" s="330">
        <v>1</v>
      </c>
      <c r="H122" s="330">
        <v>1</v>
      </c>
      <c r="I122" s="330">
        <v>1</v>
      </c>
      <c r="J122" s="330">
        <v>1</v>
      </c>
      <c r="K122" s="330">
        <v>1</v>
      </c>
      <c r="L122" s="330">
        <v>1</v>
      </c>
      <c r="M122" s="330">
        <v>1</v>
      </c>
      <c r="N122" s="330">
        <v>1</v>
      </c>
      <c r="O122" s="330">
        <v>1</v>
      </c>
      <c r="P122" s="330">
        <v>1</v>
      </c>
      <c r="Q122" s="330">
        <v>1</v>
      </c>
      <c r="R122" s="330">
        <v>1</v>
      </c>
      <c r="S122" s="330">
        <v>1</v>
      </c>
      <c r="T122" s="330">
        <v>1</v>
      </c>
      <c r="U122" s="330">
        <v>1</v>
      </c>
      <c r="V122" s="327"/>
      <c r="W122" s="200" t="str">
        <f t="shared" si="54"/>
        <v>Small</v>
      </c>
      <c r="X122" s="198" t="str">
        <f t="shared" si="53"/>
        <v>BTM Battery ControlSmall</v>
      </c>
      <c r="Y122" s="157" t="b">
        <f>ISNUMBER(MATCH(X122,'ProCESS CSE'!W:W,0))</f>
        <v>0</v>
      </c>
      <c r="Z122" s="157"/>
      <c r="AA122" s="157"/>
      <c r="AB122" s="157"/>
      <c r="AC122" s="157"/>
      <c r="AD122" s="157"/>
      <c r="AE122" s="157"/>
      <c r="AF122" s="157"/>
      <c r="AG122" s="157"/>
      <c r="AH122" s="157"/>
      <c r="AI122" s="157"/>
      <c r="AJ122" s="157"/>
      <c r="AK122" s="157"/>
      <c r="AL122" s="157"/>
      <c r="AM122" s="157"/>
      <c r="AN122" s="157"/>
      <c r="AO122" s="157"/>
      <c r="AP122" s="157"/>
    </row>
    <row r="123" spans="1:42" ht="14.4" x14ac:dyDescent="0.25">
      <c r="A123" s="225" t="str">
        <f>'Participation Assumptions'!B124</f>
        <v>BTM Battery Control</v>
      </c>
      <c r="B123" s="225" t="s">
        <v>397</v>
      </c>
      <c r="C123" s="225" t="str">
        <f>'Participation Assumptions'!C124</f>
        <v>Small Commercial</v>
      </c>
      <c r="D123" s="225" t="str">
        <f>'Participation Assumptions'!D124</f>
        <v>Retail Trade</v>
      </c>
      <c r="E123" s="330">
        <v>1</v>
      </c>
      <c r="F123" s="330">
        <v>1</v>
      </c>
      <c r="G123" s="330">
        <v>1</v>
      </c>
      <c r="H123" s="330">
        <v>1</v>
      </c>
      <c r="I123" s="330">
        <v>1</v>
      </c>
      <c r="J123" s="330">
        <v>1</v>
      </c>
      <c r="K123" s="330">
        <v>1</v>
      </c>
      <c r="L123" s="330">
        <v>1</v>
      </c>
      <c r="M123" s="330">
        <v>1</v>
      </c>
      <c r="N123" s="330">
        <v>1</v>
      </c>
      <c r="O123" s="330">
        <v>1</v>
      </c>
      <c r="P123" s="330">
        <v>1</v>
      </c>
      <c r="Q123" s="330">
        <v>1</v>
      </c>
      <c r="R123" s="330">
        <v>1</v>
      </c>
      <c r="S123" s="330">
        <v>1</v>
      </c>
      <c r="T123" s="330">
        <v>1</v>
      </c>
      <c r="U123" s="330">
        <v>1</v>
      </c>
      <c r="V123" s="327"/>
      <c r="W123" s="200" t="str">
        <f t="shared" si="54"/>
        <v>Small</v>
      </c>
      <c r="X123" s="198" t="str">
        <f t="shared" si="53"/>
        <v>BTM Battery ControlSmall</v>
      </c>
      <c r="Y123" s="157" t="b">
        <f>ISNUMBER(MATCH(X123,'ProCESS CSE'!W:W,0))</f>
        <v>0</v>
      </c>
      <c r="Z123" s="157"/>
      <c r="AA123" s="157"/>
      <c r="AB123" s="157"/>
      <c r="AC123" s="157"/>
      <c r="AD123" s="157"/>
      <c r="AE123" s="157"/>
      <c r="AF123" s="157"/>
      <c r="AG123" s="157"/>
      <c r="AH123" s="157"/>
      <c r="AI123" s="157"/>
      <c r="AJ123" s="157"/>
      <c r="AK123" s="157"/>
      <c r="AL123" s="157"/>
      <c r="AM123" s="157"/>
      <c r="AN123" s="157"/>
      <c r="AO123" s="157"/>
      <c r="AP123" s="157"/>
    </row>
    <row r="124" spans="1:42" ht="14.4" x14ac:dyDescent="0.25">
      <c r="A124" s="225" t="str">
        <f>'Participation Assumptions'!B125</f>
        <v>BTM Battery Control</v>
      </c>
      <c r="B124" s="225" t="s">
        <v>397</v>
      </c>
      <c r="C124" s="225" t="str">
        <f>'Participation Assumptions'!C125</f>
        <v>Small Commercial</v>
      </c>
      <c r="D124" s="225" t="str">
        <f>'Participation Assumptions'!D125</f>
        <v>Services</v>
      </c>
      <c r="E124" s="330">
        <v>1</v>
      </c>
      <c r="F124" s="330">
        <v>1</v>
      </c>
      <c r="G124" s="330">
        <v>1</v>
      </c>
      <c r="H124" s="330">
        <v>1</v>
      </c>
      <c r="I124" s="330">
        <v>1</v>
      </c>
      <c r="J124" s="330">
        <v>1</v>
      </c>
      <c r="K124" s="330">
        <v>1</v>
      </c>
      <c r="L124" s="330">
        <v>1</v>
      </c>
      <c r="M124" s="330">
        <v>1</v>
      </c>
      <c r="N124" s="330">
        <v>1</v>
      </c>
      <c r="O124" s="330">
        <v>1</v>
      </c>
      <c r="P124" s="330">
        <v>1</v>
      </c>
      <c r="Q124" s="330">
        <v>1</v>
      </c>
      <c r="R124" s="330">
        <v>1</v>
      </c>
      <c r="S124" s="330">
        <v>1</v>
      </c>
      <c r="T124" s="330">
        <v>1</v>
      </c>
      <c r="U124" s="330">
        <v>1</v>
      </c>
      <c r="V124" s="327"/>
      <c r="W124" s="200" t="str">
        <f t="shared" si="54"/>
        <v>Small</v>
      </c>
      <c r="X124" s="198" t="str">
        <f t="shared" si="53"/>
        <v>BTM Battery ControlSmall</v>
      </c>
      <c r="Y124" s="157" t="b">
        <f>ISNUMBER(MATCH(X124,'ProCESS CSE'!W:W,0))</f>
        <v>0</v>
      </c>
      <c r="Z124" s="157"/>
      <c r="AA124" s="157"/>
      <c r="AB124" s="157"/>
      <c r="AC124" s="157"/>
      <c r="AD124" s="157"/>
      <c r="AE124" s="157"/>
      <c r="AF124" s="157"/>
      <c r="AG124" s="157"/>
      <c r="AH124" s="157"/>
      <c r="AI124" s="157"/>
      <c r="AJ124" s="157"/>
      <c r="AK124" s="157"/>
      <c r="AL124" s="157"/>
      <c r="AM124" s="157"/>
      <c r="AN124" s="157"/>
      <c r="AO124" s="157"/>
      <c r="AP124" s="157"/>
    </row>
    <row r="125" spans="1:42" ht="14.4" x14ac:dyDescent="0.25">
      <c r="A125" s="225" t="str">
        <f>'Participation Assumptions'!B126</f>
        <v>BTM Battery Control</v>
      </c>
      <c r="B125" s="225" t="s">
        <v>397</v>
      </c>
      <c r="C125" s="225" t="str">
        <f>'Participation Assumptions'!C126</f>
        <v>Small Industrial</v>
      </c>
      <c r="D125" s="225" t="str">
        <f>'Participation Assumptions'!D126</f>
        <v>Manufacturing</v>
      </c>
      <c r="E125" s="330">
        <v>1</v>
      </c>
      <c r="F125" s="330">
        <v>1</v>
      </c>
      <c r="G125" s="330">
        <v>1</v>
      </c>
      <c r="H125" s="330">
        <v>1</v>
      </c>
      <c r="I125" s="330">
        <v>1</v>
      </c>
      <c r="J125" s="330">
        <v>1</v>
      </c>
      <c r="K125" s="330">
        <v>1</v>
      </c>
      <c r="L125" s="330">
        <v>1</v>
      </c>
      <c r="M125" s="330">
        <v>1</v>
      </c>
      <c r="N125" s="330">
        <v>1</v>
      </c>
      <c r="O125" s="330">
        <v>1</v>
      </c>
      <c r="P125" s="330">
        <v>1</v>
      </c>
      <c r="Q125" s="330">
        <v>1</v>
      </c>
      <c r="R125" s="330">
        <v>1</v>
      </c>
      <c r="S125" s="330">
        <v>1</v>
      </c>
      <c r="T125" s="330">
        <v>1</v>
      </c>
      <c r="U125" s="330">
        <v>1</v>
      </c>
      <c r="V125" s="327"/>
      <c r="W125" s="200" t="str">
        <f t="shared" si="54"/>
        <v>Small</v>
      </c>
      <c r="X125" s="198" t="str">
        <f t="shared" si="53"/>
        <v>BTM Battery ControlSmall</v>
      </c>
      <c r="Y125" s="157" t="b">
        <f>ISNUMBER(MATCH(X125,'ProCESS CSE'!W:W,0))</f>
        <v>0</v>
      </c>
      <c r="Z125" s="157"/>
      <c r="AA125" s="157"/>
      <c r="AB125" s="157"/>
      <c r="AC125" s="157"/>
      <c r="AD125" s="157"/>
      <c r="AE125" s="157"/>
      <c r="AF125" s="157"/>
      <c r="AG125" s="157"/>
      <c r="AH125" s="157"/>
      <c r="AI125" s="157"/>
      <c r="AJ125" s="157"/>
      <c r="AK125" s="157"/>
      <c r="AL125" s="157"/>
      <c r="AM125" s="157"/>
      <c r="AN125" s="157"/>
      <c r="AO125" s="157"/>
      <c r="AP125" s="157"/>
    </row>
    <row r="126" spans="1:42" ht="14.4" x14ac:dyDescent="0.25">
      <c r="A126" s="225" t="str">
        <f>'Participation Assumptions'!B127</f>
        <v>BTM Battery Control</v>
      </c>
      <c r="B126" s="225" t="s">
        <v>397</v>
      </c>
      <c r="C126" s="225" t="str">
        <f>'Participation Assumptions'!C127</f>
        <v>Small Industrial</v>
      </c>
      <c r="D126" s="225" t="str">
        <f>'Participation Assumptions'!D127</f>
        <v>Miscellaneous</v>
      </c>
      <c r="E126" s="330">
        <v>1</v>
      </c>
      <c r="F126" s="330">
        <v>1</v>
      </c>
      <c r="G126" s="330">
        <v>1</v>
      </c>
      <c r="H126" s="330">
        <v>1</v>
      </c>
      <c r="I126" s="330">
        <v>1</v>
      </c>
      <c r="J126" s="330">
        <v>1</v>
      </c>
      <c r="K126" s="330">
        <v>1</v>
      </c>
      <c r="L126" s="330">
        <v>1</v>
      </c>
      <c r="M126" s="330">
        <v>1</v>
      </c>
      <c r="N126" s="330">
        <v>1</v>
      </c>
      <c r="O126" s="330">
        <v>1</v>
      </c>
      <c r="P126" s="330">
        <v>1</v>
      </c>
      <c r="Q126" s="330">
        <v>1</v>
      </c>
      <c r="R126" s="330">
        <v>1</v>
      </c>
      <c r="S126" s="330">
        <v>1</v>
      </c>
      <c r="T126" s="330">
        <v>1</v>
      </c>
      <c r="U126" s="330">
        <v>1</v>
      </c>
      <c r="V126" s="327"/>
      <c r="W126" s="200" t="str">
        <f t="shared" si="54"/>
        <v>Small</v>
      </c>
      <c r="X126" s="198" t="str">
        <f t="shared" si="53"/>
        <v>BTM Battery ControlSmall</v>
      </c>
      <c r="Y126" s="157" t="b">
        <f>ISNUMBER(MATCH(X126,'ProCESS CSE'!W:W,0))</f>
        <v>0</v>
      </c>
      <c r="Z126" s="157"/>
      <c r="AA126" s="157"/>
      <c r="AB126" s="157"/>
      <c r="AC126" s="157"/>
      <c r="AD126" s="157"/>
      <c r="AE126" s="157"/>
      <c r="AF126" s="157"/>
      <c r="AG126" s="157"/>
      <c r="AH126" s="157"/>
      <c r="AI126" s="157"/>
      <c r="AJ126" s="157"/>
      <c r="AK126" s="157"/>
      <c r="AL126" s="157"/>
      <c r="AM126" s="157"/>
      <c r="AN126" s="157"/>
      <c r="AO126" s="157"/>
      <c r="AP126" s="157"/>
    </row>
    <row r="127" spans="1:42" ht="14.4" x14ac:dyDescent="0.25">
      <c r="A127" s="225" t="str">
        <f>'Participation Assumptions'!B128</f>
        <v>BTM Battery Control</v>
      </c>
      <c r="B127" s="225" t="s">
        <v>397</v>
      </c>
      <c r="C127" s="225" t="str">
        <f>'Participation Assumptions'!C128</f>
        <v>Small Industrial</v>
      </c>
      <c r="D127" s="225" t="str">
        <f>'Participation Assumptions'!D128</f>
        <v>Offices</v>
      </c>
      <c r="E127" s="330">
        <v>1</v>
      </c>
      <c r="F127" s="330">
        <v>1</v>
      </c>
      <c r="G127" s="330">
        <v>1</v>
      </c>
      <c r="H127" s="330">
        <v>1</v>
      </c>
      <c r="I127" s="330">
        <v>1</v>
      </c>
      <c r="J127" s="330">
        <v>1</v>
      </c>
      <c r="K127" s="330">
        <v>1</v>
      </c>
      <c r="L127" s="330">
        <v>1</v>
      </c>
      <c r="M127" s="330">
        <v>1</v>
      </c>
      <c r="N127" s="330">
        <v>1</v>
      </c>
      <c r="O127" s="330">
        <v>1</v>
      </c>
      <c r="P127" s="330">
        <v>1</v>
      </c>
      <c r="Q127" s="330">
        <v>1</v>
      </c>
      <c r="R127" s="330">
        <v>1</v>
      </c>
      <c r="S127" s="330">
        <v>1</v>
      </c>
      <c r="T127" s="330">
        <v>1</v>
      </c>
      <c r="U127" s="330">
        <v>1</v>
      </c>
      <c r="V127" s="327"/>
      <c r="W127" s="200" t="str">
        <f t="shared" si="54"/>
        <v>Small</v>
      </c>
      <c r="X127" s="198" t="str">
        <f t="shared" si="53"/>
        <v>BTM Battery ControlSmall</v>
      </c>
      <c r="Y127" s="157" t="b">
        <f>ISNUMBER(MATCH(X127,'ProCESS CSE'!W:W,0))</f>
        <v>0</v>
      </c>
      <c r="Z127" s="157"/>
      <c r="AA127" s="157"/>
      <c r="AB127" s="157"/>
      <c r="AC127" s="157"/>
      <c r="AD127" s="157"/>
      <c r="AE127" s="157"/>
      <c r="AF127" s="157"/>
      <c r="AG127" s="157"/>
      <c r="AH127" s="157"/>
      <c r="AI127" s="157"/>
      <c r="AJ127" s="157"/>
      <c r="AK127" s="157"/>
      <c r="AL127" s="157"/>
      <c r="AM127" s="157"/>
      <c r="AN127" s="157"/>
      <c r="AO127" s="157"/>
      <c r="AP127" s="157"/>
    </row>
    <row r="128" spans="1:42" ht="14.4" x14ac:dyDescent="0.25">
      <c r="A128" s="225" t="str">
        <f>'Participation Assumptions'!B129</f>
        <v>BTM Battery Control</v>
      </c>
      <c r="B128" s="225" t="s">
        <v>397</v>
      </c>
      <c r="C128" s="225" t="str">
        <f>'Participation Assumptions'!C129</f>
        <v>Small Industrial</v>
      </c>
      <c r="D128" s="225" t="str">
        <f>'Participation Assumptions'!D129</f>
        <v>Retail Trade</v>
      </c>
      <c r="E128" s="330">
        <v>1</v>
      </c>
      <c r="F128" s="330">
        <v>1</v>
      </c>
      <c r="G128" s="330">
        <v>1</v>
      </c>
      <c r="H128" s="330">
        <v>1</v>
      </c>
      <c r="I128" s="330">
        <v>1</v>
      </c>
      <c r="J128" s="330">
        <v>1</v>
      </c>
      <c r="K128" s="330">
        <v>1</v>
      </c>
      <c r="L128" s="330">
        <v>1</v>
      </c>
      <c r="M128" s="330">
        <v>1</v>
      </c>
      <c r="N128" s="330">
        <v>1</v>
      </c>
      <c r="O128" s="330">
        <v>1</v>
      </c>
      <c r="P128" s="330">
        <v>1</v>
      </c>
      <c r="Q128" s="330">
        <v>1</v>
      </c>
      <c r="R128" s="330">
        <v>1</v>
      </c>
      <c r="S128" s="330">
        <v>1</v>
      </c>
      <c r="T128" s="330">
        <v>1</v>
      </c>
      <c r="U128" s="330">
        <v>1</v>
      </c>
      <c r="V128" s="327"/>
      <c r="W128" s="200" t="str">
        <f t="shared" si="54"/>
        <v>Small</v>
      </c>
      <c r="X128" s="198" t="str">
        <f t="shared" si="53"/>
        <v>BTM Battery ControlSmall</v>
      </c>
      <c r="Y128" s="157" t="b">
        <f>ISNUMBER(MATCH(X128,'ProCESS CSE'!W:W,0))</f>
        <v>0</v>
      </c>
      <c r="Z128" s="157"/>
      <c r="AA128" s="157"/>
      <c r="AB128" s="157"/>
      <c r="AC128" s="157"/>
      <c r="AD128" s="157"/>
      <c r="AE128" s="157"/>
      <c r="AF128" s="157"/>
      <c r="AG128" s="157"/>
      <c r="AH128" s="157"/>
      <c r="AI128" s="157"/>
      <c r="AJ128" s="157"/>
      <c r="AK128" s="157"/>
      <c r="AL128" s="157"/>
      <c r="AM128" s="157"/>
      <c r="AN128" s="157"/>
      <c r="AO128" s="157"/>
      <c r="AP128" s="157"/>
    </row>
    <row r="129" spans="1:42" ht="14.4" x14ac:dyDescent="0.25">
      <c r="A129" s="225" t="str">
        <f>'Participation Assumptions'!B130</f>
        <v>BTM Battery Control</v>
      </c>
      <c r="B129" s="225" t="s">
        <v>397</v>
      </c>
      <c r="C129" s="225" t="str">
        <f>'Participation Assumptions'!C130</f>
        <v>Small Industrial</v>
      </c>
      <c r="D129" s="225" t="str">
        <f>'Participation Assumptions'!D130</f>
        <v>Services</v>
      </c>
      <c r="E129" s="330">
        <v>1</v>
      </c>
      <c r="F129" s="330">
        <v>1</v>
      </c>
      <c r="G129" s="330">
        <v>1</v>
      </c>
      <c r="H129" s="330">
        <v>1</v>
      </c>
      <c r="I129" s="330">
        <v>1</v>
      </c>
      <c r="J129" s="330">
        <v>1</v>
      </c>
      <c r="K129" s="330">
        <v>1</v>
      </c>
      <c r="L129" s="330">
        <v>1</v>
      </c>
      <c r="M129" s="330">
        <v>1</v>
      </c>
      <c r="N129" s="330">
        <v>1</v>
      </c>
      <c r="O129" s="330">
        <v>1</v>
      </c>
      <c r="P129" s="330">
        <v>1</v>
      </c>
      <c r="Q129" s="330">
        <v>1</v>
      </c>
      <c r="R129" s="330">
        <v>1</v>
      </c>
      <c r="S129" s="330">
        <v>1</v>
      </c>
      <c r="T129" s="330">
        <v>1</v>
      </c>
      <c r="U129" s="330">
        <v>1</v>
      </c>
      <c r="V129" s="327"/>
      <c r="W129" s="200" t="str">
        <f t="shared" si="54"/>
        <v>Small</v>
      </c>
      <c r="X129" s="198" t="str">
        <f t="shared" si="53"/>
        <v>BTM Battery ControlSmall</v>
      </c>
      <c r="Y129" s="157" t="b">
        <f>ISNUMBER(MATCH(X129,'ProCESS CSE'!W:W,0))</f>
        <v>0</v>
      </c>
      <c r="Z129" s="157"/>
      <c r="AA129" s="157"/>
      <c r="AB129" s="157"/>
      <c r="AC129" s="157"/>
      <c r="AD129" s="157"/>
      <c r="AE129" s="157"/>
      <c r="AF129" s="157"/>
      <c r="AG129" s="157"/>
      <c r="AH129" s="157"/>
      <c r="AI129" s="157"/>
      <c r="AJ129" s="157"/>
      <c r="AK129" s="157"/>
      <c r="AL129" s="157"/>
      <c r="AM129" s="157"/>
      <c r="AN129" s="157"/>
      <c r="AO129" s="157"/>
      <c r="AP129" s="157"/>
    </row>
    <row r="130" spans="1:42" ht="72.599999999999994" customHeight="1" x14ac:dyDescent="0.25">
      <c r="A130" s="225" t="str">
        <f>'Participation Assumptions'!B131</f>
        <v>C&amp;I Curtailment-Turnkey-Manual HVAC Control</v>
      </c>
      <c r="B130" s="225" t="s">
        <v>397</v>
      </c>
      <c r="C130" s="225" t="str">
        <f>'Participation Assumptions'!C131</f>
        <v>Large Commercial</v>
      </c>
      <c r="D130" s="225" t="str">
        <f>'Participation Assumptions'!D131</f>
        <v>Offices</v>
      </c>
      <c r="E130" s="329">
        <f>(50%-E140)</f>
        <v>0.49748766163793101</v>
      </c>
      <c r="F130" s="329">
        <f t="shared" ref="F130:U130" si="119">(50%-F140)</f>
        <v>0.49665021551724137</v>
      </c>
      <c r="G130" s="329">
        <f t="shared" si="119"/>
        <v>0.49553362068965517</v>
      </c>
      <c r="H130" s="329">
        <f t="shared" si="119"/>
        <v>0.49404482758620688</v>
      </c>
      <c r="I130" s="329">
        <f t="shared" si="119"/>
        <v>0.49255603448275864</v>
      </c>
      <c r="J130" s="329">
        <f t="shared" si="119"/>
        <v>0.4906950431034483</v>
      </c>
      <c r="K130" s="329">
        <f t="shared" si="119"/>
        <v>0.48836880387931036</v>
      </c>
      <c r="L130" s="329">
        <f t="shared" si="119"/>
        <v>0.48546100484913796</v>
      </c>
      <c r="M130" s="329">
        <f t="shared" si="119"/>
        <v>0.48182625606142243</v>
      </c>
      <c r="N130" s="329">
        <f t="shared" si="119"/>
        <v>0.47728282007677802</v>
      </c>
      <c r="O130" s="329">
        <f t="shared" si="119"/>
        <v>0.47160352509597253</v>
      </c>
      <c r="P130" s="329">
        <f t="shared" si="119"/>
        <v>0.46450440636996571</v>
      </c>
      <c r="Q130" s="329">
        <f t="shared" si="119"/>
        <v>0.45563050796245713</v>
      </c>
      <c r="R130" s="329">
        <f t="shared" si="119"/>
        <v>0.44453813495307143</v>
      </c>
      <c r="S130" s="329">
        <f t="shared" si="119"/>
        <v>0.4306726686913393</v>
      </c>
      <c r="T130" s="329">
        <f t="shared" si="119"/>
        <v>0.41334083586417414</v>
      </c>
      <c r="U130" s="329">
        <f t="shared" si="119"/>
        <v>0.39167604483021767</v>
      </c>
      <c r="V130" s="430" t="s">
        <v>307</v>
      </c>
      <c r="W130" s="200" t="str">
        <f t="shared" si="54"/>
        <v>Large</v>
      </c>
      <c r="X130" s="198" t="str">
        <f t="shared" si="53"/>
        <v>C&amp;I Curtailment-Turnkey-Manual HVAC ControlLarge</v>
      </c>
      <c r="Y130" s="157" t="b">
        <f>ISNUMBER(MATCH(X130,'ProCESS CSE'!W:W,0))</f>
        <v>0</v>
      </c>
      <c r="Z130" s="157"/>
      <c r="AA130" s="157"/>
      <c r="AB130" s="157"/>
      <c r="AC130" s="157"/>
      <c r="AD130" s="157"/>
      <c r="AE130" s="157"/>
      <c r="AF130" s="157"/>
      <c r="AG130" s="157"/>
      <c r="AH130" s="157"/>
      <c r="AI130" s="157"/>
      <c r="AJ130" s="157"/>
      <c r="AK130" s="157"/>
      <c r="AL130" s="157"/>
      <c r="AM130" s="157"/>
      <c r="AN130" s="157"/>
      <c r="AO130" s="157"/>
      <c r="AP130" s="157"/>
    </row>
    <row r="131" spans="1:42" x14ac:dyDescent="0.25">
      <c r="A131" s="225" t="str">
        <f>'Participation Assumptions'!B132</f>
        <v>C&amp;I Curtailment-Turnkey-Manual HVAC Control</v>
      </c>
      <c r="B131" s="225" t="s">
        <v>397</v>
      </c>
      <c r="C131" s="225" t="str">
        <f>'Participation Assumptions'!C132</f>
        <v>Large Commercial</v>
      </c>
      <c r="D131" s="225" t="str">
        <f>'Participation Assumptions'!D132</f>
        <v>Services</v>
      </c>
      <c r="E131" s="329">
        <f t="shared" ref="E131:U131" si="120">(50%-E141)</f>
        <v>0.49748766163793101</v>
      </c>
      <c r="F131" s="329">
        <f t="shared" si="120"/>
        <v>0.49665021551724137</v>
      </c>
      <c r="G131" s="329">
        <f t="shared" si="120"/>
        <v>0.49553362068965517</v>
      </c>
      <c r="H131" s="329">
        <f t="shared" si="120"/>
        <v>0.49404482758620688</v>
      </c>
      <c r="I131" s="329">
        <f t="shared" si="120"/>
        <v>0.49255603448275864</v>
      </c>
      <c r="J131" s="329">
        <f t="shared" si="120"/>
        <v>0.4906950431034483</v>
      </c>
      <c r="K131" s="329">
        <f t="shared" si="120"/>
        <v>0.48836880387931036</v>
      </c>
      <c r="L131" s="329">
        <f t="shared" si="120"/>
        <v>0.48546100484913796</v>
      </c>
      <c r="M131" s="329">
        <f t="shared" si="120"/>
        <v>0.48182625606142243</v>
      </c>
      <c r="N131" s="329">
        <f t="shared" si="120"/>
        <v>0.47728282007677802</v>
      </c>
      <c r="O131" s="329">
        <f t="shared" si="120"/>
        <v>0.47160352509597253</v>
      </c>
      <c r="P131" s="329">
        <f t="shared" si="120"/>
        <v>0.46450440636996571</v>
      </c>
      <c r="Q131" s="329">
        <f t="shared" si="120"/>
        <v>0.45563050796245713</v>
      </c>
      <c r="R131" s="329">
        <f t="shared" si="120"/>
        <v>0.44453813495307143</v>
      </c>
      <c r="S131" s="329">
        <f t="shared" si="120"/>
        <v>0.4306726686913393</v>
      </c>
      <c r="T131" s="329">
        <f t="shared" si="120"/>
        <v>0.41334083586417414</v>
      </c>
      <c r="U131" s="329">
        <f t="shared" si="120"/>
        <v>0.39167604483021767</v>
      </c>
      <c r="V131" s="430"/>
      <c r="W131" s="200" t="str">
        <f t="shared" si="54"/>
        <v>Large</v>
      </c>
      <c r="X131" s="198" t="str">
        <f t="shared" si="53"/>
        <v>C&amp;I Curtailment-Turnkey-Manual HVAC ControlLarge</v>
      </c>
      <c r="Y131" s="157" t="b">
        <f>ISNUMBER(MATCH(X131,'ProCESS CSE'!W:W,0))</f>
        <v>0</v>
      </c>
      <c r="Z131" s="157"/>
      <c r="AA131" s="157"/>
      <c r="AB131" s="157"/>
      <c r="AC131" s="157"/>
      <c r="AD131" s="157"/>
      <c r="AE131" s="157"/>
      <c r="AF131" s="157"/>
      <c r="AG131" s="157"/>
      <c r="AH131" s="157"/>
      <c r="AI131" s="157"/>
      <c r="AJ131" s="157"/>
      <c r="AK131" s="157"/>
      <c r="AL131" s="157"/>
      <c r="AM131" s="157"/>
      <c r="AN131" s="157"/>
      <c r="AO131" s="157"/>
      <c r="AP131" s="157"/>
    </row>
    <row r="132" spans="1:42" ht="14.55" customHeight="1" x14ac:dyDescent="0.25">
      <c r="A132" s="225" t="str">
        <f>'Participation Assumptions'!B133</f>
        <v>C&amp;I Curtailment-Turnkey-Manual HVAC Control</v>
      </c>
      <c r="B132" s="225" t="s">
        <v>397</v>
      </c>
      <c r="C132" s="225" t="str">
        <f>'Participation Assumptions'!C133</f>
        <v>Large Industrial</v>
      </c>
      <c r="D132" s="225" t="str">
        <f>'Participation Assumptions'!D133</f>
        <v>Manufacturing</v>
      </c>
      <c r="E132" s="329">
        <f t="shared" ref="E132:U132" si="121">(50%-E142)</f>
        <v>0.49748766163793101</v>
      </c>
      <c r="F132" s="329">
        <f t="shared" si="121"/>
        <v>0.49665021551724137</v>
      </c>
      <c r="G132" s="329">
        <f t="shared" si="121"/>
        <v>0.49553362068965517</v>
      </c>
      <c r="H132" s="329">
        <f t="shared" si="121"/>
        <v>0.49404482758620688</v>
      </c>
      <c r="I132" s="329">
        <f t="shared" si="121"/>
        <v>0.49255603448275864</v>
      </c>
      <c r="J132" s="329">
        <f t="shared" si="121"/>
        <v>0.4906950431034483</v>
      </c>
      <c r="K132" s="329">
        <f t="shared" si="121"/>
        <v>0.48836880387931036</v>
      </c>
      <c r="L132" s="329">
        <f t="shared" si="121"/>
        <v>0.48546100484913796</v>
      </c>
      <c r="M132" s="329">
        <f t="shared" si="121"/>
        <v>0.48182625606142243</v>
      </c>
      <c r="N132" s="329">
        <f t="shared" si="121"/>
        <v>0.47728282007677802</v>
      </c>
      <c r="O132" s="329">
        <f t="shared" si="121"/>
        <v>0.47160352509597253</v>
      </c>
      <c r="P132" s="329">
        <f t="shared" si="121"/>
        <v>0.46450440636996571</v>
      </c>
      <c r="Q132" s="329">
        <f t="shared" si="121"/>
        <v>0.45563050796245713</v>
      </c>
      <c r="R132" s="329">
        <f t="shared" si="121"/>
        <v>0.44453813495307143</v>
      </c>
      <c r="S132" s="329">
        <f t="shared" si="121"/>
        <v>0.4306726686913393</v>
      </c>
      <c r="T132" s="329">
        <f t="shared" si="121"/>
        <v>0.41334083586417414</v>
      </c>
      <c r="U132" s="329">
        <f t="shared" si="121"/>
        <v>0.39167604483021767</v>
      </c>
      <c r="V132" s="430"/>
      <c r="W132" s="200" t="str">
        <f t="shared" si="54"/>
        <v>Large</v>
      </c>
      <c r="X132" s="198" t="str">
        <f t="shared" ref="X132:X195" si="122">_xlfn.CONCAT(A132,W132)</f>
        <v>C&amp;I Curtailment-Turnkey-Manual HVAC ControlLarge</v>
      </c>
      <c r="Y132" s="157" t="b">
        <f>ISNUMBER(MATCH(X132,'ProCESS CSE'!W:W,0))</f>
        <v>0</v>
      </c>
      <c r="Z132" s="157"/>
      <c r="AA132" s="157"/>
      <c r="AB132" s="157"/>
      <c r="AC132" s="157"/>
      <c r="AD132" s="157"/>
      <c r="AE132" s="157"/>
      <c r="AF132" s="157"/>
      <c r="AG132" s="157"/>
      <c r="AH132" s="157"/>
      <c r="AI132" s="157"/>
      <c r="AJ132" s="157"/>
      <c r="AK132" s="157"/>
      <c r="AL132" s="157"/>
      <c r="AM132" s="157"/>
      <c r="AN132" s="157"/>
      <c r="AO132" s="157"/>
      <c r="AP132" s="157"/>
    </row>
    <row r="133" spans="1:42" x14ac:dyDescent="0.25">
      <c r="A133" s="225" t="str">
        <f>'Participation Assumptions'!B134</f>
        <v>C&amp;I Curtailment-Turnkey-Manual HVAC Control</v>
      </c>
      <c r="B133" s="225" t="s">
        <v>397</v>
      </c>
      <c r="C133" s="225" t="str">
        <f>'Participation Assumptions'!C134</f>
        <v>Large Industrial</v>
      </c>
      <c r="D133" s="225" t="str">
        <f>'Participation Assumptions'!D134</f>
        <v>Miscellaneous</v>
      </c>
      <c r="E133" s="329">
        <f t="shared" ref="E133:U133" si="123">(50%-E143)</f>
        <v>0.49748766163793101</v>
      </c>
      <c r="F133" s="329">
        <f t="shared" si="123"/>
        <v>0.49665021551724137</v>
      </c>
      <c r="G133" s="329">
        <f t="shared" si="123"/>
        <v>0.49553362068965517</v>
      </c>
      <c r="H133" s="329">
        <f t="shared" si="123"/>
        <v>0.49404482758620688</v>
      </c>
      <c r="I133" s="329">
        <f t="shared" si="123"/>
        <v>0.49255603448275864</v>
      </c>
      <c r="J133" s="329">
        <f t="shared" si="123"/>
        <v>0.4906950431034483</v>
      </c>
      <c r="K133" s="329">
        <f t="shared" si="123"/>
        <v>0.48836880387931036</v>
      </c>
      <c r="L133" s="329">
        <f t="shared" si="123"/>
        <v>0.48546100484913796</v>
      </c>
      <c r="M133" s="329">
        <f t="shared" si="123"/>
        <v>0.48182625606142243</v>
      </c>
      <c r="N133" s="329">
        <f t="shared" si="123"/>
        <v>0.47728282007677802</v>
      </c>
      <c r="O133" s="329">
        <f t="shared" si="123"/>
        <v>0.47160352509597253</v>
      </c>
      <c r="P133" s="329">
        <f t="shared" si="123"/>
        <v>0.46450440636996571</v>
      </c>
      <c r="Q133" s="329">
        <f t="shared" si="123"/>
        <v>0.45563050796245713</v>
      </c>
      <c r="R133" s="329">
        <f t="shared" si="123"/>
        <v>0.44453813495307143</v>
      </c>
      <c r="S133" s="329">
        <f t="shared" si="123"/>
        <v>0.4306726686913393</v>
      </c>
      <c r="T133" s="329">
        <f t="shared" si="123"/>
        <v>0.41334083586417414</v>
      </c>
      <c r="U133" s="329">
        <f t="shared" si="123"/>
        <v>0.39167604483021767</v>
      </c>
      <c r="V133" s="430"/>
      <c r="W133" s="200" t="str">
        <f t="shared" ref="W133:W196" si="124">TRIM(IF(ISNUMBER(SEARCH("Interruptible", C133)), "Large", IFERROR(LEFT(C133,SEARCH(" ",C133)), C133)))</f>
        <v>Large</v>
      </c>
      <c r="X133" s="198" t="str">
        <f t="shared" si="122"/>
        <v>C&amp;I Curtailment-Turnkey-Manual HVAC ControlLarge</v>
      </c>
      <c r="Y133" s="157" t="b">
        <f>ISNUMBER(MATCH(X133,'ProCESS CSE'!W:W,0))</f>
        <v>0</v>
      </c>
      <c r="Z133" s="157"/>
      <c r="AA133" s="157"/>
      <c r="AB133" s="157"/>
      <c r="AC133" s="157"/>
      <c r="AD133" s="157"/>
      <c r="AE133" s="157"/>
      <c r="AF133" s="157"/>
      <c r="AG133" s="157"/>
      <c r="AH133" s="157"/>
      <c r="AI133" s="157"/>
      <c r="AJ133" s="157"/>
      <c r="AK133" s="157"/>
      <c r="AL133" s="157"/>
      <c r="AM133" s="157"/>
      <c r="AN133" s="157"/>
      <c r="AO133" s="157"/>
      <c r="AP133" s="157"/>
    </row>
    <row r="134" spans="1:42" x14ac:dyDescent="0.25">
      <c r="A134" s="225" t="str">
        <f>'Participation Assumptions'!B135</f>
        <v>C&amp;I Curtailment-Turnkey-Manual HVAC Control</v>
      </c>
      <c r="B134" s="225" t="s">
        <v>397</v>
      </c>
      <c r="C134" s="225" t="str">
        <f>'Participation Assumptions'!C135</f>
        <v>Large Industrial</v>
      </c>
      <c r="D134" s="225" t="str">
        <f>'Participation Assumptions'!D135</f>
        <v>Offices</v>
      </c>
      <c r="E134" s="329">
        <f t="shared" ref="E134:U134" si="125">(50%-E144)</f>
        <v>0.49748766163793101</v>
      </c>
      <c r="F134" s="329">
        <f t="shared" si="125"/>
        <v>0.49665021551724137</v>
      </c>
      <c r="G134" s="329">
        <f t="shared" si="125"/>
        <v>0.49553362068965517</v>
      </c>
      <c r="H134" s="329">
        <f t="shared" si="125"/>
        <v>0.49404482758620688</v>
      </c>
      <c r="I134" s="329">
        <f t="shared" si="125"/>
        <v>0.49255603448275864</v>
      </c>
      <c r="J134" s="329">
        <f t="shared" si="125"/>
        <v>0.4906950431034483</v>
      </c>
      <c r="K134" s="329">
        <f t="shared" si="125"/>
        <v>0.48836880387931036</v>
      </c>
      <c r="L134" s="329">
        <f t="shared" si="125"/>
        <v>0.48546100484913796</v>
      </c>
      <c r="M134" s="329">
        <f t="shared" si="125"/>
        <v>0.48182625606142243</v>
      </c>
      <c r="N134" s="329">
        <f t="shared" si="125"/>
        <v>0.47728282007677802</v>
      </c>
      <c r="O134" s="329">
        <f t="shared" si="125"/>
        <v>0.47160352509597253</v>
      </c>
      <c r="P134" s="329">
        <f t="shared" si="125"/>
        <v>0.46450440636996571</v>
      </c>
      <c r="Q134" s="329">
        <f t="shared" si="125"/>
        <v>0.45563050796245713</v>
      </c>
      <c r="R134" s="329">
        <f t="shared" si="125"/>
        <v>0.44453813495307143</v>
      </c>
      <c r="S134" s="329">
        <f t="shared" si="125"/>
        <v>0.4306726686913393</v>
      </c>
      <c r="T134" s="329">
        <f t="shared" si="125"/>
        <v>0.41334083586417414</v>
      </c>
      <c r="U134" s="329">
        <f t="shared" si="125"/>
        <v>0.39167604483021767</v>
      </c>
      <c r="V134" s="430"/>
      <c r="W134" s="200" t="str">
        <f t="shared" si="124"/>
        <v>Large</v>
      </c>
      <c r="X134" s="198" t="str">
        <f t="shared" si="122"/>
        <v>C&amp;I Curtailment-Turnkey-Manual HVAC ControlLarge</v>
      </c>
      <c r="Y134" s="157" t="b">
        <f>ISNUMBER(MATCH(X134,'ProCESS CSE'!W:W,0))</f>
        <v>0</v>
      </c>
      <c r="Z134" s="157"/>
      <c r="AA134" s="157"/>
      <c r="AB134" s="157"/>
      <c r="AC134" s="157"/>
      <c r="AD134" s="157"/>
      <c r="AE134" s="157"/>
      <c r="AF134" s="157"/>
      <c r="AG134" s="157"/>
      <c r="AH134" s="157"/>
      <c r="AI134" s="157"/>
      <c r="AJ134" s="157"/>
      <c r="AK134" s="157"/>
      <c r="AL134" s="157"/>
      <c r="AM134" s="157"/>
      <c r="AN134" s="157"/>
      <c r="AO134" s="157"/>
      <c r="AP134" s="157"/>
    </row>
    <row r="135" spans="1:42" x14ac:dyDescent="0.25">
      <c r="A135" s="225" t="str">
        <f>'Participation Assumptions'!B136</f>
        <v>C&amp;I Curtailment-Turnkey-Manual HVAC Control</v>
      </c>
      <c r="B135" s="225" t="s">
        <v>397</v>
      </c>
      <c r="C135" s="225" t="str">
        <f>'Participation Assumptions'!C136</f>
        <v>Large Industrial</v>
      </c>
      <c r="D135" s="225" t="str">
        <f>'Participation Assumptions'!D136</f>
        <v>Retail Trade</v>
      </c>
      <c r="E135" s="329">
        <f t="shared" ref="E135:U135" si="126">(50%-E145)</f>
        <v>0.49748766163793101</v>
      </c>
      <c r="F135" s="329">
        <f t="shared" si="126"/>
        <v>0.49665021551724137</v>
      </c>
      <c r="G135" s="329">
        <f t="shared" si="126"/>
        <v>0.49553362068965517</v>
      </c>
      <c r="H135" s="329">
        <f t="shared" si="126"/>
        <v>0.49404482758620688</v>
      </c>
      <c r="I135" s="329">
        <f t="shared" si="126"/>
        <v>0.49255603448275864</v>
      </c>
      <c r="J135" s="329">
        <f t="shared" si="126"/>
        <v>0.4906950431034483</v>
      </c>
      <c r="K135" s="329">
        <f t="shared" si="126"/>
        <v>0.48836880387931036</v>
      </c>
      <c r="L135" s="329">
        <f t="shared" si="126"/>
        <v>0.48546100484913796</v>
      </c>
      <c r="M135" s="329">
        <f t="shared" si="126"/>
        <v>0.48182625606142243</v>
      </c>
      <c r="N135" s="329">
        <f t="shared" si="126"/>
        <v>0.47728282007677802</v>
      </c>
      <c r="O135" s="329">
        <f t="shared" si="126"/>
        <v>0.47160352509597253</v>
      </c>
      <c r="P135" s="329">
        <f t="shared" si="126"/>
        <v>0.46450440636996571</v>
      </c>
      <c r="Q135" s="329">
        <f t="shared" si="126"/>
        <v>0.45563050796245713</v>
      </c>
      <c r="R135" s="329">
        <f t="shared" si="126"/>
        <v>0.44453813495307143</v>
      </c>
      <c r="S135" s="329">
        <f t="shared" si="126"/>
        <v>0.4306726686913393</v>
      </c>
      <c r="T135" s="329">
        <f t="shared" si="126"/>
        <v>0.41334083586417414</v>
      </c>
      <c r="U135" s="329">
        <f t="shared" si="126"/>
        <v>0.39167604483021767</v>
      </c>
      <c r="V135" s="430"/>
      <c r="W135" s="200" t="str">
        <f t="shared" si="124"/>
        <v>Large</v>
      </c>
      <c r="X135" s="198" t="str">
        <f t="shared" si="122"/>
        <v>C&amp;I Curtailment-Turnkey-Manual HVAC ControlLarge</v>
      </c>
      <c r="Y135" s="157" t="b">
        <f>ISNUMBER(MATCH(X135,'ProCESS CSE'!W:W,0))</f>
        <v>0</v>
      </c>
      <c r="Z135" s="157"/>
      <c r="AA135" s="157"/>
      <c r="AB135" s="157"/>
      <c r="AC135" s="157"/>
      <c r="AD135" s="157"/>
      <c r="AE135" s="157"/>
      <c r="AF135" s="157"/>
      <c r="AG135" s="157"/>
      <c r="AH135" s="157"/>
      <c r="AI135" s="157"/>
      <c r="AJ135" s="157"/>
      <c r="AK135" s="157"/>
      <c r="AL135" s="157"/>
      <c r="AM135" s="157"/>
      <c r="AN135" s="157"/>
      <c r="AO135" s="157"/>
      <c r="AP135" s="157"/>
    </row>
    <row r="136" spans="1:42" x14ac:dyDescent="0.25">
      <c r="A136" s="225" t="str">
        <f>'Participation Assumptions'!B137</f>
        <v>C&amp;I Curtailment-Turnkey-Manual HVAC Control</v>
      </c>
      <c r="B136" s="225" t="s">
        <v>397</v>
      </c>
      <c r="C136" s="225" t="str">
        <f>'Participation Assumptions'!C137</f>
        <v>Large Industrial</v>
      </c>
      <c r="D136" s="225" t="str">
        <f>'Participation Assumptions'!D137</f>
        <v>Services</v>
      </c>
      <c r="E136" s="329">
        <f t="shared" ref="E136:U136" si="127">(50%-E146)</f>
        <v>0.49748766163793101</v>
      </c>
      <c r="F136" s="329">
        <f t="shared" si="127"/>
        <v>0.49665021551724137</v>
      </c>
      <c r="G136" s="329">
        <f t="shared" si="127"/>
        <v>0.49553362068965517</v>
      </c>
      <c r="H136" s="329">
        <f t="shared" si="127"/>
        <v>0.49404482758620688</v>
      </c>
      <c r="I136" s="329">
        <f t="shared" si="127"/>
        <v>0.49255603448275864</v>
      </c>
      <c r="J136" s="329">
        <f t="shared" si="127"/>
        <v>0.4906950431034483</v>
      </c>
      <c r="K136" s="329">
        <f t="shared" si="127"/>
        <v>0.48836880387931036</v>
      </c>
      <c r="L136" s="329">
        <f t="shared" si="127"/>
        <v>0.48546100484913796</v>
      </c>
      <c r="M136" s="329">
        <f t="shared" si="127"/>
        <v>0.48182625606142243</v>
      </c>
      <c r="N136" s="329">
        <f t="shared" si="127"/>
        <v>0.47728282007677802</v>
      </c>
      <c r="O136" s="329">
        <f t="shared" si="127"/>
        <v>0.47160352509597253</v>
      </c>
      <c r="P136" s="329">
        <f t="shared" si="127"/>
        <v>0.46450440636996571</v>
      </c>
      <c r="Q136" s="329">
        <f t="shared" si="127"/>
        <v>0.45563050796245713</v>
      </c>
      <c r="R136" s="329">
        <f t="shared" si="127"/>
        <v>0.44453813495307143</v>
      </c>
      <c r="S136" s="329">
        <f t="shared" si="127"/>
        <v>0.4306726686913393</v>
      </c>
      <c r="T136" s="329">
        <f t="shared" si="127"/>
        <v>0.41334083586417414</v>
      </c>
      <c r="U136" s="329">
        <f t="shared" si="127"/>
        <v>0.39167604483021767</v>
      </c>
      <c r="V136" s="430"/>
      <c r="W136" s="200" t="str">
        <f t="shared" si="124"/>
        <v>Large</v>
      </c>
      <c r="X136" s="198" t="str">
        <f t="shared" si="122"/>
        <v>C&amp;I Curtailment-Turnkey-Manual HVAC ControlLarge</v>
      </c>
      <c r="Y136" s="157" t="b">
        <f>ISNUMBER(MATCH(X136,'ProCESS CSE'!W:W,0))</f>
        <v>0</v>
      </c>
      <c r="Z136" s="157"/>
      <c r="AA136" s="157"/>
      <c r="AB136" s="157"/>
      <c r="AC136" s="157"/>
      <c r="AD136" s="157"/>
      <c r="AE136" s="157"/>
      <c r="AF136" s="157"/>
      <c r="AG136" s="157"/>
      <c r="AH136" s="157"/>
      <c r="AI136" s="157"/>
      <c r="AJ136" s="157"/>
      <c r="AK136" s="157"/>
      <c r="AL136" s="157"/>
      <c r="AM136" s="157"/>
      <c r="AN136" s="157"/>
      <c r="AO136" s="157"/>
      <c r="AP136" s="157"/>
    </row>
    <row r="137" spans="1:42" x14ac:dyDescent="0.25">
      <c r="A137" s="225" t="str">
        <f>'Participation Assumptions'!B138</f>
        <v>C&amp;I Curtailment-Turnkey-Manual HVAC Control</v>
      </c>
      <c r="B137" s="225" t="s">
        <v>397</v>
      </c>
      <c r="C137" s="225" t="str">
        <f>'Participation Assumptions'!C138</f>
        <v>Interruptible Rider</v>
      </c>
      <c r="D137" s="225" t="str">
        <f>'Participation Assumptions'!D138</f>
        <v>Manufacturing</v>
      </c>
      <c r="E137" s="329">
        <f t="shared" ref="E137:U137" si="128">(50%-E147)</f>
        <v>0.49748766163793101</v>
      </c>
      <c r="F137" s="329">
        <f t="shared" si="128"/>
        <v>0.49665021551724137</v>
      </c>
      <c r="G137" s="329">
        <f t="shared" si="128"/>
        <v>0.49553362068965517</v>
      </c>
      <c r="H137" s="329">
        <f t="shared" si="128"/>
        <v>0.49404482758620688</v>
      </c>
      <c r="I137" s="329">
        <f t="shared" si="128"/>
        <v>0.49255603448275864</v>
      </c>
      <c r="J137" s="329">
        <f t="shared" si="128"/>
        <v>0.4906950431034483</v>
      </c>
      <c r="K137" s="329">
        <f t="shared" si="128"/>
        <v>0.48836880387931036</v>
      </c>
      <c r="L137" s="329">
        <f t="shared" si="128"/>
        <v>0.48546100484913796</v>
      </c>
      <c r="M137" s="329">
        <f t="shared" si="128"/>
        <v>0.48182625606142243</v>
      </c>
      <c r="N137" s="329">
        <f t="shared" si="128"/>
        <v>0.47728282007677802</v>
      </c>
      <c r="O137" s="329">
        <f t="shared" si="128"/>
        <v>0.47160352509597253</v>
      </c>
      <c r="P137" s="329">
        <f t="shared" si="128"/>
        <v>0.46450440636996571</v>
      </c>
      <c r="Q137" s="329">
        <f t="shared" si="128"/>
        <v>0.45563050796245713</v>
      </c>
      <c r="R137" s="329">
        <f t="shared" si="128"/>
        <v>0.44453813495307143</v>
      </c>
      <c r="S137" s="329">
        <f t="shared" si="128"/>
        <v>0.4306726686913393</v>
      </c>
      <c r="T137" s="329">
        <f t="shared" si="128"/>
        <v>0.41334083586417414</v>
      </c>
      <c r="U137" s="329">
        <f t="shared" si="128"/>
        <v>0.39167604483021767</v>
      </c>
      <c r="V137" s="430"/>
      <c r="W137" s="200" t="str">
        <f t="shared" si="124"/>
        <v>Large</v>
      </c>
      <c r="X137" s="198" t="str">
        <f t="shared" si="122"/>
        <v>C&amp;I Curtailment-Turnkey-Manual HVAC ControlLarge</v>
      </c>
      <c r="Y137" s="157" t="b">
        <f>ISNUMBER(MATCH(X137,'ProCESS CSE'!W:W,0))</f>
        <v>0</v>
      </c>
      <c r="Z137" s="157"/>
      <c r="AA137" s="157"/>
      <c r="AB137" s="157"/>
      <c r="AC137" s="157"/>
      <c r="AD137" s="157"/>
      <c r="AE137" s="157"/>
      <c r="AF137" s="157"/>
      <c r="AG137" s="157"/>
      <c r="AH137" s="157"/>
      <c r="AI137" s="157"/>
      <c r="AJ137" s="157"/>
      <c r="AK137" s="157"/>
      <c r="AL137" s="157"/>
      <c r="AM137" s="157"/>
      <c r="AN137" s="157"/>
      <c r="AO137" s="157"/>
      <c r="AP137" s="157"/>
    </row>
    <row r="138" spans="1:42" x14ac:dyDescent="0.25">
      <c r="A138" s="225" t="str">
        <f>'Participation Assumptions'!B139</f>
        <v>C&amp;I Curtailment-Turnkey-Manual HVAC Control</v>
      </c>
      <c r="B138" s="225" t="s">
        <v>397</v>
      </c>
      <c r="C138" s="225" t="str">
        <f>'Participation Assumptions'!C139</f>
        <v>Interruptible Rider</v>
      </c>
      <c r="D138" s="225" t="str">
        <f>'Participation Assumptions'!D139</f>
        <v>Miscellaneous</v>
      </c>
      <c r="E138" s="329">
        <f t="shared" ref="E138:U138" si="129">(50%-E148)</f>
        <v>0.49748766163793101</v>
      </c>
      <c r="F138" s="329">
        <f t="shared" si="129"/>
        <v>0.49665021551724137</v>
      </c>
      <c r="G138" s="329">
        <f t="shared" si="129"/>
        <v>0.49553362068965517</v>
      </c>
      <c r="H138" s="329">
        <f t="shared" si="129"/>
        <v>0.49404482758620688</v>
      </c>
      <c r="I138" s="329">
        <f t="shared" si="129"/>
        <v>0.49255603448275864</v>
      </c>
      <c r="J138" s="329">
        <f t="shared" si="129"/>
        <v>0.4906950431034483</v>
      </c>
      <c r="K138" s="329">
        <f t="shared" si="129"/>
        <v>0.48836880387931036</v>
      </c>
      <c r="L138" s="329">
        <f t="shared" si="129"/>
        <v>0.48546100484913796</v>
      </c>
      <c r="M138" s="329">
        <f t="shared" si="129"/>
        <v>0.48182625606142243</v>
      </c>
      <c r="N138" s="329">
        <f t="shared" si="129"/>
        <v>0.47728282007677802</v>
      </c>
      <c r="O138" s="329">
        <f t="shared" si="129"/>
        <v>0.47160352509597253</v>
      </c>
      <c r="P138" s="329">
        <f t="shared" si="129"/>
        <v>0.46450440636996571</v>
      </c>
      <c r="Q138" s="329">
        <f t="shared" si="129"/>
        <v>0.45563050796245713</v>
      </c>
      <c r="R138" s="329">
        <f t="shared" si="129"/>
        <v>0.44453813495307143</v>
      </c>
      <c r="S138" s="329">
        <f t="shared" si="129"/>
        <v>0.4306726686913393</v>
      </c>
      <c r="T138" s="329">
        <f t="shared" si="129"/>
        <v>0.41334083586417414</v>
      </c>
      <c r="U138" s="329">
        <f t="shared" si="129"/>
        <v>0.39167604483021767</v>
      </c>
      <c r="V138" s="430"/>
      <c r="W138" s="200" t="str">
        <f t="shared" si="124"/>
        <v>Large</v>
      </c>
      <c r="X138" s="198" t="str">
        <f t="shared" si="122"/>
        <v>C&amp;I Curtailment-Turnkey-Manual HVAC ControlLarge</v>
      </c>
      <c r="Y138" s="157" t="b">
        <f>ISNUMBER(MATCH(X138,'ProCESS CSE'!W:W,0))</f>
        <v>0</v>
      </c>
      <c r="Z138" s="157"/>
      <c r="AA138" s="157"/>
      <c r="AB138" s="157"/>
      <c r="AC138" s="157"/>
      <c r="AD138" s="157"/>
      <c r="AE138" s="157"/>
      <c r="AF138" s="157"/>
      <c r="AG138" s="157"/>
      <c r="AH138" s="157"/>
      <c r="AI138" s="157"/>
      <c r="AJ138" s="157"/>
      <c r="AK138" s="157"/>
      <c r="AL138" s="157"/>
      <c r="AM138" s="157"/>
      <c r="AN138" s="157"/>
      <c r="AO138" s="157"/>
      <c r="AP138" s="157"/>
    </row>
    <row r="139" spans="1:42" x14ac:dyDescent="0.25">
      <c r="A139" s="225" t="str">
        <f>'Participation Assumptions'!B140</f>
        <v>C&amp;I Curtailment-Turnkey-Manual HVAC Control</v>
      </c>
      <c r="B139" s="225" t="s">
        <v>397</v>
      </c>
      <c r="C139" s="225" t="str">
        <f>'Participation Assumptions'!C140</f>
        <v>Interruptible Rider</v>
      </c>
      <c r="D139" s="225" t="str">
        <f>'Participation Assumptions'!D140</f>
        <v>Retail Trade</v>
      </c>
      <c r="E139" s="329">
        <f t="shared" ref="E139:U139" si="130">(50%-E149)</f>
        <v>0.49748766163793101</v>
      </c>
      <c r="F139" s="329">
        <f t="shared" si="130"/>
        <v>0.49665021551724137</v>
      </c>
      <c r="G139" s="329">
        <f t="shared" si="130"/>
        <v>0.49553362068965517</v>
      </c>
      <c r="H139" s="329">
        <f t="shared" si="130"/>
        <v>0.49404482758620688</v>
      </c>
      <c r="I139" s="329">
        <f t="shared" si="130"/>
        <v>0.49255603448275864</v>
      </c>
      <c r="J139" s="329">
        <f t="shared" si="130"/>
        <v>0.4906950431034483</v>
      </c>
      <c r="K139" s="329">
        <f t="shared" si="130"/>
        <v>0.48836880387931036</v>
      </c>
      <c r="L139" s="329">
        <f t="shared" si="130"/>
        <v>0.48546100484913796</v>
      </c>
      <c r="M139" s="329">
        <f t="shared" si="130"/>
        <v>0.48182625606142243</v>
      </c>
      <c r="N139" s="329">
        <f t="shared" si="130"/>
        <v>0.47728282007677802</v>
      </c>
      <c r="O139" s="329">
        <f t="shared" si="130"/>
        <v>0.47160352509597253</v>
      </c>
      <c r="P139" s="329">
        <f t="shared" si="130"/>
        <v>0.46450440636996571</v>
      </c>
      <c r="Q139" s="329">
        <f t="shared" si="130"/>
        <v>0.45563050796245713</v>
      </c>
      <c r="R139" s="329">
        <f t="shared" si="130"/>
        <v>0.44453813495307143</v>
      </c>
      <c r="S139" s="329">
        <f t="shared" si="130"/>
        <v>0.4306726686913393</v>
      </c>
      <c r="T139" s="329">
        <f t="shared" si="130"/>
        <v>0.41334083586417414</v>
      </c>
      <c r="U139" s="329">
        <f t="shared" si="130"/>
        <v>0.39167604483021767</v>
      </c>
      <c r="V139" s="430"/>
      <c r="W139" s="200" t="str">
        <f t="shared" si="124"/>
        <v>Large</v>
      </c>
      <c r="X139" s="198" t="str">
        <f t="shared" si="122"/>
        <v>C&amp;I Curtailment-Turnkey-Manual HVAC ControlLarge</v>
      </c>
      <c r="Y139" s="157" t="b">
        <f>ISNUMBER(MATCH(X139,'ProCESS CSE'!W:W,0))</f>
        <v>0</v>
      </c>
      <c r="Z139" s="157"/>
      <c r="AA139" s="157"/>
      <c r="AB139" s="157"/>
      <c r="AC139" s="157"/>
      <c r="AD139" s="157"/>
      <c r="AE139" s="157"/>
      <c r="AF139" s="157"/>
      <c r="AG139" s="157"/>
      <c r="AH139" s="157"/>
      <c r="AI139" s="157"/>
      <c r="AJ139" s="157"/>
      <c r="AK139" s="157"/>
      <c r="AL139" s="157"/>
      <c r="AM139" s="157"/>
      <c r="AN139" s="157"/>
      <c r="AO139" s="157"/>
      <c r="AP139" s="157"/>
    </row>
    <row r="140" spans="1:42" ht="14.55" customHeight="1" x14ac:dyDescent="0.25">
      <c r="A140" s="225" t="str">
        <f>'Participation Assumptions'!B141</f>
        <v>C&amp;I Curtailment-Turnkey-Auto-DR HVAC Control</v>
      </c>
      <c r="B140" s="225" t="s">
        <v>397</v>
      </c>
      <c r="C140" s="225" t="str">
        <f>'Participation Assumptions'!C141</f>
        <v>Large Commercial</v>
      </c>
      <c r="D140" s="225" t="str">
        <f>'Participation Assumptions'!D141</f>
        <v>Offices</v>
      </c>
      <c r="E140" s="330">
        <f>IFERROR((F140/G140)*F140,0)</f>
        <v>2.512338362068964E-3</v>
      </c>
      <c r="F140" s="330">
        <f>IFERROR((G140/H140)*G140,0)</f>
        <v>3.3497844827586197E-3</v>
      </c>
      <c r="G140" s="330">
        <f>AVERAGEIF('ProCESS CSE'!$W:$W,'Control Strategy Eligibility'!$X140,'ProCESS CSE'!P:P)*0.5</f>
        <v>4.4663793103448274E-3</v>
      </c>
      <c r="H140" s="330">
        <f>AVERAGEIF('ProCESS CSE'!$W:$W,'Control Strategy Eligibility'!$X140,'ProCESS CSE'!Q:Q)*0.5</f>
        <v>5.9551724137931047E-3</v>
      </c>
      <c r="I140" s="330">
        <f>AVERAGEIF('ProCESS CSE'!$W:$W,'Control Strategy Eligibility'!$X140,'ProCESS CSE'!R:R)*0.5</f>
        <v>7.4439655172413794E-3</v>
      </c>
      <c r="J140" s="330">
        <f>IFERROR(MIN(1,(I140/H140)*I140),0)</f>
        <v>9.3049568965517231E-3</v>
      </c>
      <c r="K140" s="330">
        <f t="shared" ref="K140:U140" si="131">IFERROR(MIN(1,(J140/I140)*J140),0)</f>
        <v>1.1631196120689653E-2</v>
      </c>
      <c r="L140" s="330">
        <f t="shared" si="131"/>
        <v>1.4538995150862063E-2</v>
      </c>
      <c r="M140" s="330">
        <f t="shared" si="131"/>
        <v>1.8173743938577576E-2</v>
      </c>
      <c r="N140" s="330">
        <f t="shared" si="131"/>
        <v>2.2717179923221965E-2</v>
      </c>
      <c r="O140" s="330">
        <f t="shared" si="131"/>
        <v>2.8396474904027452E-2</v>
      </c>
      <c r="P140" s="330">
        <f t="shared" si="131"/>
        <v>3.5495593630034308E-2</v>
      </c>
      <c r="Q140" s="330">
        <f t="shared" si="131"/>
        <v>4.4369492037542875E-2</v>
      </c>
      <c r="R140" s="330">
        <f t="shared" si="131"/>
        <v>5.5461865046928585E-2</v>
      </c>
      <c r="S140" s="330">
        <f t="shared" si="131"/>
        <v>6.9327331308660714E-2</v>
      </c>
      <c r="T140" s="330">
        <f t="shared" si="131"/>
        <v>8.6659164135825875E-2</v>
      </c>
      <c r="U140" s="330">
        <f t="shared" si="131"/>
        <v>0.10832395516978233</v>
      </c>
      <c r="V140" s="431" t="s">
        <v>308</v>
      </c>
      <c r="W140" s="200" t="str">
        <f t="shared" si="124"/>
        <v>Large</v>
      </c>
      <c r="X140" s="198" t="str">
        <f t="shared" si="122"/>
        <v>C&amp;I Curtailment-Turnkey-Auto-DR HVAC ControlLarge</v>
      </c>
      <c r="Y140" s="157" t="b">
        <f>ISNUMBER(MATCH(X140,'ProCESS CSE'!W:W,0))</f>
        <v>1</v>
      </c>
      <c r="Z140" s="318">
        <v>0.1</v>
      </c>
      <c r="AA140" s="318">
        <v>0.1</v>
      </c>
      <c r="AB140" s="318">
        <v>0.1</v>
      </c>
      <c r="AC140" s="318">
        <v>0.19575316165799508</v>
      </c>
      <c r="AD140" s="318">
        <v>0.28313989845897752</v>
      </c>
      <c r="AE140" s="318">
        <v>0.35798933564289098</v>
      </c>
      <c r="AF140" s="318">
        <v>0.41518349853860409</v>
      </c>
      <c r="AG140" s="318">
        <v>0.46786252239248466</v>
      </c>
      <c r="AH140" s="318">
        <v>0.51493832865960798</v>
      </c>
      <c r="AI140" s="318">
        <v>0.56371641669548356</v>
      </c>
      <c r="AJ140" s="318">
        <v>0.60774106307021702</v>
      </c>
      <c r="AK140" s="318">
        <v>0.6502785388385558</v>
      </c>
      <c r="AL140" s="318">
        <v>0.68976988512926918</v>
      </c>
      <c r="AM140" s="318">
        <v>0.727955284172913</v>
      </c>
      <c r="AN140" s="318">
        <v>0.76301137737406033</v>
      </c>
      <c r="AO140" s="318">
        <v>0.7966363863482544</v>
      </c>
      <c r="AP140" s="318">
        <f>AO140</f>
        <v>0.7966363863482544</v>
      </c>
    </row>
    <row r="141" spans="1:42" ht="14.4" x14ac:dyDescent="0.25">
      <c r="A141" s="225" t="str">
        <f>'Participation Assumptions'!B142</f>
        <v>C&amp;I Curtailment-Turnkey-Auto-DR HVAC Control</v>
      </c>
      <c r="B141" s="225" t="s">
        <v>397</v>
      </c>
      <c r="C141" s="225" t="str">
        <f>'Participation Assumptions'!C142</f>
        <v>Large Commercial</v>
      </c>
      <c r="D141" s="225" t="str">
        <f>'Participation Assumptions'!D142</f>
        <v>Services</v>
      </c>
      <c r="E141" s="330">
        <f t="shared" ref="E141:E146" si="132">(F141/G141)*F141</f>
        <v>2.512338362068964E-3</v>
      </c>
      <c r="F141" s="330">
        <f t="shared" ref="F141:F146" si="133">(G141/H141)*G141</f>
        <v>3.3497844827586197E-3</v>
      </c>
      <c r="G141" s="330">
        <f>AVERAGEIF('ProCESS CSE'!$W:$W,'Control Strategy Eligibility'!$X141,'ProCESS CSE'!P:P)*0.5</f>
        <v>4.4663793103448274E-3</v>
      </c>
      <c r="H141" s="330">
        <f>AVERAGEIF('ProCESS CSE'!$W:$W,'Control Strategy Eligibility'!$X141,'ProCESS CSE'!Q:Q)*0.5</f>
        <v>5.9551724137931047E-3</v>
      </c>
      <c r="I141" s="330">
        <f>AVERAGEIF('ProCESS CSE'!$W:$W,'Control Strategy Eligibility'!$X141,'ProCESS CSE'!R:R)*0.5</f>
        <v>7.4439655172413794E-3</v>
      </c>
      <c r="J141" s="330">
        <f t="shared" ref="J141:J146" si="134">MIN(1,(I141/H141)*I141)</f>
        <v>9.3049568965517231E-3</v>
      </c>
      <c r="K141" s="330">
        <f t="shared" ref="K141:K146" si="135">MIN(1,(J141/I141)*J141)</f>
        <v>1.1631196120689653E-2</v>
      </c>
      <c r="L141" s="330">
        <f t="shared" ref="L141:L146" si="136">MIN(1,(K141/J141)*K141)</f>
        <v>1.4538995150862063E-2</v>
      </c>
      <c r="M141" s="330">
        <f t="shared" ref="M141:M146" si="137">MIN(1,(L141/K141)*L141)</f>
        <v>1.8173743938577576E-2</v>
      </c>
      <c r="N141" s="330">
        <f t="shared" ref="N141:N146" si="138">MIN(1,(M141/L141)*M141)</f>
        <v>2.2717179923221965E-2</v>
      </c>
      <c r="O141" s="330">
        <f t="shared" ref="O141:O146" si="139">MIN(1,(N141/M141)*N141)</f>
        <v>2.8396474904027452E-2</v>
      </c>
      <c r="P141" s="330">
        <f t="shared" ref="P141:P146" si="140">MIN(1,(O141/N141)*O141)</f>
        <v>3.5495593630034308E-2</v>
      </c>
      <c r="Q141" s="330">
        <f t="shared" ref="Q141:Q146" si="141">MIN(1,(P141/O141)*P141)</f>
        <v>4.4369492037542875E-2</v>
      </c>
      <c r="R141" s="330">
        <f t="shared" ref="R141:R146" si="142">MIN(1,(Q141/P141)*Q141)</f>
        <v>5.5461865046928585E-2</v>
      </c>
      <c r="S141" s="330">
        <f t="shared" ref="S141:S146" si="143">MIN(1,(R141/Q141)*R141)</f>
        <v>6.9327331308660714E-2</v>
      </c>
      <c r="T141" s="330">
        <f t="shared" ref="T141:T146" si="144">MIN(1,(S141/R141)*S141)</f>
        <v>8.6659164135825875E-2</v>
      </c>
      <c r="U141" s="330">
        <f t="shared" ref="U141:U146" si="145">MIN(1,(T141/S141)*T141)</f>
        <v>0.10832395516978233</v>
      </c>
      <c r="V141" s="432"/>
      <c r="W141" s="200" t="str">
        <f t="shared" si="124"/>
        <v>Large</v>
      </c>
      <c r="X141" s="198" t="str">
        <f t="shared" si="122"/>
        <v>C&amp;I Curtailment-Turnkey-Auto-DR HVAC ControlLarge</v>
      </c>
      <c r="Y141" s="157" t="b">
        <f>ISNUMBER(MATCH(X141,'ProCESS CSE'!W:W,0))</f>
        <v>1</v>
      </c>
      <c r="Z141" s="318">
        <f t="shared" ref="Z141:Z149" si="146">Z140</f>
        <v>0.1</v>
      </c>
      <c r="AA141" s="318">
        <f t="shared" ref="AA141:AA149" si="147">AA140</f>
        <v>0.1</v>
      </c>
      <c r="AB141" s="318">
        <f t="shared" ref="AB141:AB149" si="148">AB140</f>
        <v>0.1</v>
      </c>
      <c r="AC141" s="318">
        <f t="shared" ref="AC141:AC149" si="149">AC140</f>
        <v>0.19575316165799508</v>
      </c>
      <c r="AD141" s="318">
        <f t="shared" ref="AD141:AD149" si="150">AD140</f>
        <v>0.28313989845897752</v>
      </c>
      <c r="AE141" s="318">
        <f t="shared" ref="AE141:AE149" si="151">AE140</f>
        <v>0.35798933564289098</v>
      </c>
      <c r="AF141" s="318">
        <f t="shared" ref="AF141:AF149" si="152">AF140</f>
        <v>0.41518349853860409</v>
      </c>
      <c r="AG141" s="318">
        <f t="shared" ref="AG141:AG149" si="153">AG140</f>
        <v>0.46786252239248466</v>
      </c>
      <c r="AH141" s="318">
        <f t="shared" ref="AH141:AH149" si="154">AH140</f>
        <v>0.51493832865960798</v>
      </c>
      <c r="AI141" s="318">
        <f t="shared" ref="AI141:AI149" si="155">AI140</f>
        <v>0.56371641669548356</v>
      </c>
      <c r="AJ141" s="318">
        <f t="shared" ref="AJ141:AJ149" si="156">AJ140</f>
        <v>0.60774106307021702</v>
      </c>
      <c r="AK141" s="318">
        <f t="shared" ref="AK141:AK149" si="157">AK140</f>
        <v>0.6502785388385558</v>
      </c>
      <c r="AL141" s="318">
        <f t="shared" ref="AL141:AL149" si="158">AL140</f>
        <v>0.68976988512926918</v>
      </c>
      <c r="AM141" s="318">
        <f t="shared" ref="AM141:AM149" si="159">AM140</f>
        <v>0.727955284172913</v>
      </c>
      <c r="AN141" s="318">
        <f t="shared" ref="AN141:AN149" si="160">AN140</f>
        <v>0.76301137737406033</v>
      </c>
      <c r="AO141" s="318">
        <f t="shared" ref="AO141:AO149" si="161">AO140</f>
        <v>0.7966363863482544</v>
      </c>
      <c r="AP141" s="318">
        <f t="shared" ref="AP141:AP149" si="162">AP140</f>
        <v>0.7966363863482544</v>
      </c>
    </row>
    <row r="142" spans="1:42" ht="14.4" x14ac:dyDescent="0.25">
      <c r="A142" s="225" t="str">
        <f>'Participation Assumptions'!B143</f>
        <v>C&amp;I Curtailment-Turnkey-Auto-DR HVAC Control</v>
      </c>
      <c r="B142" s="225" t="s">
        <v>397</v>
      </c>
      <c r="C142" s="225" t="str">
        <f>'Participation Assumptions'!C143</f>
        <v>Large Industrial</v>
      </c>
      <c r="D142" s="225" t="str">
        <f>'Participation Assumptions'!D143</f>
        <v>Manufacturing</v>
      </c>
      <c r="E142" s="330">
        <f t="shared" si="132"/>
        <v>2.512338362068964E-3</v>
      </c>
      <c r="F142" s="330">
        <f t="shared" si="133"/>
        <v>3.3497844827586197E-3</v>
      </c>
      <c r="G142" s="330">
        <f>AVERAGEIF('ProCESS CSE'!$W:$W,'Control Strategy Eligibility'!$X142,'ProCESS CSE'!P:P)*0.5</f>
        <v>4.4663793103448274E-3</v>
      </c>
      <c r="H142" s="330">
        <f>AVERAGEIF('ProCESS CSE'!$W:$W,'Control Strategy Eligibility'!$X142,'ProCESS CSE'!Q:Q)*0.5</f>
        <v>5.9551724137931047E-3</v>
      </c>
      <c r="I142" s="330">
        <f>AVERAGEIF('ProCESS CSE'!$W:$W,'Control Strategy Eligibility'!$X142,'ProCESS CSE'!R:R)*0.5</f>
        <v>7.4439655172413794E-3</v>
      </c>
      <c r="J142" s="330">
        <f t="shared" si="134"/>
        <v>9.3049568965517231E-3</v>
      </c>
      <c r="K142" s="330">
        <f t="shared" si="135"/>
        <v>1.1631196120689653E-2</v>
      </c>
      <c r="L142" s="330">
        <f t="shared" si="136"/>
        <v>1.4538995150862063E-2</v>
      </c>
      <c r="M142" s="330">
        <f t="shared" si="137"/>
        <v>1.8173743938577576E-2</v>
      </c>
      <c r="N142" s="330">
        <f t="shared" si="138"/>
        <v>2.2717179923221965E-2</v>
      </c>
      <c r="O142" s="330">
        <f t="shared" si="139"/>
        <v>2.8396474904027452E-2</v>
      </c>
      <c r="P142" s="330">
        <f t="shared" si="140"/>
        <v>3.5495593630034308E-2</v>
      </c>
      <c r="Q142" s="330">
        <f t="shared" si="141"/>
        <v>4.4369492037542875E-2</v>
      </c>
      <c r="R142" s="330">
        <f t="shared" si="142"/>
        <v>5.5461865046928585E-2</v>
      </c>
      <c r="S142" s="330">
        <f t="shared" si="143"/>
        <v>6.9327331308660714E-2</v>
      </c>
      <c r="T142" s="330">
        <f t="shared" si="144"/>
        <v>8.6659164135825875E-2</v>
      </c>
      <c r="U142" s="330">
        <f t="shared" si="145"/>
        <v>0.10832395516978233</v>
      </c>
      <c r="V142" s="431"/>
      <c r="W142" s="200" t="str">
        <f t="shared" si="124"/>
        <v>Large</v>
      </c>
      <c r="X142" s="198" t="str">
        <f t="shared" si="122"/>
        <v>C&amp;I Curtailment-Turnkey-Auto-DR HVAC ControlLarge</v>
      </c>
      <c r="Y142" s="157" t="b">
        <f>ISNUMBER(MATCH(X142,'ProCESS CSE'!W:W,0))</f>
        <v>1</v>
      </c>
      <c r="Z142" s="318">
        <f t="shared" si="146"/>
        <v>0.1</v>
      </c>
      <c r="AA142" s="318">
        <f t="shared" si="147"/>
        <v>0.1</v>
      </c>
      <c r="AB142" s="318">
        <f t="shared" si="148"/>
        <v>0.1</v>
      </c>
      <c r="AC142" s="318">
        <f t="shared" si="149"/>
        <v>0.19575316165799508</v>
      </c>
      <c r="AD142" s="318">
        <f t="shared" si="150"/>
        <v>0.28313989845897752</v>
      </c>
      <c r="AE142" s="318">
        <f t="shared" si="151"/>
        <v>0.35798933564289098</v>
      </c>
      <c r="AF142" s="318">
        <f t="shared" si="152"/>
        <v>0.41518349853860409</v>
      </c>
      <c r="AG142" s="318">
        <f t="shared" si="153"/>
        <v>0.46786252239248466</v>
      </c>
      <c r="AH142" s="318">
        <f t="shared" si="154"/>
        <v>0.51493832865960798</v>
      </c>
      <c r="AI142" s="318">
        <f t="shared" si="155"/>
        <v>0.56371641669548356</v>
      </c>
      <c r="AJ142" s="318">
        <f t="shared" si="156"/>
        <v>0.60774106307021702</v>
      </c>
      <c r="AK142" s="318">
        <f t="shared" si="157"/>
        <v>0.6502785388385558</v>
      </c>
      <c r="AL142" s="318">
        <f t="shared" si="158"/>
        <v>0.68976988512926918</v>
      </c>
      <c r="AM142" s="318">
        <f t="shared" si="159"/>
        <v>0.727955284172913</v>
      </c>
      <c r="AN142" s="318">
        <f t="shared" si="160"/>
        <v>0.76301137737406033</v>
      </c>
      <c r="AO142" s="318">
        <f t="shared" si="161"/>
        <v>0.7966363863482544</v>
      </c>
      <c r="AP142" s="318">
        <f t="shared" si="162"/>
        <v>0.7966363863482544</v>
      </c>
    </row>
    <row r="143" spans="1:42" ht="14.4" x14ac:dyDescent="0.25">
      <c r="A143" s="225" t="str">
        <f>'Participation Assumptions'!B144</f>
        <v>C&amp;I Curtailment-Turnkey-Auto-DR HVAC Control</v>
      </c>
      <c r="B143" s="225" t="s">
        <v>397</v>
      </c>
      <c r="C143" s="225" t="str">
        <f>'Participation Assumptions'!C144</f>
        <v>Large Industrial</v>
      </c>
      <c r="D143" s="225" t="str">
        <f>'Participation Assumptions'!D144</f>
        <v>Miscellaneous</v>
      </c>
      <c r="E143" s="330">
        <f t="shared" si="132"/>
        <v>2.512338362068964E-3</v>
      </c>
      <c r="F143" s="330">
        <f t="shared" si="133"/>
        <v>3.3497844827586197E-3</v>
      </c>
      <c r="G143" s="330">
        <f>AVERAGEIF('ProCESS CSE'!$W:$W,'Control Strategy Eligibility'!$X143,'ProCESS CSE'!P:P)*0.5</f>
        <v>4.4663793103448274E-3</v>
      </c>
      <c r="H143" s="330">
        <f>AVERAGEIF('ProCESS CSE'!$W:$W,'Control Strategy Eligibility'!$X143,'ProCESS CSE'!Q:Q)*0.5</f>
        <v>5.9551724137931047E-3</v>
      </c>
      <c r="I143" s="330">
        <f>AVERAGEIF('ProCESS CSE'!$W:$W,'Control Strategy Eligibility'!$X143,'ProCESS CSE'!R:R)*0.5</f>
        <v>7.4439655172413794E-3</v>
      </c>
      <c r="J143" s="330">
        <f t="shared" si="134"/>
        <v>9.3049568965517231E-3</v>
      </c>
      <c r="K143" s="330">
        <f t="shared" si="135"/>
        <v>1.1631196120689653E-2</v>
      </c>
      <c r="L143" s="330">
        <f t="shared" si="136"/>
        <v>1.4538995150862063E-2</v>
      </c>
      <c r="M143" s="330">
        <f t="shared" si="137"/>
        <v>1.8173743938577576E-2</v>
      </c>
      <c r="N143" s="330">
        <f t="shared" si="138"/>
        <v>2.2717179923221965E-2</v>
      </c>
      <c r="O143" s="330">
        <f t="shared" si="139"/>
        <v>2.8396474904027452E-2</v>
      </c>
      <c r="P143" s="330">
        <f t="shared" si="140"/>
        <v>3.5495593630034308E-2</v>
      </c>
      <c r="Q143" s="330">
        <f t="shared" si="141"/>
        <v>4.4369492037542875E-2</v>
      </c>
      <c r="R143" s="330">
        <f t="shared" si="142"/>
        <v>5.5461865046928585E-2</v>
      </c>
      <c r="S143" s="330">
        <f t="shared" si="143"/>
        <v>6.9327331308660714E-2</v>
      </c>
      <c r="T143" s="330">
        <f t="shared" si="144"/>
        <v>8.6659164135825875E-2</v>
      </c>
      <c r="U143" s="330">
        <f t="shared" si="145"/>
        <v>0.10832395516978233</v>
      </c>
      <c r="V143" s="431"/>
      <c r="W143" s="200" t="str">
        <f t="shared" si="124"/>
        <v>Large</v>
      </c>
      <c r="X143" s="198" t="str">
        <f t="shared" si="122"/>
        <v>C&amp;I Curtailment-Turnkey-Auto-DR HVAC ControlLarge</v>
      </c>
      <c r="Y143" s="157" t="b">
        <f>ISNUMBER(MATCH(X143,'ProCESS CSE'!W:W,0))</f>
        <v>1</v>
      </c>
      <c r="Z143" s="318">
        <f t="shared" si="146"/>
        <v>0.1</v>
      </c>
      <c r="AA143" s="318">
        <f t="shared" si="147"/>
        <v>0.1</v>
      </c>
      <c r="AB143" s="318">
        <f t="shared" si="148"/>
        <v>0.1</v>
      </c>
      <c r="AC143" s="318">
        <f t="shared" si="149"/>
        <v>0.19575316165799508</v>
      </c>
      <c r="AD143" s="318">
        <f t="shared" si="150"/>
        <v>0.28313989845897752</v>
      </c>
      <c r="AE143" s="318">
        <f t="shared" si="151"/>
        <v>0.35798933564289098</v>
      </c>
      <c r="AF143" s="318">
        <f t="shared" si="152"/>
        <v>0.41518349853860409</v>
      </c>
      <c r="AG143" s="318">
        <f t="shared" si="153"/>
        <v>0.46786252239248466</v>
      </c>
      <c r="AH143" s="318">
        <f t="shared" si="154"/>
        <v>0.51493832865960798</v>
      </c>
      <c r="AI143" s="318">
        <f t="shared" si="155"/>
        <v>0.56371641669548356</v>
      </c>
      <c r="AJ143" s="318">
        <f t="shared" si="156"/>
        <v>0.60774106307021702</v>
      </c>
      <c r="AK143" s="318">
        <f t="shared" si="157"/>
        <v>0.6502785388385558</v>
      </c>
      <c r="AL143" s="318">
        <f t="shared" si="158"/>
        <v>0.68976988512926918</v>
      </c>
      <c r="AM143" s="318">
        <f t="shared" si="159"/>
        <v>0.727955284172913</v>
      </c>
      <c r="AN143" s="318">
        <f t="shared" si="160"/>
        <v>0.76301137737406033</v>
      </c>
      <c r="AO143" s="318">
        <f t="shared" si="161"/>
        <v>0.7966363863482544</v>
      </c>
      <c r="AP143" s="318">
        <f t="shared" si="162"/>
        <v>0.7966363863482544</v>
      </c>
    </row>
    <row r="144" spans="1:42" ht="14.4" x14ac:dyDescent="0.25">
      <c r="A144" s="225" t="str">
        <f>'Participation Assumptions'!B145</f>
        <v>C&amp;I Curtailment-Turnkey-Auto-DR HVAC Control</v>
      </c>
      <c r="B144" s="225" t="s">
        <v>397</v>
      </c>
      <c r="C144" s="225" t="str">
        <f>'Participation Assumptions'!C145</f>
        <v>Large Industrial</v>
      </c>
      <c r="D144" s="225" t="str">
        <f>'Participation Assumptions'!D145</f>
        <v>Offices</v>
      </c>
      <c r="E144" s="330">
        <f t="shared" si="132"/>
        <v>2.512338362068964E-3</v>
      </c>
      <c r="F144" s="330">
        <f t="shared" si="133"/>
        <v>3.3497844827586197E-3</v>
      </c>
      <c r="G144" s="330">
        <f>AVERAGEIF('ProCESS CSE'!$W:$W,'Control Strategy Eligibility'!$X144,'ProCESS CSE'!P:P)*0.5</f>
        <v>4.4663793103448274E-3</v>
      </c>
      <c r="H144" s="330">
        <f>AVERAGEIF('ProCESS CSE'!$W:$W,'Control Strategy Eligibility'!$X144,'ProCESS CSE'!Q:Q)*0.5</f>
        <v>5.9551724137931047E-3</v>
      </c>
      <c r="I144" s="330">
        <f>AVERAGEIF('ProCESS CSE'!$W:$W,'Control Strategy Eligibility'!$X144,'ProCESS CSE'!R:R)*0.5</f>
        <v>7.4439655172413794E-3</v>
      </c>
      <c r="J144" s="330">
        <f t="shared" si="134"/>
        <v>9.3049568965517231E-3</v>
      </c>
      <c r="K144" s="330">
        <f t="shared" si="135"/>
        <v>1.1631196120689653E-2</v>
      </c>
      <c r="L144" s="330">
        <f t="shared" si="136"/>
        <v>1.4538995150862063E-2</v>
      </c>
      <c r="M144" s="330">
        <f t="shared" si="137"/>
        <v>1.8173743938577576E-2</v>
      </c>
      <c r="N144" s="330">
        <f t="shared" si="138"/>
        <v>2.2717179923221965E-2</v>
      </c>
      <c r="O144" s="330">
        <f t="shared" si="139"/>
        <v>2.8396474904027452E-2</v>
      </c>
      <c r="P144" s="330">
        <f t="shared" si="140"/>
        <v>3.5495593630034308E-2</v>
      </c>
      <c r="Q144" s="330">
        <f t="shared" si="141"/>
        <v>4.4369492037542875E-2</v>
      </c>
      <c r="R144" s="330">
        <f t="shared" si="142"/>
        <v>5.5461865046928585E-2</v>
      </c>
      <c r="S144" s="330">
        <f t="shared" si="143"/>
        <v>6.9327331308660714E-2</v>
      </c>
      <c r="T144" s="330">
        <f t="shared" si="144"/>
        <v>8.6659164135825875E-2</v>
      </c>
      <c r="U144" s="330">
        <f t="shared" si="145"/>
        <v>0.10832395516978233</v>
      </c>
      <c r="V144" s="431"/>
      <c r="W144" s="200" t="str">
        <f t="shared" si="124"/>
        <v>Large</v>
      </c>
      <c r="X144" s="198" t="str">
        <f t="shared" si="122"/>
        <v>C&amp;I Curtailment-Turnkey-Auto-DR HVAC ControlLarge</v>
      </c>
      <c r="Y144" s="157" t="b">
        <f>ISNUMBER(MATCH(X144,'ProCESS CSE'!W:W,0))</f>
        <v>1</v>
      </c>
      <c r="Z144" s="318">
        <f t="shared" si="146"/>
        <v>0.1</v>
      </c>
      <c r="AA144" s="318">
        <f t="shared" si="147"/>
        <v>0.1</v>
      </c>
      <c r="AB144" s="318">
        <f t="shared" si="148"/>
        <v>0.1</v>
      </c>
      <c r="AC144" s="318">
        <f t="shared" si="149"/>
        <v>0.19575316165799508</v>
      </c>
      <c r="AD144" s="318">
        <f t="shared" si="150"/>
        <v>0.28313989845897752</v>
      </c>
      <c r="AE144" s="318">
        <f t="shared" si="151"/>
        <v>0.35798933564289098</v>
      </c>
      <c r="AF144" s="318">
        <f t="shared" si="152"/>
        <v>0.41518349853860409</v>
      </c>
      <c r="AG144" s="318">
        <f t="shared" si="153"/>
        <v>0.46786252239248466</v>
      </c>
      <c r="AH144" s="318">
        <f t="shared" si="154"/>
        <v>0.51493832865960798</v>
      </c>
      <c r="AI144" s="318">
        <f t="shared" si="155"/>
        <v>0.56371641669548356</v>
      </c>
      <c r="AJ144" s="318">
        <f t="shared" si="156"/>
        <v>0.60774106307021702</v>
      </c>
      <c r="AK144" s="318">
        <f t="shared" si="157"/>
        <v>0.6502785388385558</v>
      </c>
      <c r="AL144" s="318">
        <f t="shared" si="158"/>
        <v>0.68976988512926918</v>
      </c>
      <c r="AM144" s="318">
        <f t="shared" si="159"/>
        <v>0.727955284172913</v>
      </c>
      <c r="AN144" s="318">
        <f t="shared" si="160"/>
        <v>0.76301137737406033</v>
      </c>
      <c r="AO144" s="318">
        <f t="shared" si="161"/>
        <v>0.7966363863482544</v>
      </c>
      <c r="AP144" s="318">
        <f t="shared" si="162"/>
        <v>0.7966363863482544</v>
      </c>
    </row>
    <row r="145" spans="1:42" ht="14.4" x14ac:dyDescent="0.25">
      <c r="A145" s="225" t="str">
        <f>'Participation Assumptions'!B146</f>
        <v>C&amp;I Curtailment-Turnkey-Auto-DR HVAC Control</v>
      </c>
      <c r="B145" s="225" t="s">
        <v>397</v>
      </c>
      <c r="C145" s="225" t="str">
        <f>'Participation Assumptions'!C146</f>
        <v>Large Industrial</v>
      </c>
      <c r="D145" s="225" t="str">
        <f>'Participation Assumptions'!D146</f>
        <v>Retail Trade</v>
      </c>
      <c r="E145" s="330">
        <f t="shared" si="132"/>
        <v>2.512338362068964E-3</v>
      </c>
      <c r="F145" s="330">
        <f t="shared" si="133"/>
        <v>3.3497844827586197E-3</v>
      </c>
      <c r="G145" s="330">
        <f>AVERAGEIF('ProCESS CSE'!$W:$W,'Control Strategy Eligibility'!$X145,'ProCESS CSE'!P:P)*0.5</f>
        <v>4.4663793103448274E-3</v>
      </c>
      <c r="H145" s="330">
        <f>AVERAGEIF('ProCESS CSE'!$W:$W,'Control Strategy Eligibility'!$X145,'ProCESS CSE'!Q:Q)*0.5</f>
        <v>5.9551724137931047E-3</v>
      </c>
      <c r="I145" s="330">
        <f>AVERAGEIF('ProCESS CSE'!$W:$W,'Control Strategy Eligibility'!$X145,'ProCESS CSE'!R:R)*0.5</f>
        <v>7.4439655172413794E-3</v>
      </c>
      <c r="J145" s="330">
        <f t="shared" si="134"/>
        <v>9.3049568965517231E-3</v>
      </c>
      <c r="K145" s="330">
        <f t="shared" si="135"/>
        <v>1.1631196120689653E-2</v>
      </c>
      <c r="L145" s="330">
        <f t="shared" si="136"/>
        <v>1.4538995150862063E-2</v>
      </c>
      <c r="M145" s="330">
        <f t="shared" si="137"/>
        <v>1.8173743938577576E-2</v>
      </c>
      <c r="N145" s="330">
        <f t="shared" si="138"/>
        <v>2.2717179923221965E-2</v>
      </c>
      <c r="O145" s="330">
        <f t="shared" si="139"/>
        <v>2.8396474904027452E-2</v>
      </c>
      <c r="P145" s="330">
        <f t="shared" si="140"/>
        <v>3.5495593630034308E-2</v>
      </c>
      <c r="Q145" s="330">
        <f t="shared" si="141"/>
        <v>4.4369492037542875E-2</v>
      </c>
      <c r="R145" s="330">
        <f t="shared" si="142"/>
        <v>5.5461865046928585E-2</v>
      </c>
      <c r="S145" s="330">
        <f t="shared" si="143"/>
        <v>6.9327331308660714E-2</v>
      </c>
      <c r="T145" s="330">
        <f t="shared" si="144"/>
        <v>8.6659164135825875E-2</v>
      </c>
      <c r="U145" s="330">
        <f t="shared" si="145"/>
        <v>0.10832395516978233</v>
      </c>
      <c r="V145" s="431"/>
      <c r="W145" s="200" t="str">
        <f t="shared" si="124"/>
        <v>Large</v>
      </c>
      <c r="X145" s="198" t="str">
        <f t="shared" si="122"/>
        <v>C&amp;I Curtailment-Turnkey-Auto-DR HVAC ControlLarge</v>
      </c>
      <c r="Y145" s="157" t="b">
        <f>ISNUMBER(MATCH(X145,'ProCESS CSE'!W:W,0))</f>
        <v>1</v>
      </c>
      <c r="Z145" s="318">
        <f t="shared" si="146"/>
        <v>0.1</v>
      </c>
      <c r="AA145" s="318">
        <f t="shared" si="147"/>
        <v>0.1</v>
      </c>
      <c r="AB145" s="318">
        <f t="shared" si="148"/>
        <v>0.1</v>
      </c>
      <c r="AC145" s="318">
        <f t="shared" si="149"/>
        <v>0.19575316165799508</v>
      </c>
      <c r="AD145" s="318">
        <f t="shared" si="150"/>
        <v>0.28313989845897752</v>
      </c>
      <c r="AE145" s="318">
        <f t="shared" si="151"/>
        <v>0.35798933564289098</v>
      </c>
      <c r="AF145" s="318">
        <f t="shared" si="152"/>
        <v>0.41518349853860409</v>
      </c>
      <c r="AG145" s="318">
        <f t="shared" si="153"/>
        <v>0.46786252239248466</v>
      </c>
      <c r="AH145" s="318">
        <f t="shared" si="154"/>
        <v>0.51493832865960798</v>
      </c>
      <c r="AI145" s="318">
        <f t="shared" si="155"/>
        <v>0.56371641669548356</v>
      </c>
      <c r="AJ145" s="318">
        <f t="shared" si="156"/>
        <v>0.60774106307021702</v>
      </c>
      <c r="AK145" s="318">
        <f t="shared" si="157"/>
        <v>0.6502785388385558</v>
      </c>
      <c r="AL145" s="318">
        <f t="shared" si="158"/>
        <v>0.68976988512926918</v>
      </c>
      <c r="AM145" s="318">
        <f t="shared" si="159"/>
        <v>0.727955284172913</v>
      </c>
      <c r="AN145" s="318">
        <f t="shared" si="160"/>
        <v>0.76301137737406033</v>
      </c>
      <c r="AO145" s="318">
        <f t="shared" si="161"/>
        <v>0.7966363863482544</v>
      </c>
      <c r="AP145" s="318">
        <f t="shared" si="162"/>
        <v>0.7966363863482544</v>
      </c>
    </row>
    <row r="146" spans="1:42" ht="14.4" x14ac:dyDescent="0.25">
      <c r="A146" s="225" t="str">
        <f>'Participation Assumptions'!B147</f>
        <v>C&amp;I Curtailment-Turnkey-Auto-DR HVAC Control</v>
      </c>
      <c r="B146" s="225" t="s">
        <v>397</v>
      </c>
      <c r="C146" s="225" t="str">
        <f>'Participation Assumptions'!C147</f>
        <v>Large Industrial</v>
      </c>
      <c r="D146" s="225" t="str">
        <f>'Participation Assumptions'!D147</f>
        <v>Services</v>
      </c>
      <c r="E146" s="330">
        <f t="shared" si="132"/>
        <v>2.512338362068964E-3</v>
      </c>
      <c r="F146" s="330">
        <f t="shared" si="133"/>
        <v>3.3497844827586197E-3</v>
      </c>
      <c r="G146" s="330">
        <f>AVERAGEIF('ProCESS CSE'!$W:$W,'Control Strategy Eligibility'!$X146,'ProCESS CSE'!P:P)*0.5</f>
        <v>4.4663793103448274E-3</v>
      </c>
      <c r="H146" s="330">
        <f>AVERAGEIF('ProCESS CSE'!$W:$W,'Control Strategy Eligibility'!$X146,'ProCESS CSE'!Q:Q)*0.5</f>
        <v>5.9551724137931047E-3</v>
      </c>
      <c r="I146" s="330">
        <f>AVERAGEIF('ProCESS CSE'!$W:$W,'Control Strategy Eligibility'!$X146,'ProCESS CSE'!R:R)*0.5</f>
        <v>7.4439655172413794E-3</v>
      </c>
      <c r="J146" s="330">
        <f t="shared" si="134"/>
        <v>9.3049568965517231E-3</v>
      </c>
      <c r="K146" s="330">
        <f t="shared" si="135"/>
        <v>1.1631196120689653E-2</v>
      </c>
      <c r="L146" s="330">
        <f t="shared" si="136"/>
        <v>1.4538995150862063E-2</v>
      </c>
      <c r="M146" s="330">
        <f t="shared" si="137"/>
        <v>1.8173743938577576E-2</v>
      </c>
      <c r="N146" s="330">
        <f t="shared" si="138"/>
        <v>2.2717179923221965E-2</v>
      </c>
      <c r="O146" s="330">
        <f t="shared" si="139"/>
        <v>2.8396474904027452E-2</v>
      </c>
      <c r="P146" s="330">
        <f t="shared" si="140"/>
        <v>3.5495593630034308E-2</v>
      </c>
      <c r="Q146" s="330">
        <f t="shared" si="141"/>
        <v>4.4369492037542875E-2</v>
      </c>
      <c r="R146" s="330">
        <f t="shared" si="142"/>
        <v>5.5461865046928585E-2</v>
      </c>
      <c r="S146" s="330">
        <f t="shared" si="143"/>
        <v>6.9327331308660714E-2</v>
      </c>
      <c r="T146" s="330">
        <f t="shared" si="144"/>
        <v>8.6659164135825875E-2</v>
      </c>
      <c r="U146" s="330">
        <f t="shared" si="145"/>
        <v>0.10832395516978233</v>
      </c>
      <c r="V146" s="431"/>
      <c r="W146" s="200" t="str">
        <f t="shared" si="124"/>
        <v>Large</v>
      </c>
      <c r="X146" s="198" t="str">
        <f t="shared" si="122"/>
        <v>C&amp;I Curtailment-Turnkey-Auto-DR HVAC ControlLarge</v>
      </c>
      <c r="Y146" s="157" t="b">
        <f>ISNUMBER(MATCH(X146,'ProCESS CSE'!W:W,0))</f>
        <v>1</v>
      </c>
      <c r="Z146" s="318">
        <f t="shared" si="146"/>
        <v>0.1</v>
      </c>
      <c r="AA146" s="318">
        <f t="shared" si="147"/>
        <v>0.1</v>
      </c>
      <c r="AB146" s="318">
        <f t="shared" si="148"/>
        <v>0.1</v>
      </c>
      <c r="AC146" s="318">
        <f t="shared" si="149"/>
        <v>0.19575316165799508</v>
      </c>
      <c r="AD146" s="318">
        <f t="shared" si="150"/>
        <v>0.28313989845897752</v>
      </c>
      <c r="AE146" s="318">
        <f t="shared" si="151"/>
        <v>0.35798933564289098</v>
      </c>
      <c r="AF146" s="318">
        <f t="shared" si="152"/>
        <v>0.41518349853860409</v>
      </c>
      <c r="AG146" s="318">
        <f t="shared" si="153"/>
        <v>0.46786252239248466</v>
      </c>
      <c r="AH146" s="318">
        <f t="shared" si="154"/>
        <v>0.51493832865960798</v>
      </c>
      <c r="AI146" s="318">
        <f t="shared" si="155"/>
        <v>0.56371641669548356</v>
      </c>
      <c r="AJ146" s="318">
        <f t="shared" si="156"/>
        <v>0.60774106307021702</v>
      </c>
      <c r="AK146" s="318">
        <f t="shared" si="157"/>
        <v>0.6502785388385558</v>
      </c>
      <c r="AL146" s="318">
        <f t="shared" si="158"/>
        <v>0.68976988512926918</v>
      </c>
      <c r="AM146" s="318">
        <f t="shared" si="159"/>
        <v>0.727955284172913</v>
      </c>
      <c r="AN146" s="318">
        <f t="shared" si="160"/>
        <v>0.76301137737406033</v>
      </c>
      <c r="AO146" s="318">
        <f t="shared" si="161"/>
        <v>0.7966363863482544</v>
      </c>
      <c r="AP146" s="318">
        <f t="shared" si="162"/>
        <v>0.7966363863482544</v>
      </c>
    </row>
    <row r="147" spans="1:42" ht="14.4" x14ac:dyDescent="0.25">
      <c r="A147" s="225" t="str">
        <f>'Participation Assumptions'!B148</f>
        <v>C&amp;I Curtailment-Turnkey-Auto-DR HVAC Control</v>
      </c>
      <c r="B147" s="225" t="s">
        <v>397</v>
      </c>
      <c r="C147" s="225" t="str">
        <f>'Participation Assumptions'!C148</f>
        <v>Interruptible Rider</v>
      </c>
      <c r="D147" s="225" t="str">
        <f>'Participation Assumptions'!D148</f>
        <v>Manufacturing</v>
      </c>
      <c r="E147" s="330">
        <f t="shared" ref="E147:F149" si="163">(F147/G147)*F147</f>
        <v>2.512338362068964E-3</v>
      </c>
      <c r="F147" s="330">
        <f t="shared" si="163"/>
        <v>3.3497844827586197E-3</v>
      </c>
      <c r="G147" s="330">
        <f>AVERAGEIF('ProCESS CSE'!$W:$W,'Control Strategy Eligibility'!$X147,'ProCESS CSE'!P:P)*0.5</f>
        <v>4.4663793103448274E-3</v>
      </c>
      <c r="H147" s="330">
        <f>AVERAGEIF('ProCESS CSE'!$W:$W,'Control Strategy Eligibility'!$X147,'ProCESS CSE'!Q:Q)*0.5</f>
        <v>5.9551724137931047E-3</v>
      </c>
      <c r="I147" s="330">
        <f>AVERAGEIF('ProCESS CSE'!$W:$W,'Control Strategy Eligibility'!$X147,'ProCESS CSE'!R:R)*0.5</f>
        <v>7.4439655172413794E-3</v>
      </c>
      <c r="J147" s="330">
        <f t="shared" ref="J147:U147" si="164">MIN(1,(I147/H147)*I147)</f>
        <v>9.3049568965517231E-3</v>
      </c>
      <c r="K147" s="330">
        <f t="shared" si="164"/>
        <v>1.1631196120689653E-2</v>
      </c>
      <c r="L147" s="330">
        <f t="shared" si="164"/>
        <v>1.4538995150862063E-2</v>
      </c>
      <c r="M147" s="330">
        <f t="shared" si="164"/>
        <v>1.8173743938577576E-2</v>
      </c>
      <c r="N147" s="330">
        <f t="shared" si="164"/>
        <v>2.2717179923221965E-2</v>
      </c>
      <c r="O147" s="330">
        <f t="shared" si="164"/>
        <v>2.8396474904027452E-2</v>
      </c>
      <c r="P147" s="330">
        <f t="shared" si="164"/>
        <v>3.5495593630034308E-2</v>
      </c>
      <c r="Q147" s="330">
        <f t="shared" si="164"/>
        <v>4.4369492037542875E-2</v>
      </c>
      <c r="R147" s="330">
        <f t="shared" si="164"/>
        <v>5.5461865046928585E-2</v>
      </c>
      <c r="S147" s="330">
        <f t="shared" si="164"/>
        <v>6.9327331308660714E-2</v>
      </c>
      <c r="T147" s="330">
        <f t="shared" si="164"/>
        <v>8.6659164135825875E-2</v>
      </c>
      <c r="U147" s="330">
        <f t="shared" si="164"/>
        <v>0.10832395516978233</v>
      </c>
      <c r="V147" s="431"/>
      <c r="W147" s="200" t="str">
        <f t="shared" si="124"/>
        <v>Large</v>
      </c>
      <c r="X147" s="198" t="str">
        <f t="shared" si="122"/>
        <v>C&amp;I Curtailment-Turnkey-Auto-DR HVAC ControlLarge</v>
      </c>
      <c r="Y147" s="157" t="b">
        <f>ISNUMBER(MATCH(X147,'ProCESS CSE'!W:W,0))</f>
        <v>1</v>
      </c>
      <c r="Z147" s="318">
        <f t="shared" si="146"/>
        <v>0.1</v>
      </c>
      <c r="AA147" s="318">
        <f t="shared" si="147"/>
        <v>0.1</v>
      </c>
      <c r="AB147" s="318">
        <f t="shared" si="148"/>
        <v>0.1</v>
      </c>
      <c r="AC147" s="318">
        <f t="shared" si="149"/>
        <v>0.19575316165799508</v>
      </c>
      <c r="AD147" s="318">
        <f t="shared" si="150"/>
        <v>0.28313989845897752</v>
      </c>
      <c r="AE147" s="318">
        <f t="shared" si="151"/>
        <v>0.35798933564289098</v>
      </c>
      <c r="AF147" s="318">
        <f t="shared" si="152"/>
        <v>0.41518349853860409</v>
      </c>
      <c r="AG147" s="318">
        <f t="shared" si="153"/>
        <v>0.46786252239248466</v>
      </c>
      <c r="AH147" s="318">
        <f t="shared" si="154"/>
        <v>0.51493832865960798</v>
      </c>
      <c r="AI147" s="318">
        <f t="shared" si="155"/>
        <v>0.56371641669548356</v>
      </c>
      <c r="AJ147" s="318">
        <f t="shared" si="156"/>
        <v>0.60774106307021702</v>
      </c>
      <c r="AK147" s="318">
        <f t="shared" si="157"/>
        <v>0.6502785388385558</v>
      </c>
      <c r="AL147" s="318">
        <f t="shared" si="158"/>
        <v>0.68976988512926918</v>
      </c>
      <c r="AM147" s="318">
        <f t="shared" si="159"/>
        <v>0.727955284172913</v>
      </c>
      <c r="AN147" s="318">
        <f t="shared" si="160"/>
        <v>0.76301137737406033</v>
      </c>
      <c r="AO147" s="318">
        <f t="shared" si="161"/>
        <v>0.7966363863482544</v>
      </c>
      <c r="AP147" s="318">
        <f t="shared" si="162"/>
        <v>0.7966363863482544</v>
      </c>
    </row>
    <row r="148" spans="1:42" ht="14.4" x14ac:dyDescent="0.25">
      <c r="A148" s="225" t="str">
        <f>'Participation Assumptions'!B149</f>
        <v>C&amp;I Curtailment-Turnkey-Auto-DR HVAC Control</v>
      </c>
      <c r="B148" s="225" t="s">
        <v>397</v>
      </c>
      <c r="C148" s="225" t="str">
        <f>'Participation Assumptions'!C149</f>
        <v>Interruptible Rider</v>
      </c>
      <c r="D148" s="225" t="str">
        <f>'Participation Assumptions'!D149</f>
        <v>Miscellaneous</v>
      </c>
      <c r="E148" s="330">
        <f t="shared" si="163"/>
        <v>2.512338362068964E-3</v>
      </c>
      <c r="F148" s="330">
        <f t="shared" si="163"/>
        <v>3.3497844827586197E-3</v>
      </c>
      <c r="G148" s="330">
        <f>AVERAGEIF('ProCESS CSE'!$W:$W,'Control Strategy Eligibility'!$X148,'ProCESS CSE'!P:P)*0.5</f>
        <v>4.4663793103448274E-3</v>
      </c>
      <c r="H148" s="330">
        <f>AVERAGEIF('ProCESS CSE'!$W:$W,'Control Strategy Eligibility'!$X148,'ProCESS CSE'!Q:Q)*0.5</f>
        <v>5.9551724137931047E-3</v>
      </c>
      <c r="I148" s="330">
        <f>AVERAGEIF('ProCESS CSE'!$W:$W,'Control Strategy Eligibility'!$X148,'ProCESS CSE'!R:R)*0.5</f>
        <v>7.4439655172413794E-3</v>
      </c>
      <c r="J148" s="330">
        <f t="shared" ref="J148:U148" si="165">MIN(1,(I148/H148)*I148)</f>
        <v>9.3049568965517231E-3</v>
      </c>
      <c r="K148" s="330">
        <f t="shared" si="165"/>
        <v>1.1631196120689653E-2</v>
      </c>
      <c r="L148" s="330">
        <f t="shared" si="165"/>
        <v>1.4538995150862063E-2</v>
      </c>
      <c r="M148" s="330">
        <f t="shared" si="165"/>
        <v>1.8173743938577576E-2</v>
      </c>
      <c r="N148" s="330">
        <f t="shared" si="165"/>
        <v>2.2717179923221965E-2</v>
      </c>
      <c r="O148" s="330">
        <f t="shared" si="165"/>
        <v>2.8396474904027452E-2</v>
      </c>
      <c r="P148" s="330">
        <f t="shared" si="165"/>
        <v>3.5495593630034308E-2</v>
      </c>
      <c r="Q148" s="330">
        <f t="shared" si="165"/>
        <v>4.4369492037542875E-2</v>
      </c>
      <c r="R148" s="330">
        <f t="shared" si="165"/>
        <v>5.5461865046928585E-2</v>
      </c>
      <c r="S148" s="330">
        <f t="shared" si="165"/>
        <v>6.9327331308660714E-2</v>
      </c>
      <c r="T148" s="330">
        <f t="shared" si="165"/>
        <v>8.6659164135825875E-2</v>
      </c>
      <c r="U148" s="330">
        <f t="shared" si="165"/>
        <v>0.10832395516978233</v>
      </c>
      <c r="V148" s="431"/>
      <c r="W148" s="200" t="str">
        <f t="shared" si="124"/>
        <v>Large</v>
      </c>
      <c r="X148" s="198" t="str">
        <f t="shared" si="122"/>
        <v>C&amp;I Curtailment-Turnkey-Auto-DR HVAC ControlLarge</v>
      </c>
      <c r="Y148" s="157" t="b">
        <f>ISNUMBER(MATCH(X148,'ProCESS CSE'!W:W,0))</f>
        <v>1</v>
      </c>
      <c r="Z148" s="318">
        <f t="shared" si="146"/>
        <v>0.1</v>
      </c>
      <c r="AA148" s="318">
        <f t="shared" si="147"/>
        <v>0.1</v>
      </c>
      <c r="AB148" s="318">
        <f t="shared" si="148"/>
        <v>0.1</v>
      </c>
      <c r="AC148" s="318">
        <f t="shared" si="149"/>
        <v>0.19575316165799508</v>
      </c>
      <c r="AD148" s="318">
        <f t="shared" si="150"/>
        <v>0.28313989845897752</v>
      </c>
      <c r="AE148" s="318">
        <f t="shared" si="151"/>
        <v>0.35798933564289098</v>
      </c>
      <c r="AF148" s="318">
        <f t="shared" si="152"/>
        <v>0.41518349853860409</v>
      </c>
      <c r="AG148" s="318">
        <f t="shared" si="153"/>
        <v>0.46786252239248466</v>
      </c>
      <c r="AH148" s="318">
        <f t="shared" si="154"/>
        <v>0.51493832865960798</v>
      </c>
      <c r="AI148" s="318">
        <f t="shared" si="155"/>
        <v>0.56371641669548356</v>
      </c>
      <c r="AJ148" s="318">
        <f t="shared" si="156"/>
        <v>0.60774106307021702</v>
      </c>
      <c r="AK148" s="318">
        <f t="shared" si="157"/>
        <v>0.6502785388385558</v>
      </c>
      <c r="AL148" s="318">
        <f t="shared" si="158"/>
        <v>0.68976988512926918</v>
      </c>
      <c r="AM148" s="318">
        <f t="shared" si="159"/>
        <v>0.727955284172913</v>
      </c>
      <c r="AN148" s="318">
        <f t="shared" si="160"/>
        <v>0.76301137737406033</v>
      </c>
      <c r="AO148" s="318">
        <f t="shared" si="161"/>
        <v>0.7966363863482544</v>
      </c>
      <c r="AP148" s="318">
        <f t="shared" si="162"/>
        <v>0.7966363863482544</v>
      </c>
    </row>
    <row r="149" spans="1:42" ht="14.4" x14ac:dyDescent="0.25">
      <c r="A149" s="225" t="str">
        <f>'Participation Assumptions'!B150</f>
        <v>C&amp;I Curtailment-Turnkey-Auto-DR HVAC Control</v>
      </c>
      <c r="B149" s="225" t="s">
        <v>397</v>
      </c>
      <c r="C149" s="225" t="str">
        <f>'Participation Assumptions'!C150</f>
        <v>Interruptible Rider</v>
      </c>
      <c r="D149" s="225" t="str">
        <f>'Participation Assumptions'!D150</f>
        <v>Retail Trade</v>
      </c>
      <c r="E149" s="330">
        <f t="shared" si="163"/>
        <v>2.512338362068964E-3</v>
      </c>
      <c r="F149" s="330">
        <f t="shared" si="163"/>
        <v>3.3497844827586197E-3</v>
      </c>
      <c r="G149" s="330">
        <f>AVERAGEIF('ProCESS CSE'!$W:$W,'Control Strategy Eligibility'!$X149,'ProCESS CSE'!P:P)*0.5</f>
        <v>4.4663793103448274E-3</v>
      </c>
      <c r="H149" s="330">
        <f>AVERAGEIF('ProCESS CSE'!$W:$W,'Control Strategy Eligibility'!$X149,'ProCESS CSE'!Q:Q)*0.5</f>
        <v>5.9551724137931047E-3</v>
      </c>
      <c r="I149" s="330">
        <f>AVERAGEIF('ProCESS CSE'!$W:$W,'Control Strategy Eligibility'!$X149,'ProCESS CSE'!R:R)*0.5</f>
        <v>7.4439655172413794E-3</v>
      </c>
      <c r="J149" s="330">
        <f t="shared" ref="J149:U149" si="166">MIN(1,(I149/H149)*I149)</f>
        <v>9.3049568965517231E-3</v>
      </c>
      <c r="K149" s="330">
        <f t="shared" si="166"/>
        <v>1.1631196120689653E-2</v>
      </c>
      <c r="L149" s="330">
        <f t="shared" si="166"/>
        <v>1.4538995150862063E-2</v>
      </c>
      <c r="M149" s="330">
        <f t="shared" si="166"/>
        <v>1.8173743938577576E-2</v>
      </c>
      <c r="N149" s="330">
        <f t="shared" si="166"/>
        <v>2.2717179923221965E-2</v>
      </c>
      <c r="O149" s="330">
        <f t="shared" si="166"/>
        <v>2.8396474904027452E-2</v>
      </c>
      <c r="P149" s="330">
        <f t="shared" si="166"/>
        <v>3.5495593630034308E-2</v>
      </c>
      <c r="Q149" s="330">
        <f t="shared" si="166"/>
        <v>4.4369492037542875E-2</v>
      </c>
      <c r="R149" s="330">
        <f t="shared" si="166"/>
        <v>5.5461865046928585E-2</v>
      </c>
      <c r="S149" s="330">
        <f t="shared" si="166"/>
        <v>6.9327331308660714E-2</v>
      </c>
      <c r="T149" s="330">
        <f t="shared" si="166"/>
        <v>8.6659164135825875E-2</v>
      </c>
      <c r="U149" s="330">
        <f t="shared" si="166"/>
        <v>0.10832395516978233</v>
      </c>
      <c r="V149" s="431"/>
      <c r="W149" s="200" t="str">
        <f t="shared" si="124"/>
        <v>Large</v>
      </c>
      <c r="X149" s="198" t="str">
        <f t="shared" si="122"/>
        <v>C&amp;I Curtailment-Turnkey-Auto-DR HVAC ControlLarge</v>
      </c>
      <c r="Y149" s="157" t="b">
        <f>ISNUMBER(MATCH(X149,'ProCESS CSE'!W:W,0))</f>
        <v>1</v>
      </c>
      <c r="Z149" s="318">
        <f t="shared" si="146"/>
        <v>0.1</v>
      </c>
      <c r="AA149" s="318">
        <f t="shared" si="147"/>
        <v>0.1</v>
      </c>
      <c r="AB149" s="318">
        <f t="shared" si="148"/>
        <v>0.1</v>
      </c>
      <c r="AC149" s="318">
        <f t="shared" si="149"/>
        <v>0.19575316165799508</v>
      </c>
      <c r="AD149" s="318">
        <f t="shared" si="150"/>
        <v>0.28313989845897752</v>
      </c>
      <c r="AE149" s="318">
        <f t="shared" si="151"/>
        <v>0.35798933564289098</v>
      </c>
      <c r="AF149" s="318">
        <f t="shared" si="152"/>
        <v>0.41518349853860409</v>
      </c>
      <c r="AG149" s="318">
        <f t="shared" si="153"/>
        <v>0.46786252239248466</v>
      </c>
      <c r="AH149" s="318">
        <f t="shared" si="154"/>
        <v>0.51493832865960798</v>
      </c>
      <c r="AI149" s="318">
        <f t="shared" si="155"/>
        <v>0.56371641669548356</v>
      </c>
      <c r="AJ149" s="318">
        <f t="shared" si="156"/>
        <v>0.60774106307021702</v>
      </c>
      <c r="AK149" s="318">
        <f t="shared" si="157"/>
        <v>0.6502785388385558</v>
      </c>
      <c r="AL149" s="318">
        <f t="shared" si="158"/>
        <v>0.68976988512926918</v>
      </c>
      <c r="AM149" s="318">
        <f t="shared" si="159"/>
        <v>0.727955284172913</v>
      </c>
      <c r="AN149" s="318">
        <f t="shared" si="160"/>
        <v>0.76301137737406033</v>
      </c>
      <c r="AO149" s="318">
        <f t="shared" si="161"/>
        <v>0.7966363863482544</v>
      </c>
      <c r="AP149" s="318">
        <f t="shared" si="162"/>
        <v>0.7966363863482544</v>
      </c>
    </row>
    <row r="150" spans="1:42" ht="14.55" customHeight="1" x14ac:dyDescent="0.25">
      <c r="A150" s="225" t="str">
        <f>'Participation Assumptions'!B151</f>
        <v>C&amp;I Curtailment-Turnkey-Standard Lighting Control</v>
      </c>
      <c r="B150" s="225" t="s">
        <v>397</v>
      </c>
      <c r="C150" s="225" t="str">
        <f>'Participation Assumptions'!C151</f>
        <v>Large Commercial</v>
      </c>
      <c r="D150" s="225" t="str">
        <f>'Participation Assumptions'!D151</f>
        <v>Offices</v>
      </c>
      <c r="E150" s="329">
        <f>(50%-E160)</f>
        <v>0.5</v>
      </c>
      <c r="F150" s="329">
        <f t="shared" ref="F150:U150" si="167">(50%-F160)</f>
        <v>0.5</v>
      </c>
      <c r="G150" s="329">
        <f t="shared" si="167"/>
        <v>0.5</v>
      </c>
      <c r="H150" s="329">
        <f t="shared" si="167"/>
        <v>0.5</v>
      </c>
      <c r="I150" s="329">
        <f t="shared" si="167"/>
        <v>0.5</v>
      </c>
      <c r="J150" s="329">
        <f t="shared" si="167"/>
        <v>0.5</v>
      </c>
      <c r="K150" s="329">
        <f t="shared" si="167"/>
        <v>0.5</v>
      </c>
      <c r="L150" s="329">
        <f t="shared" si="167"/>
        <v>0.5</v>
      </c>
      <c r="M150" s="329">
        <f t="shared" si="167"/>
        <v>0.5</v>
      </c>
      <c r="N150" s="329">
        <f t="shared" si="167"/>
        <v>0.5</v>
      </c>
      <c r="O150" s="329">
        <f t="shared" si="167"/>
        <v>0.5</v>
      </c>
      <c r="P150" s="329">
        <f t="shared" si="167"/>
        <v>0.5</v>
      </c>
      <c r="Q150" s="329">
        <f t="shared" si="167"/>
        <v>0.5</v>
      </c>
      <c r="R150" s="329">
        <f t="shared" si="167"/>
        <v>0.5</v>
      </c>
      <c r="S150" s="329">
        <f t="shared" si="167"/>
        <v>0.5</v>
      </c>
      <c r="T150" s="329">
        <f t="shared" si="167"/>
        <v>0.5</v>
      </c>
      <c r="U150" s="329">
        <f t="shared" si="167"/>
        <v>0.5</v>
      </c>
      <c r="V150" s="430" t="s">
        <v>309</v>
      </c>
      <c r="W150" s="200" t="str">
        <f t="shared" si="124"/>
        <v>Large</v>
      </c>
      <c r="X150" s="198" t="str">
        <f t="shared" si="122"/>
        <v>C&amp;I Curtailment-Turnkey-Standard Lighting ControlLarge</v>
      </c>
      <c r="Y150" s="157" t="b">
        <f>ISNUMBER(MATCH(X150,'ProCESS CSE'!W:W,0))</f>
        <v>0</v>
      </c>
      <c r="Z150" s="157"/>
      <c r="AA150" s="157"/>
      <c r="AB150" s="157"/>
      <c r="AC150" s="157"/>
      <c r="AD150" s="157"/>
      <c r="AE150" s="157"/>
      <c r="AF150" s="157"/>
      <c r="AG150" s="157"/>
      <c r="AH150" s="157"/>
      <c r="AI150" s="157"/>
      <c r="AJ150" s="157"/>
      <c r="AK150" s="157"/>
      <c r="AL150" s="157"/>
      <c r="AM150" s="157"/>
      <c r="AN150" s="157"/>
      <c r="AO150" s="157"/>
      <c r="AP150" s="157"/>
    </row>
    <row r="151" spans="1:42" x14ac:dyDescent="0.25">
      <c r="A151" s="225" t="str">
        <f>'Participation Assumptions'!B152</f>
        <v>C&amp;I Curtailment-Turnkey-Standard Lighting Control</v>
      </c>
      <c r="B151" s="225" t="s">
        <v>397</v>
      </c>
      <c r="C151" s="225" t="str">
        <f>'Participation Assumptions'!C152</f>
        <v>Large Commercial</v>
      </c>
      <c r="D151" s="225" t="str">
        <f>'Participation Assumptions'!D152</f>
        <v>Services</v>
      </c>
      <c r="E151" s="329">
        <f t="shared" ref="E151:U151" si="168">(50%-E161)</f>
        <v>0.5</v>
      </c>
      <c r="F151" s="329">
        <f t="shared" si="168"/>
        <v>0.5</v>
      </c>
      <c r="G151" s="329">
        <f t="shared" si="168"/>
        <v>0.5</v>
      </c>
      <c r="H151" s="329">
        <f t="shared" si="168"/>
        <v>0.5</v>
      </c>
      <c r="I151" s="329">
        <f t="shared" si="168"/>
        <v>0.5</v>
      </c>
      <c r="J151" s="329">
        <f t="shared" si="168"/>
        <v>0.5</v>
      </c>
      <c r="K151" s="329">
        <f t="shared" si="168"/>
        <v>0.5</v>
      </c>
      <c r="L151" s="329">
        <f t="shared" si="168"/>
        <v>0.5</v>
      </c>
      <c r="M151" s="329">
        <f t="shared" si="168"/>
        <v>0.5</v>
      </c>
      <c r="N151" s="329">
        <f t="shared" si="168"/>
        <v>0.5</v>
      </c>
      <c r="O151" s="329">
        <f t="shared" si="168"/>
        <v>0.5</v>
      </c>
      <c r="P151" s="329">
        <f t="shared" si="168"/>
        <v>0.5</v>
      </c>
      <c r="Q151" s="329">
        <f t="shared" si="168"/>
        <v>0.5</v>
      </c>
      <c r="R151" s="329">
        <f t="shared" si="168"/>
        <v>0.5</v>
      </c>
      <c r="S151" s="329">
        <f t="shared" si="168"/>
        <v>0.5</v>
      </c>
      <c r="T151" s="329">
        <f t="shared" si="168"/>
        <v>0.5</v>
      </c>
      <c r="U151" s="329">
        <f t="shared" si="168"/>
        <v>0.5</v>
      </c>
      <c r="V151" s="430"/>
      <c r="W151" s="200" t="str">
        <f t="shared" si="124"/>
        <v>Large</v>
      </c>
      <c r="X151" s="198" t="str">
        <f t="shared" si="122"/>
        <v>C&amp;I Curtailment-Turnkey-Standard Lighting ControlLarge</v>
      </c>
      <c r="Y151" s="157" t="b">
        <f>ISNUMBER(MATCH(X151,'ProCESS CSE'!W:W,0))</f>
        <v>0</v>
      </c>
      <c r="Z151" s="157"/>
      <c r="AA151" s="157"/>
      <c r="AB151" s="157"/>
      <c r="AC151" s="157"/>
      <c r="AD151" s="157"/>
      <c r="AE151" s="157"/>
      <c r="AF151" s="157"/>
      <c r="AG151" s="157"/>
      <c r="AH151" s="157"/>
      <c r="AI151" s="157"/>
      <c r="AJ151" s="157"/>
      <c r="AK151" s="157"/>
      <c r="AL151" s="157"/>
      <c r="AM151" s="157"/>
      <c r="AN151" s="157"/>
      <c r="AO151" s="157"/>
      <c r="AP151" s="157"/>
    </row>
    <row r="152" spans="1:42" x14ac:dyDescent="0.25">
      <c r="A152" s="225" t="str">
        <f>'Participation Assumptions'!B153</f>
        <v>C&amp;I Curtailment-Turnkey-Standard Lighting Control</v>
      </c>
      <c r="B152" s="225" t="s">
        <v>397</v>
      </c>
      <c r="C152" s="225" t="str">
        <f>'Participation Assumptions'!C153</f>
        <v>Large Industrial</v>
      </c>
      <c r="D152" s="225" t="str">
        <f>'Participation Assumptions'!D153</f>
        <v>Manufacturing</v>
      </c>
      <c r="E152" s="329">
        <f t="shared" ref="E152:U152" si="169">(50%-E162)</f>
        <v>0.5</v>
      </c>
      <c r="F152" s="329">
        <f t="shared" si="169"/>
        <v>0.5</v>
      </c>
      <c r="G152" s="329">
        <f t="shared" si="169"/>
        <v>0.5</v>
      </c>
      <c r="H152" s="329">
        <f t="shared" si="169"/>
        <v>0.5</v>
      </c>
      <c r="I152" s="329">
        <f t="shared" si="169"/>
        <v>0.5</v>
      </c>
      <c r="J152" s="329">
        <f t="shared" si="169"/>
        <v>0.5</v>
      </c>
      <c r="K152" s="329">
        <f t="shared" si="169"/>
        <v>0.5</v>
      </c>
      <c r="L152" s="329">
        <f t="shared" si="169"/>
        <v>0.5</v>
      </c>
      <c r="M152" s="329">
        <f t="shared" si="169"/>
        <v>0.5</v>
      </c>
      <c r="N152" s="329">
        <f t="shared" si="169"/>
        <v>0.5</v>
      </c>
      <c r="O152" s="329">
        <f t="shared" si="169"/>
        <v>0.5</v>
      </c>
      <c r="P152" s="329">
        <f t="shared" si="169"/>
        <v>0.5</v>
      </c>
      <c r="Q152" s="329">
        <f t="shared" si="169"/>
        <v>0.5</v>
      </c>
      <c r="R152" s="329">
        <f t="shared" si="169"/>
        <v>0.5</v>
      </c>
      <c r="S152" s="329">
        <f t="shared" si="169"/>
        <v>0.5</v>
      </c>
      <c r="T152" s="329">
        <f t="shared" si="169"/>
        <v>0.5</v>
      </c>
      <c r="U152" s="329">
        <f t="shared" si="169"/>
        <v>0.5</v>
      </c>
      <c r="V152" s="430"/>
      <c r="W152" s="200" t="str">
        <f t="shared" si="124"/>
        <v>Large</v>
      </c>
      <c r="X152" s="198" t="str">
        <f t="shared" si="122"/>
        <v>C&amp;I Curtailment-Turnkey-Standard Lighting ControlLarge</v>
      </c>
      <c r="Y152" s="157" t="b">
        <f>ISNUMBER(MATCH(X152,'ProCESS CSE'!W:W,0))</f>
        <v>0</v>
      </c>
      <c r="Z152" s="157"/>
      <c r="AA152" s="157"/>
      <c r="AB152" s="157"/>
      <c r="AC152" s="157"/>
      <c r="AD152" s="157"/>
      <c r="AE152" s="157"/>
      <c r="AF152" s="157"/>
      <c r="AG152" s="157"/>
      <c r="AH152" s="157"/>
      <c r="AI152" s="157"/>
      <c r="AJ152" s="157"/>
      <c r="AK152" s="157"/>
      <c r="AL152" s="157"/>
      <c r="AM152" s="157"/>
      <c r="AN152" s="157"/>
      <c r="AO152" s="157"/>
      <c r="AP152" s="157"/>
    </row>
    <row r="153" spans="1:42" x14ac:dyDescent="0.25">
      <c r="A153" s="225" t="str">
        <f>'Participation Assumptions'!B154</f>
        <v>C&amp;I Curtailment-Turnkey-Standard Lighting Control</v>
      </c>
      <c r="B153" s="225" t="s">
        <v>397</v>
      </c>
      <c r="C153" s="225" t="str">
        <f>'Participation Assumptions'!C154</f>
        <v>Large Industrial</v>
      </c>
      <c r="D153" s="225" t="str">
        <f>'Participation Assumptions'!D154</f>
        <v>Miscellaneous</v>
      </c>
      <c r="E153" s="329">
        <f t="shared" ref="E153:U153" si="170">(50%-E163)</f>
        <v>0.5</v>
      </c>
      <c r="F153" s="329">
        <f t="shared" si="170"/>
        <v>0.5</v>
      </c>
      <c r="G153" s="329">
        <f>(50%-G163)</f>
        <v>0.5</v>
      </c>
      <c r="H153" s="329">
        <f t="shared" si="170"/>
        <v>0.5</v>
      </c>
      <c r="I153" s="329">
        <f t="shared" si="170"/>
        <v>0.5</v>
      </c>
      <c r="J153" s="329">
        <f t="shared" si="170"/>
        <v>0.5</v>
      </c>
      <c r="K153" s="329">
        <f t="shared" si="170"/>
        <v>0.5</v>
      </c>
      <c r="L153" s="329">
        <f t="shared" si="170"/>
        <v>0.5</v>
      </c>
      <c r="M153" s="329">
        <f t="shared" si="170"/>
        <v>0.5</v>
      </c>
      <c r="N153" s="329">
        <f t="shared" si="170"/>
        <v>0.5</v>
      </c>
      <c r="O153" s="329">
        <f t="shared" si="170"/>
        <v>0.5</v>
      </c>
      <c r="P153" s="329">
        <f t="shared" si="170"/>
        <v>0.5</v>
      </c>
      <c r="Q153" s="329">
        <f t="shared" si="170"/>
        <v>0.5</v>
      </c>
      <c r="R153" s="329">
        <f t="shared" si="170"/>
        <v>0.5</v>
      </c>
      <c r="S153" s="329">
        <f t="shared" si="170"/>
        <v>0.5</v>
      </c>
      <c r="T153" s="329">
        <f t="shared" si="170"/>
        <v>0.5</v>
      </c>
      <c r="U153" s="329">
        <f t="shared" si="170"/>
        <v>0.5</v>
      </c>
      <c r="V153" s="430"/>
      <c r="W153" s="200" t="str">
        <f t="shared" si="124"/>
        <v>Large</v>
      </c>
      <c r="X153" s="198" t="str">
        <f t="shared" si="122"/>
        <v>C&amp;I Curtailment-Turnkey-Standard Lighting ControlLarge</v>
      </c>
      <c r="Y153" s="157" t="b">
        <f>ISNUMBER(MATCH(X153,'ProCESS CSE'!W:W,0))</f>
        <v>0</v>
      </c>
      <c r="Z153" s="157"/>
      <c r="AA153" s="157"/>
      <c r="AB153" s="157"/>
      <c r="AC153" s="157"/>
      <c r="AD153" s="157"/>
      <c r="AE153" s="157"/>
      <c r="AF153" s="157"/>
      <c r="AG153" s="157"/>
      <c r="AH153" s="157"/>
      <c r="AI153" s="157"/>
      <c r="AJ153" s="157"/>
      <c r="AK153" s="157"/>
      <c r="AL153" s="157"/>
      <c r="AM153" s="157"/>
      <c r="AN153" s="157"/>
      <c r="AO153" s="157"/>
      <c r="AP153" s="157"/>
    </row>
    <row r="154" spans="1:42" x14ac:dyDescent="0.25">
      <c r="A154" s="225" t="str">
        <f>'Participation Assumptions'!B155</f>
        <v>C&amp;I Curtailment-Turnkey-Standard Lighting Control</v>
      </c>
      <c r="B154" s="225" t="s">
        <v>397</v>
      </c>
      <c r="C154" s="225" t="str">
        <f>'Participation Assumptions'!C155</f>
        <v>Large Industrial</v>
      </c>
      <c r="D154" s="225" t="str">
        <f>'Participation Assumptions'!D155</f>
        <v>Offices</v>
      </c>
      <c r="E154" s="329">
        <f t="shared" ref="E154:U154" si="171">(50%-E164)</f>
        <v>0.5</v>
      </c>
      <c r="F154" s="329">
        <f t="shared" si="171"/>
        <v>0.5</v>
      </c>
      <c r="G154" s="329">
        <f t="shared" si="171"/>
        <v>0.5</v>
      </c>
      <c r="H154" s="329">
        <f t="shared" si="171"/>
        <v>0.5</v>
      </c>
      <c r="I154" s="329">
        <f t="shared" si="171"/>
        <v>0.5</v>
      </c>
      <c r="J154" s="329">
        <f t="shared" si="171"/>
        <v>0.5</v>
      </c>
      <c r="K154" s="329">
        <f t="shared" si="171"/>
        <v>0.5</v>
      </c>
      <c r="L154" s="329">
        <f t="shared" si="171"/>
        <v>0.5</v>
      </c>
      <c r="M154" s="329">
        <f t="shared" si="171"/>
        <v>0.5</v>
      </c>
      <c r="N154" s="329">
        <f t="shared" si="171"/>
        <v>0.5</v>
      </c>
      <c r="O154" s="329">
        <f t="shared" si="171"/>
        <v>0.5</v>
      </c>
      <c r="P154" s="329">
        <f t="shared" si="171"/>
        <v>0.5</v>
      </c>
      <c r="Q154" s="329">
        <f t="shared" si="171"/>
        <v>0.5</v>
      </c>
      <c r="R154" s="329">
        <f t="shared" si="171"/>
        <v>0.5</v>
      </c>
      <c r="S154" s="329">
        <f t="shared" si="171"/>
        <v>0.5</v>
      </c>
      <c r="T154" s="329">
        <f t="shared" si="171"/>
        <v>0.5</v>
      </c>
      <c r="U154" s="329">
        <f t="shared" si="171"/>
        <v>0.5</v>
      </c>
      <c r="V154" s="430"/>
      <c r="W154" s="200" t="str">
        <f t="shared" si="124"/>
        <v>Large</v>
      </c>
      <c r="X154" s="198" t="str">
        <f t="shared" si="122"/>
        <v>C&amp;I Curtailment-Turnkey-Standard Lighting ControlLarge</v>
      </c>
      <c r="Y154" s="157" t="b">
        <f>ISNUMBER(MATCH(X154,'ProCESS CSE'!W:W,0))</f>
        <v>0</v>
      </c>
      <c r="Z154" s="157"/>
      <c r="AA154" s="157"/>
      <c r="AB154" s="157"/>
      <c r="AC154" s="157"/>
      <c r="AD154" s="157"/>
      <c r="AE154" s="157"/>
      <c r="AF154" s="157"/>
      <c r="AG154" s="157"/>
      <c r="AH154" s="157"/>
      <c r="AI154" s="157"/>
      <c r="AJ154" s="157"/>
      <c r="AK154" s="157"/>
      <c r="AL154" s="157"/>
      <c r="AM154" s="157"/>
      <c r="AN154" s="157"/>
      <c r="AO154" s="157"/>
      <c r="AP154" s="157"/>
    </row>
    <row r="155" spans="1:42" x14ac:dyDescent="0.25">
      <c r="A155" s="225" t="str">
        <f>'Participation Assumptions'!B156</f>
        <v>C&amp;I Curtailment-Turnkey-Standard Lighting Control</v>
      </c>
      <c r="B155" s="225" t="s">
        <v>397</v>
      </c>
      <c r="C155" s="225" t="str">
        <f>'Participation Assumptions'!C156</f>
        <v>Large Industrial</v>
      </c>
      <c r="D155" s="225" t="str">
        <f>'Participation Assumptions'!D156</f>
        <v>Retail Trade</v>
      </c>
      <c r="E155" s="329">
        <f t="shared" ref="E155:U155" si="172">(50%-E165)</f>
        <v>0.5</v>
      </c>
      <c r="F155" s="329">
        <f t="shared" si="172"/>
        <v>0.5</v>
      </c>
      <c r="G155" s="329">
        <f t="shared" si="172"/>
        <v>0.5</v>
      </c>
      <c r="H155" s="329">
        <f t="shared" si="172"/>
        <v>0.5</v>
      </c>
      <c r="I155" s="329">
        <f t="shared" si="172"/>
        <v>0.5</v>
      </c>
      <c r="J155" s="329">
        <f t="shared" si="172"/>
        <v>0.5</v>
      </c>
      <c r="K155" s="329">
        <f t="shared" si="172"/>
        <v>0.5</v>
      </c>
      <c r="L155" s="329">
        <f t="shared" si="172"/>
        <v>0.5</v>
      </c>
      <c r="M155" s="329">
        <f t="shared" si="172"/>
        <v>0.5</v>
      </c>
      <c r="N155" s="329">
        <f t="shared" si="172"/>
        <v>0.5</v>
      </c>
      <c r="O155" s="329">
        <f t="shared" si="172"/>
        <v>0.5</v>
      </c>
      <c r="P155" s="329">
        <f t="shared" si="172"/>
        <v>0.5</v>
      </c>
      <c r="Q155" s="329">
        <f t="shared" si="172"/>
        <v>0.5</v>
      </c>
      <c r="R155" s="329">
        <f t="shared" si="172"/>
        <v>0.5</v>
      </c>
      <c r="S155" s="329">
        <f t="shared" si="172"/>
        <v>0.5</v>
      </c>
      <c r="T155" s="329">
        <f t="shared" si="172"/>
        <v>0.5</v>
      </c>
      <c r="U155" s="329">
        <f t="shared" si="172"/>
        <v>0.5</v>
      </c>
      <c r="V155" s="430"/>
      <c r="W155" s="200" t="str">
        <f t="shared" si="124"/>
        <v>Large</v>
      </c>
      <c r="X155" s="198" t="str">
        <f t="shared" si="122"/>
        <v>C&amp;I Curtailment-Turnkey-Standard Lighting ControlLarge</v>
      </c>
      <c r="Y155" s="157" t="b">
        <f>ISNUMBER(MATCH(X155,'ProCESS CSE'!W:W,0))</f>
        <v>0</v>
      </c>
      <c r="Z155" s="157"/>
      <c r="AA155" s="157"/>
      <c r="AB155" s="157"/>
      <c r="AC155" s="157"/>
      <c r="AD155" s="157"/>
      <c r="AE155" s="157"/>
      <c r="AF155" s="157"/>
      <c r="AG155" s="157"/>
      <c r="AH155" s="157"/>
      <c r="AI155" s="157"/>
      <c r="AJ155" s="157"/>
      <c r="AK155" s="157"/>
      <c r="AL155" s="157"/>
      <c r="AM155" s="157"/>
      <c r="AN155" s="157"/>
      <c r="AO155" s="157"/>
      <c r="AP155" s="157"/>
    </row>
    <row r="156" spans="1:42" x14ac:dyDescent="0.25">
      <c r="A156" s="225" t="str">
        <f>'Participation Assumptions'!B157</f>
        <v>C&amp;I Curtailment-Turnkey-Standard Lighting Control</v>
      </c>
      <c r="B156" s="225" t="s">
        <v>397</v>
      </c>
      <c r="C156" s="225" t="str">
        <f>'Participation Assumptions'!C157</f>
        <v>Large Industrial</v>
      </c>
      <c r="D156" s="225" t="str">
        <f>'Participation Assumptions'!D157</f>
        <v>Services</v>
      </c>
      <c r="E156" s="329">
        <f t="shared" ref="E156:U156" si="173">(50%-E166)</f>
        <v>0.5</v>
      </c>
      <c r="F156" s="329">
        <f t="shared" si="173"/>
        <v>0.5</v>
      </c>
      <c r="G156" s="329">
        <f t="shared" si="173"/>
        <v>0.5</v>
      </c>
      <c r="H156" s="329">
        <f t="shared" si="173"/>
        <v>0.5</v>
      </c>
      <c r="I156" s="329">
        <f t="shared" si="173"/>
        <v>0.5</v>
      </c>
      <c r="J156" s="329">
        <f t="shared" si="173"/>
        <v>0.5</v>
      </c>
      <c r="K156" s="329">
        <f t="shared" si="173"/>
        <v>0.5</v>
      </c>
      <c r="L156" s="329">
        <f t="shared" si="173"/>
        <v>0.5</v>
      </c>
      <c r="M156" s="329">
        <f t="shared" si="173"/>
        <v>0.5</v>
      </c>
      <c r="N156" s="329">
        <f t="shared" si="173"/>
        <v>0.5</v>
      </c>
      <c r="O156" s="329">
        <f t="shared" si="173"/>
        <v>0.5</v>
      </c>
      <c r="P156" s="329">
        <f t="shared" si="173"/>
        <v>0.5</v>
      </c>
      <c r="Q156" s="329">
        <f t="shared" si="173"/>
        <v>0.5</v>
      </c>
      <c r="R156" s="329">
        <f t="shared" si="173"/>
        <v>0.5</v>
      </c>
      <c r="S156" s="329">
        <f t="shared" si="173"/>
        <v>0.5</v>
      </c>
      <c r="T156" s="329">
        <f t="shared" si="173"/>
        <v>0.5</v>
      </c>
      <c r="U156" s="329">
        <f t="shared" si="173"/>
        <v>0.5</v>
      </c>
      <c r="V156" s="430"/>
      <c r="W156" s="200" t="str">
        <f t="shared" si="124"/>
        <v>Large</v>
      </c>
      <c r="X156" s="198" t="str">
        <f t="shared" si="122"/>
        <v>C&amp;I Curtailment-Turnkey-Standard Lighting ControlLarge</v>
      </c>
      <c r="Y156" s="157" t="b">
        <f>ISNUMBER(MATCH(X156,'ProCESS CSE'!W:W,0))</f>
        <v>0</v>
      </c>
      <c r="Z156" s="157"/>
      <c r="AA156" s="157"/>
      <c r="AB156" s="157"/>
      <c r="AC156" s="157"/>
      <c r="AD156" s="157"/>
      <c r="AE156" s="157"/>
      <c r="AF156" s="157"/>
      <c r="AG156" s="157"/>
      <c r="AH156" s="157"/>
      <c r="AI156" s="157"/>
      <c r="AJ156" s="157"/>
      <c r="AK156" s="157"/>
      <c r="AL156" s="157"/>
      <c r="AM156" s="157"/>
      <c r="AN156" s="157"/>
      <c r="AO156" s="157"/>
      <c r="AP156" s="157"/>
    </row>
    <row r="157" spans="1:42" x14ac:dyDescent="0.25">
      <c r="A157" s="225" t="str">
        <f>'Participation Assumptions'!B158</f>
        <v>C&amp;I Curtailment-Turnkey-Standard Lighting Control</v>
      </c>
      <c r="B157" s="225" t="s">
        <v>397</v>
      </c>
      <c r="C157" s="225" t="str">
        <f>'Participation Assumptions'!C158</f>
        <v>Interruptible Rider</v>
      </c>
      <c r="D157" s="225" t="str">
        <f>'Participation Assumptions'!D158</f>
        <v>Manufacturing</v>
      </c>
      <c r="E157" s="329">
        <f t="shared" ref="E157:U157" si="174">(50%-E167)</f>
        <v>0.5</v>
      </c>
      <c r="F157" s="329">
        <f t="shared" si="174"/>
        <v>0.5</v>
      </c>
      <c r="G157" s="329">
        <f t="shared" si="174"/>
        <v>0.5</v>
      </c>
      <c r="H157" s="329">
        <f t="shared" si="174"/>
        <v>0.5</v>
      </c>
      <c r="I157" s="329">
        <f t="shared" si="174"/>
        <v>0.5</v>
      </c>
      <c r="J157" s="329">
        <f t="shared" si="174"/>
        <v>0.5</v>
      </c>
      <c r="K157" s="329">
        <f t="shared" si="174"/>
        <v>0.5</v>
      </c>
      <c r="L157" s="329">
        <f t="shared" si="174"/>
        <v>0.5</v>
      </c>
      <c r="M157" s="329">
        <f t="shared" si="174"/>
        <v>0.5</v>
      </c>
      <c r="N157" s="329">
        <f t="shared" si="174"/>
        <v>0.5</v>
      </c>
      <c r="O157" s="329">
        <f t="shared" si="174"/>
        <v>0.5</v>
      </c>
      <c r="P157" s="329">
        <f t="shared" si="174"/>
        <v>0.5</v>
      </c>
      <c r="Q157" s="329">
        <f t="shared" si="174"/>
        <v>0.5</v>
      </c>
      <c r="R157" s="329">
        <f t="shared" si="174"/>
        <v>0.5</v>
      </c>
      <c r="S157" s="329">
        <f t="shared" si="174"/>
        <v>0.5</v>
      </c>
      <c r="T157" s="329">
        <f t="shared" si="174"/>
        <v>0.5</v>
      </c>
      <c r="U157" s="329">
        <f t="shared" si="174"/>
        <v>0.5</v>
      </c>
      <c r="V157" s="430"/>
      <c r="W157" s="200" t="str">
        <f t="shared" si="124"/>
        <v>Large</v>
      </c>
      <c r="X157" s="198" t="str">
        <f t="shared" si="122"/>
        <v>C&amp;I Curtailment-Turnkey-Standard Lighting ControlLarge</v>
      </c>
      <c r="Y157" s="157" t="b">
        <f>ISNUMBER(MATCH(X157,'ProCESS CSE'!W:W,0))</f>
        <v>0</v>
      </c>
      <c r="Z157" s="157"/>
      <c r="AA157" s="157"/>
      <c r="AB157" s="157"/>
      <c r="AC157" s="157"/>
      <c r="AD157" s="157"/>
      <c r="AE157" s="157"/>
      <c r="AF157" s="157"/>
      <c r="AG157" s="157"/>
      <c r="AH157" s="157"/>
      <c r="AI157" s="157"/>
      <c r="AJ157" s="157"/>
      <c r="AK157" s="157"/>
      <c r="AL157" s="157"/>
      <c r="AM157" s="157"/>
      <c r="AN157" s="157"/>
      <c r="AO157" s="157"/>
      <c r="AP157" s="157"/>
    </row>
    <row r="158" spans="1:42" x14ac:dyDescent="0.25">
      <c r="A158" s="225" t="str">
        <f>'Participation Assumptions'!B159</f>
        <v>C&amp;I Curtailment-Turnkey-Standard Lighting Control</v>
      </c>
      <c r="B158" s="225" t="s">
        <v>397</v>
      </c>
      <c r="C158" s="225" t="str">
        <f>'Participation Assumptions'!C159</f>
        <v>Interruptible Rider</v>
      </c>
      <c r="D158" s="225" t="str">
        <f>'Participation Assumptions'!D159</f>
        <v>Miscellaneous</v>
      </c>
      <c r="E158" s="329">
        <f t="shared" ref="E158:U158" si="175">(50%-E168)</f>
        <v>0.5</v>
      </c>
      <c r="F158" s="329">
        <f t="shared" si="175"/>
        <v>0.5</v>
      </c>
      <c r="G158" s="329">
        <f t="shared" si="175"/>
        <v>0.5</v>
      </c>
      <c r="H158" s="329">
        <f t="shared" si="175"/>
        <v>0.5</v>
      </c>
      <c r="I158" s="329">
        <f t="shared" si="175"/>
        <v>0.5</v>
      </c>
      <c r="J158" s="329">
        <f t="shared" si="175"/>
        <v>0.5</v>
      </c>
      <c r="K158" s="329">
        <f t="shared" si="175"/>
        <v>0.5</v>
      </c>
      <c r="L158" s="329">
        <f t="shared" si="175"/>
        <v>0.5</v>
      </c>
      <c r="M158" s="329">
        <f t="shared" si="175"/>
        <v>0.5</v>
      </c>
      <c r="N158" s="329">
        <f t="shared" si="175"/>
        <v>0.5</v>
      </c>
      <c r="O158" s="329">
        <f t="shared" si="175"/>
        <v>0.5</v>
      </c>
      <c r="P158" s="329">
        <f t="shared" si="175"/>
        <v>0.5</v>
      </c>
      <c r="Q158" s="329">
        <f t="shared" si="175"/>
        <v>0.5</v>
      </c>
      <c r="R158" s="329">
        <f t="shared" si="175"/>
        <v>0.5</v>
      </c>
      <c r="S158" s="329">
        <f t="shared" si="175"/>
        <v>0.5</v>
      </c>
      <c r="T158" s="329">
        <f t="shared" si="175"/>
        <v>0.5</v>
      </c>
      <c r="U158" s="329">
        <f t="shared" si="175"/>
        <v>0.5</v>
      </c>
      <c r="V158" s="430"/>
      <c r="W158" s="200" t="str">
        <f t="shared" si="124"/>
        <v>Large</v>
      </c>
      <c r="X158" s="198" t="str">
        <f t="shared" si="122"/>
        <v>C&amp;I Curtailment-Turnkey-Standard Lighting ControlLarge</v>
      </c>
      <c r="Y158" s="157" t="b">
        <f>ISNUMBER(MATCH(X158,'ProCESS CSE'!W:W,0))</f>
        <v>0</v>
      </c>
      <c r="Z158" s="157"/>
      <c r="AA158" s="157"/>
      <c r="AB158" s="157"/>
      <c r="AC158" s="157"/>
      <c r="AD158" s="157"/>
      <c r="AE158" s="157"/>
      <c r="AF158" s="157"/>
      <c r="AG158" s="157"/>
      <c r="AH158" s="157"/>
      <c r="AI158" s="157"/>
      <c r="AJ158" s="157"/>
      <c r="AK158" s="157"/>
      <c r="AL158" s="157"/>
      <c r="AM158" s="157"/>
      <c r="AN158" s="157"/>
      <c r="AO158" s="157"/>
      <c r="AP158" s="157"/>
    </row>
    <row r="159" spans="1:42" ht="14.55" customHeight="1" x14ac:dyDescent="0.25">
      <c r="A159" s="225" t="str">
        <f>'Participation Assumptions'!B160</f>
        <v>C&amp;I Curtailment-Turnkey-Standard Lighting Control</v>
      </c>
      <c r="B159" s="225" t="s">
        <v>397</v>
      </c>
      <c r="C159" s="225" t="str">
        <f>'Participation Assumptions'!C160</f>
        <v>Interruptible Rider</v>
      </c>
      <c r="D159" s="225" t="str">
        <f>'Participation Assumptions'!D160</f>
        <v>Retail Trade</v>
      </c>
      <c r="E159" s="329">
        <f t="shared" ref="E159:U159" si="176">(50%-E169)</f>
        <v>0.5</v>
      </c>
      <c r="F159" s="329">
        <f t="shared" si="176"/>
        <v>0.5</v>
      </c>
      <c r="G159" s="329">
        <f t="shared" si="176"/>
        <v>0.5</v>
      </c>
      <c r="H159" s="329">
        <f t="shared" si="176"/>
        <v>0.5</v>
      </c>
      <c r="I159" s="329">
        <f t="shared" si="176"/>
        <v>0.5</v>
      </c>
      <c r="J159" s="329">
        <f t="shared" si="176"/>
        <v>0.5</v>
      </c>
      <c r="K159" s="329">
        <f t="shared" si="176"/>
        <v>0.5</v>
      </c>
      <c r="L159" s="329">
        <f t="shared" si="176"/>
        <v>0.5</v>
      </c>
      <c r="M159" s="329">
        <f t="shared" si="176"/>
        <v>0.5</v>
      </c>
      <c r="N159" s="329">
        <f t="shared" si="176"/>
        <v>0.5</v>
      </c>
      <c r="O159" s="329">
        <f t="shared" si="176"/>
        <v>0.5</v>
      </c>
      <c r="P159" s="329">
        <f t="shared" si="176"/>
        <v>0.5</v>
      </c>
      <c r="Q159" s="329">
        <f t="shared" si="176"/>
        <v>0.5</v>
      </c>
      <c r="R159" s="329">
        <f t="shared" si="176"/>
        <v>0.5</v>
      </c>
      <c r="S159" s="329">
        <f t="shared" si="176"/>
        <v>0.5</v>
      </c>
      <c r="T159" s="329">
        <f t="shared" si="176"/>
        <v>0.5</v>
      </c>
      <c r="U159" s="329">
        <f t="shared" si="176"/>
        <v>0.5</v>
      </c>
      <c r="V159" s="430"/>
      <c r="W159" s="200" t="str">
        <f t="shared" si="124"/>
        <v>Large</v>
      </c>
      <c r="X159" s="198" t="str">
        <f t="shared" si="122"/>
        <v>C&amp;I Curtailment-Turnkey-Standard Lighting ControlLarge</v>
      </c>
      <c r="Y159" s="157" t="b">
        <f>ISNUMBER(MATCH(X159,'ProCESS CSE'!W:W,0))</f>
        <v>0</v>
      </c>
      <c r="Z159" s="157"/>
      <c r="AA159" s="157"/>
      <c r="AB159" s="157"/>
      <c r="AC159" s="157"/>
      <c r="AD159" s="157"/>
      <c r="AE159" s="157"/>
      <c r="AF159" s="157"/>
      <c r="AG159" s="157"/>
      <c r="AH159" s="157"/>
      <c r="AI159" s="157"/>
      <c r="AJ159" s="157"/>
      <c r="AK159" s="157"/>
      <c r="AL159" s="157"/>
      <c r="AM159" s="157"/>
      <c r="AN159" s="157"/>
      <c r="AO159" s="157"/>
      <c r="AP159" s="157"/>
    </row>
    <row r="160" spans="1:42" ht="14.4" x14ac:dyDescent="0.25">
      <c r="A160" s="225" t="str">
        <f>'Participation Assumptions'!B161</f>
        <v>C&amp;I Curtailment-Turnkey-Advanced Lighting Control</v>
      </c>
      <c r="B160" s="225" t="s">
        <v>397</v>
      </c>
      <c r="C160" s="225" t="str">
        <f>'Participation Assumptions'!C161</f>
        <v>Large Commercial</v>
      </c>
      <c r="D160" s="225" t="str">
        <f>'Participation Assumptions'!D161</f>
        <v>Offices</v>
      </c>
      <c r="E160" s="330">
        <f t="shared" ref="E160:E169" si="177">IFERROR((F160/G160)*F160,0)</f>
        <v>0</v>
      </c>
      <c r="F160" s="330">
        <f t="shared" ref="F160:F169" si="178">IFERROR((G160/H160)*G160,0)</f>
        <v>0</v>
      </c>
      <c r="G160" s="330">
        <v>0</v>
      </c>
      <c r="H160" s="330">
        <v>0</v>
      </c>
      <c r="I160" s="330">
        <v>0</v>
      </c>
      <c r="J160" s="330">
        <v>0</v>
      </c>
      <c r="K160" s="330">
        <v>0</v>
      </c>
      <c r="L160" s="330">
        <v>0</v>
      </c>
      <c r="M160" s="330">
        <v>0</v>
      </c>
      <c r="N160" s="330">
        <v>0</v>
      </c>
      <c r="O160" s="330">
        <v>0</v>
      </c>
      <c r="P160" s="330">
        <v>0</v>
      </c>
      <c r="Q160" s="330">
        <v>0</v>
      </c>
      <c r="R160" s="330">
        <v>0</v>
      </c>
      <c r="S160" s="330">
        <v>0</v>
      </c>
      <c r="T160" s="330">
        <v>0</v>
      </c>
      <c r="U160" s="330">
        <v>0</v>
      </c>
      <c r="V160" s="430" t="s">
        <v>310</v>
      </c>
      <c r="W160" s="200" t="str">
        <f t="shared" si="124"/>
        <v>Large</v>
      </c>
      <c r="X160" s="198" t="str">
        <f t="shared" si="122"/>
        <v>C&amp;I Curtailment-Turnkey-Advanced Lighting ControlLarge</v>
      </c>
      <c r="Y160" s="157" t="b">
        <f>ISNUMBER(MATCH(X160,'ProCESS CSE'!W:W,0))</f>
        <v>1</v>
      </c>
      <c r="Z160" s="318">
        <v>0.2</v>
      </c>
      <c r="AA160" s="318">
        <v>0.2</v>
      </c>
      <c r="AB160" s="318">
        <v>0.2</v>
      </c>
      <c r="AC160" s="318">
        <v>0.2</v>
      </c>
      <c r="AD160" s="318">
        <v>0.2</v>
      </c>
      <c r="AE160" s="318">
        <v>0.2</v>
      </c>
      <c r="AF160" s="318">
        <v>0.2</v>
      </c>
      <c r="AG160" s="318">
        <v>0.2</v>
      </c>
      <c r="AH160" s="318">
        <v>0.2</v>
      </c>
      <c r="AI160" s="318">
        <v>0.2</v>
      </c>
      <c r="AJ160" s="318">
        <v>0.2</v>
      </c>
      <c r="AK160" s="318">
        <v>0.2</v>
      </c>
      <c r="AL160" s="318">
        <v>0.2</v>
      </c>
      <c r="AM160" s="318">
        <v>0.2</v>
      </c>
      <c r="AN160" s="318">
        <v>0.2</v>
      </c>
      <c r="AO160" s="318">
        <v>0.2</v>
      </c>
      <c r="AP160" s="318">
        <v>0.2</v>
      </c>
    </row>
    <row r="161" spans="1:42" ht="14.4" x14ac:dyDescent="0.25">
      <c r="A161" s="225" t="str">
        <f>'Participation Assumptions'!B162</f>
        <v>C&amp;I Curtailment-Turnkey-Advanced Lighting Control</v>
      </c>
      <c r="B161" s="225" t="s">
        <v>397</v>
      </c>
      <c r="C161" s="225" t="str">
        <f>'Participation Assumptions'!C162</f>
        <v>Large Commercial</v>
      </c>
      <c r="D161" s="225" t="str">
        <f>'Participation Assumptions'!D162</f>
        <v>Services</v>
      </c>
      <c r="E161" s="330">
        <f t="shared" si="177"/>
        <v>0</v>
      </c>
      <c r="F161" s="330">
        <f t="shared" si="178"/>
        <v>0</v>
      </c>
      <c r="G161" s="330">
        <v>0</v>
      </c>
      <c r="H161" s="330">
        <v>0</v>
      </c>
      <c r="I161" s="330">
        <v>0</v>
      </c>
      <c r="J161" s="330">
        <v>0</v>
      </c>
      <c r="K161" s="330">
        <v>0</v>
      </c>
      <c r="L161" s="330">
        <v>0</v>
      </c>
      <c r="M161" s="330">
        <v>0</v>
      </c>
      <c r="N161" s="330">
        <v>0</v>
      </c>
      <c r="O161" s="330">
        <v>0</v>
      </c>
      <c r="P161" s="330">
        <v>0</v>
      </c>
      <c r="Q161" s="330">
        <v>0</v>
      </c>
      <c r="R161" s="330">
        <v>0</v>
      </c>
      <c r="S161" s="330">
        <v>0</v>
      </c>
      <c r="T161" s="330">
        <v>0</v>
      </c>
      <c r="U161" s="330">
        <v>0</v>
      </c>
      <c r="V161" s="430"/>
      <c r="W161" s="200" t="str">
        <f t="shared" si="124"/>
        <v>Large</v>
      </c>
      <c r="X161" s="198" t="str">
        <f t="shared" si="122"/>
        <v>C&amp;I Curtailment-Turnkey-Advanced Lighting ControlLarge</v>
      </c>
      <c r="Y161" s="157" t="b">
        <f>ISNUMBER(MATCH(X161,'ProCESS CSE'!W:W,0))</f>
        <v>1</v>
      </c>
      <c r="Z161" s="318">
        <v>0.2</v>
      </c>
      <c r="AA161" s="318">
        <v>0.2</v>
      </c>
      <c r="AB161" s="318">
        <v>0.2</v>
      </c>
      <c r="AC161" s="318">
        <v>0.2</v>
      </c>
      <c r="AD161" s="318">
        <v>0.2</v>
      </c>
      <c r="AE161" s="318">
        <v>0.2</v>
      </c>
      <c r="AF161" s="318">
        <v>0.2</v>
      </c>
      <c r="AG161" s="318">
        <v>0.2</v>
      </c>
      <c r="AH161" s="318">
        <v>0.2</v>
      </c>
      <c r="AI161" s="318">
        <v>0.2</v>
      </c>
      <c r="AJ161" s="318">
        <v>0.2</v>
      </c>
      <c r="AK161" s="318">
        <v>0.2</v>
      </c>
      <c r="AL161" s="318">
        <v>0.2</v>
      </c>
      <c r="AM161" s="318">
        <v>0.2</v>
      </c>
      <c r="AN161" s="318">
        <v>0.2</v>
      </c>
      <c r="AO161" s="318">
        <v>0.2</v>
      </c>
      <c r="AP161" s="318">
        <v>0.2</v>
      </c>
    </row>
    <row r="162" spans="1:42" ht="14.4" x14ac:dyDescent="0.25">
      <c r="A162" s="225" t="str">
        <f>'Participation Assumptions'!B163</f>
        <v>C&amp;I Curtailment-Turnkey-Advanced Lighting Control</v>
      </c>
      <c r="B162" s="225" t="s">
        <v>397</v>
      </c>
      <c r="C162" s="225" t="str">
        <f>'Participation Assumptions'!C163</f>
        <v>Large Industrial</v>
      </c>
      <c r="D162" s="225" t="str">
        <f>'Participation Assumptions'!D163</f>
        <v>Manufacturing</v>
      </c>
      <c r="E162" s="330">
        <f t="shared" si="177"/>
        <v>0</v>
      </c>
      <c r="F162" s="330">
        <f t="shared" si="178"/>
        <v>0</v>
      </c>
      <c r="G162" s="330">
        <v>0</v>
      </c>
      <c r="H162" s="330">
        <v>0</v>
      </c>
      <c r="I162" s="330">
        <v>0</v>
      </c>
      <c r="J162" s="330">
        <v>0</v>
      </c>
      <c r="K162" s="330">
        <v>0</v>
      </c>
      <c r="L162" s="330">
        <v>0</v>
      </c>
      <c r="M162" s="330">
        <v>0</v>
      </c>
      <c r="N162" s="330">
        <v>0</v>
      </c>
      <c r="O162" s="330">
        <v>0</v>
      </c>
      <c r="P162" s="330">
        <v>0</v>
      </c>
      <c r="Q162" s="330">
        <v>0</v>
      </c>
      <c r="R162" s="330">
        <v>0</v>
      </c>
      <c r="S162" s="330">
        <v>0</v>
      </c>
      <c r="T162" s="330">
        <v>0</v>
      </c>
      <c r="U162" s="330">
        <v>0</v>
      </c>
      <c r="V162" s="430"/>
      <c r="W162" s="200" t="str">
        <f t="shared" si="124"/>
        <v>Large</v>
      </c>
      <c r="X162" s="198" t="str">
        <f t="shared" si="122"/>
        <v>C&amp;I Curtailment-Turnkey-Advanced Lighting ControlLarge</v>
      </c>
      <c r="Y162" s="157" t="b">
        <f>ISNUMBER(MATCH(X162,'ProCESS CSE'!W:W,0))</f>
        <v>1</v>
      </c>
      <c r="Z162" s="318">
        <v>0.2</v>
      </c>
      <c r="AA162" s="318">
        <v>0.2</v>
      </c>
      <c r="AB162" s="318">
        <v>0.2</v>
      </c>
      <c r="AC162" s="318">
        <v>0.2</v>
      </c>
      <c r="AD162" s="318">
        <v>0.2</v>
      </c>
      <c r="AE162" s="318">
        <v>0.2</v>
      </c>
      <c r="AF162" s="318">
        <v>0.2</v>
      </c>
      <c r="AG162" s="318">
        <v>0.2</v>
      </c>
      <c r="AH162" s="318">
        <v>0.2</v>
      </c>
      <c r="AI162" s="318">
        <v>0.2</v>
      </c>
      <c r="AJ162" s="318">
        <v>0.2</v>
      </c>
      <c r="AK162" s="318">
        <v>0.2</v>
      </c>
      <c r="AL162" s="318">
        <v>0.2</v>
      </c>
      <c r="AM162" s="318">
        <v>0.2</v>
      </c>
      <c r="AN162" s="318">
        <v>0.2</v>
      </c>
      <c r="AO162" s="318">
        <v>0.2</v>
      </c>
      <c r="AP162" s="318">
        <v>0.2</v>
      </c>
    </row>
    <row r="163" spans="1:42" ht="14.4" x14ac:dyDescent="0.25">
      <c r="A163" s="225" t="str">
        <f>'Participation Assumptions'!B164</f>
        <v>C&amp;I Curtailment-Turnkey-Advanced Lighting Control</v>
      </c>
      <c r="B163" s="225" t="s">
        <v>397</v>
      </c>
      <c r="C163" s="225" t="str">
        <f>'Participation Assumptions'!C164</f>
        <v>Large Industrial</v>
      </c>
      <c r="D163" s="225" t="str">
        <f>'Participation Assumptions'!D164</f>
        <v>Miscellaneous</v>
      </c>
      <c r="E163" s="330">
        <f t="shared" si="177"/>
        <v>0</v>
      </c>
      <c r="F163" s="330">
        <f t="shared" si="178"/>
        <v>0</v>
      </c>
      <c r="G163" s="330">
        <v>0</v>
      </c>
      <c r="H163" s="330">
        <v>0</v>
      </c>
      <c r="I163" s="330">
        <v>0</v>
      </c>
      <c r="J163" s="330">
        <v>0</v>
      </c>
      <c r="K163" s="330">
        <v>0</v>
      </c>
      <c r="L163" s="330">
        <v>0</v>
      </c>
      <c r="M163" s="330">
        <v>0</v>
      </c>
      <c r="N163" s="330">
        <v>0</v>
      </c>
      <c r="O163" s="330">
        <v>0</v>
      </c>
      <c r="P163" s="330">
        <v>0</v>
      </c>
      <c r="Q163" s="330">
        <v>0</v>
      </c>
      <c r="R163" s="330">
        <v>0</v>
      </c>
      <c r="S163" s="330">
        <v>0</v>
      </c>
      <c r="T163" s="330">
        <v>0</v>
      </c>
      <c r="U163" s="330">
        <v>0</v>
      </c>
      <c r="V163" s="430"/>
      <c r="W163" s="200" t="str">
        <f t="shared" si="124"/>
        <v>Large</v>
      </c>
      <c r="X163" s="198" t="str">
        <f t="shared" si="122"/>
        <v>C&amp;I Curtailment-Turnkey-Advanced Lighting ControlLarge</v>
      </c>
      <c r="Y163" s="157" t="b">
        <f>ISNUMBER(MATCH(X163,'ProCESS CSE'!W:W,0))</f>
        <v>1</v>
      </c>
      <c r="Z163" s="318">
        <v>0.2</v>
      </c>
      <c r="AA163" s="318">
        <v>0.2</v>
      </c>
      <c r="AB163" s="318">
        <v>0.2</v>
      </c>
      <c r="AC163" s="318">
        <v>0.2</v>
      </c>
      <c r="AD163" s="318">
        <v>0.2</v>
      </c>
      <c r="AE163" s="318">
        <v>0.2</v>
      </c>
      <c r="AF163" s="318">
        <v>0.2</v>
      </c>
      <c r="AG163" s="318">
        <v>0.2</v>
      </c>
      <c r="AH163" s="318">
        <v>0.2</v>
      </c>
      <c r="AI163" s="318">
        <v>0.2</v>
      </c>
      <c r="AJ163" s="318">
        <v>0.2</v>
      </c>
      <c r="AK163" s="318">
        <v>0.2</v>
      </c>
      <c r="AL163" s="318">
        <v>0.2</v>
      </c>
      <c r="AM163" s="318">
        <v>0.2</v>
      </c>
      <c r="AN163" s="318">
        <v>0.2</v>
      </c>
      <c r="AO163" s="318">
        <v>0.2</v>
      </c>
      <c r="AP163" s="318">
        <v>0.2</v>
      </c>
    </row>
    <row r="164" spans="1:42" ht="14.4" x14ac:dyDescent="0.25">
      <c r="A164" s="225" t="str">
        <f>'Participation Assumptions'!B165</f>
        <v>C&amp;I Curtailment-Turnkey-Advanced Lighting Control</v>
      </c>
      <c r="B164" s="225" t="s">
        <v>397</v>
      </c>
      <c r="C164" s="225" t="str">
        <f>'Participation Assumptions'!C165</f>
        <v>Large Industrial</v>
      </c>
      <c r="D164" s="225" t="str">
        <f>'Participation Assumptions'!D165</f>
        <v>Offices</v>
      </c>
      <c r="E164" s="330">
        <f t="shared" si="177"/>
        <v>0</v>
      </c>
      <c r="F164" s="330">
        <f t="shared" si="178"/>
        <v>0</v>
      </c>
      <c r="G164" s="330">
        <v>0</v>
      </c>
      <c r="H164" s="330">
        <v>0</v>
      </c>
      <c r="I164" s="330">
        <v>0</v>
      </c>
      <c r="J164" s="330">
        <v>0</v>
      </c>
      <c r="K164" s="330">
        <v>0</v>
      </c>
      <c r="L164" s="330">
        <v>0</v>
      </c>
      <c r="M164" s="330">
        <v>0</v>
      </c>
      <c r="N164" s="330">
        <v>0</v>
      </c>
      <c r="O164" s="330">
        <v>0</v>
      </c>
      <c r="P164" s="330">
        <v>0</v>
      </c>
      <c r="Q164" s="330">
        <v>0</v>
      </c>
      <c r="R164" s="330">
        <v>0</v>
      </c>
      <c r="S164" s="330">
        <v>0</v>
      </c>
      <c r="T164" s="330">
        <v>0</v>
      </c>
      <c r="U164" s="330">
        <v>0</v>
      </c>
      <c r="V164" s="430"/>
      <c r="W164" s="200" t="str">
        <f t="shared" si="124"/>
        <v>Large</v>
      </c>
      <c r="X164" s="198" t="str">
        <f t="shared" si="122"/>
        <v>C&amp;I Curtailment-Turnkey-Advanced Lighting ControlLarge</v>
      </c>
      <c r="Y164" s="157" t="b">
        <f>ISNUMBER(MATCH(X164,'ProCESS CSE'!W:W,0))</f>
        <v>1</v>
      </c>
      <c r="Z164" s="318">
        <v>0.2</v>
      </c>
      <c r="AA164" s="318">
        <v>0.2</v>
      </c>
      <c r="AB164" s="318">
        <v>0.2</v>
      </c>
      <c r="AC164" s="318">
        <v>0.2</v>
      </c>
      <c r="AD164" s="318">
        <v>0.2</v>
      </c>
      <c r="AE164" s="318">
        <v>0.2</v>
      </c>
      <c r="AF164" s="318">
        <v>0.2</v>
      </c>
      <c r="AG164" s="318">
        <v>0.2</v>
      </c>
      <c r="AH164" s="318">
        <v>0.2</v>
      </c>
      <c r="AI164" s="318">
        <v>0.2</v>
      </c>
      <c r="AJ164" s="318">
        <v>0.2</v>
      </c>
      <c r="AK164" s="318">
        <v>0.2</v>
      </c>
      <c r="AL164" s="318">
        <v>0.2</v>
      </c>
      <c r="AM164" s="318">
        <v>0.2</v>
      </c>
      <c r="AN164" s="318">
        <v>0.2</v>
      </c>
      <c r="AO164" s="318">
        <v>0.2</v>
      </c>
      <c r="AP164" s="318">
        <v>0.2</v>
      </c>
    </row>
    <row r="165" spans="1:42" ht="14.4" x14ac:dyDescent="0.25">
      <c r="A165" s="225" t="str">
        <f>'Participation Assumptions'!B166</f>
        <v>C&amp;I Curtailment-Turnkey-Advanced Lighting Control</v>
      </c>
      <c r="B165" s="225" t="s">
        <v>397</v>
      </c>
      <c r="C165" s="225" t="str">
        <f>'Participation Assumptions'!C166</f>
        <v>Large Industrial</v>
      </c>
      <c r="D165" s="225" t="str">
        <f>'Participation Assumptions'!D166</f>
        <v>Retail Trade</v>
      </c>
      <c r="E165" s="330">
        <f t="shared" si="177"/>
        <v>0</v>
      </c>
      <c r="F165" s="330">
        <f t="shared" si="178"/>
        <v>0</v>
      </c>
      <c r="G165" s="330">
        <v>0</v>
      </c>
      <c r="H165" s="330">
        <v>0</v>
      </c>
      <c r="I165" s="330">
        <v>0</v>
      </c>
      <c r="J165" s="330">
        <v>0</v>
      </c>
      <c r="K165" s="330">
        <v>0</v>
      </c>
      <c r="L165" s="330">
        <v>0</v>
      </c>
      <c r="M165" s="330">
        <v>0</v>
      </c>
      <c r="N165" s="330">
        <v>0</v>
      </c>
      <c r="O165" s="330">
        <v>0</v>
      </c>
      <c r="P165" s="330">
        <v>0</v>
      </c>
      <c r="Q165" s="330">
        <v>0</v>
      </c>
      <c r="R165" s="330">
        <v>0</v>
      </c>
      <c r="S165" s="330">
        <v>0</v>
      </c>
      <c r="T165" s="330">
        <v>0</v>
      </c>
      <c r="U165" s="330">
        <v>0</v>
      </c>
      <c r="V165" s="430"/>
      <c r="W165" s="200" t="str">
        <f t="shared" si="124"/>
        <v>Large</v>
      </c>
      <c r="X165" s="198" t="str">
        <f t="shared" si="122"/>
        <v>C&amp;I Curtailment-Turnkey-Advanced Lighting ControlLarge</v>
      </c>
      <c r="Y165" s="157" t="b">
        <f>ISNUMBER(MATCH(X165,'ProCESS CSE'!W:W,0))</f>
        <v>1</v>
      </c>
      <c r="Z165" s="318">
        <v>0.2</v>
      </c>
      <c r="AA165" s="318">
        <v>0.2</v>
      </c>
      <c r="AB165" s="318">
        <v>0.2</v>
      </c>
      <c r="AC165" s="318">
        <v>0.2</v>
      </c>
      <c r="AD165" s="318">
        <v>0.2</v>
      </c>
      <c r="AE165" s="318">
        <v>0.2</v>
      </c>
      <c r="AF165" s="318">
        <v>0.2</v>
      </c>
      <c r="AG165" s="318">
        <v>0.2</v>
      </c>
      <c r="AH165" s="318">
        <v>0.2</v>
      </c>
      <c r="AI165" s="318">
        <v>0.2</v>
      </c>
      <c r="AJ165" s="318">
        <v>0.2</v>
      </c>
      <c r="AK165" s="318">
        <v>0.2</v>
      </c>
      <c r="AL165" s="318">
        <v>0.2</v>
      </c>
      <c r="AM165" s="318">
        <v>0.2</v>
      </c>
      <c r="AN165" s="318">
        <v>0.2</v>
      </c>
      <c r="AO165" s="318">
        <v>0.2</v>
      </c>
      <c r="AP165" s="318">
        <v>0.2</v>
      </c>
    </row>
    <row r="166" spans="1:42" ht="14.4" x14ac:dyDescent="0.25">
      <c r="A166" s="225" t="str">
        <f>'Participation Assumptions'!B167</f>
        <v>C&amp;I Curtailment-Turnkey-Advanced Lighting Control</v>
      </c>
      <c r="B166" s="225" t="s">
        <v>397</v>
      </c>
      <c r="C166" s="225" t="str">
        <f>'Participation Assumptions'!C167</f>
        <v>Large Industrial</v>
      </c>
      <c r="D166" s="225" t="str">
        <f>'Participation Assumptions'!D167</f>
        <v>Services</v>
      </c>
      <c r="E166" s="330">
        <f t="shared" si="177"/>
        <v>0</v>
      </c>
      <c r="F166" s="330">
        <f t="shared" si="178"/>
        <v>0</v>
      </c>
      <c r="G166" s="330">
        <v>0</v>
      </c>
      <c r="H166" s="330">
        <v>0</v>
      </c>
      <c r="I166" s="330">
        <v>0</v>
      </c>
      <c r="J166" s="330">
        <v>0</v>
      </c>
      <c r="K166" s="330">
        <v>0</v>
      </c>
      <c r="L166" s="330">
        <v>0</v>
      </c>
      <c r="M166" s="330">
        <v>0</v>
      </c>
      <c r="N166" s="330">
        <v>0</v>
      </c>
      <c r="O166" s="330">
        <v>0</v>
      </c>
      <c r="P166" s="330">
        <v>0</v>
      </c>
      <c r="Q166" s="330">
        <v>0</v>
      </c>
      <c r="R166" s="330">
        <v>0</v>
      </c>
      <c r="S166" s="330">
        <v>0</v>
      </c>
      <c r="T166" s="330">
        <v>0</v>
      </c>
      <c r="U166" s="330">
        <v>0</v>
      </c>
      <c r="V166" s="430"/>
      <c r="W166" s="200" t="str">
        <f t="shared" si="124"/>
        <v>Large</v>
      </c>
      <c r="X166" s="198" t="str">
        <f t="shared" si="122"/>
        <v>C&amp;I Curtailment-Turnkey-Advanced Lighting ControlLarge</v>
      </c>
      <c r="Y166" s="157" t="b">
        <f>ISNUMBER(MATCH(X166,'ProCESS CSE'!W:W,0))</f>
        <v>1</v>
      </c>
      <c r="Z166" s="318">
        <v>0.2</v>
      </c>
      <c r="AA166" s="318">
        <v>0.2</v>
      </c>
      <c r="AB166" s="318">
        <v>0.2</v>
      </c>
      <c r="AC166" s="318">
        <v>0.2</v>
      </c>
      <c r="AD166" s="318">
        <v>0.2</v>
      </c>
      <c r="AE166" s="318">
        <v>0.2</v>
      </c>
      <c r="AF166" s="318">
        <v>0.2</v>
      </c>
      <c r="AG166" s="318">
        <v>0.2</v>
      </c>
      <c r="AH166" s="318">
        <v>0.2</v>
      </c>
      <c r="AI166" s="318">
        <v>0.2</v>
      </c>
      <c r="AJ166" s="318">
        <v>0.2</v>
      </c>
      <c r="AK166" s="318">
        <v>0.2</v>
      </c>
      <c r="AL166" s="318">
        <v>0.2</v>
      </c>
      <c r="AM166" s="318">
        <v>0.2</v>
      </c>
      <c r="AN166" s="318">
        <v>0.2</v>
      </c>
      <c r="AO166" s="318">
        <v>0.2</v>
      </c>
      <c r="AP166" s="318">
        <v>0.2</v>
      </c>
    </row>
    <row r="167" spans="1:42" ht="14.4" x14ac:dyDescent="0.25">
      <c r="A167" s="225" t="str">
        <f>'Participation Assumptions'!B168</f>
        <v>C&amp;I Curtailment-Turnkey-Advanced Lighting Control</v>
      </c>
      <c r="B167" s="225" t="s">
        <v>397</v>
      </c>
      <c r="C167" s="225" t="str">
        <f>'Participation Assumptions'!C168</f>
        <v>Interruptible Rider</v>
      </c>
      <c r="D167" s="225" t="str">
        <f>'Participation Assumptions'!D168</f>
        <v>Manufacturing</v>
      </c>
      <c r="E167" s="330">
        <f t="shared" si="177"/>
        <v>0</v>
      </c>
      <c r="F167" s="330">
        <f t="shared" si="178"/>
        <v>0</v>
      </c>
      <c r="G167" s="330">
        <v>0</v>
      </c>
      <c r="H167" s="330">
        <v>0</v>
      </c>
      <c r="I167" s="330">
        <v>0</v>
      </c>
      <c r="J167" s="330">
        <v>0</v>
      </c>
      <c r="K167" s="330">
        <v>0</v>
      </c>
      <c r="L167" s="330">
        <v>0</v>
      </c>
      <c r="M167" s="330">
        <v>0</v>
      </c>
      <c r="N167" s="330">
        <v>0</v>
      </c>
      <c r="O167" s="330">
        <v>0</v>
      </c>
      <c r="P167" s="330">
        <v>0</v>
      </c>
      <c r="Q167" s="330">
        <v>0</v>
      </c>
      <c r="R167" s="330">
        <v>0</v>
      </c>
      <c r="S167" s="330">
        <v>0</v>
      </c>
      <c r="T167" s="330">
        <v>0</v>
      </c>
      <c r="U167" s="330">
        <v>0</v>
      </c>
      <c r="V167" s="430"/>
      <c r="W167" s="200" t="str">
        <f t="shared" si="124"/>
        <v>Large</v>
      </c>
      <c r="X167" s="198" t="str">
        <f t="shared" si="122"/>
        <v>C&amp;I Curtailment-Turnkey-Advanced Lighting ControlLarge</v>
      </c>
      <c r="Y167" s="157" t="b">
        <f>ISNUMBER(MATCH(X167,'ProCESS CSE'!W:W,0))</f>
        <v>1</v>
      </c>
      <c r="Z167" s="318">
        <v>0.2</v>
      </c>
      <c r="AA167" s="318">
        <v>0.2</v>
      </c>
      <c r="AB167" s="318">
        <v>0.2</v>
      </c>
      <c r="AC167" s="318">
        <v>0.2</v>
      </c>
      <c r="AD167" s="318">
        <v>0.2</v>
      </c>
      <c r="AE167" s="318">
        <v>0.2</v>
      </c>
      <c r="AF167" s="318">
        <v>0.2</v>
      </c>
      <c r="AG167" s="318">
        <v>0.2</v>
      </c>
      <c r="AH167" s="318">
        <v>0.2</v>
      </c>
      <c r="AI167" s="318">
        <v>0.2</v>
      </c>
      <c r="AJ167" s="318">
        <v>0.2</v>
      </c>
      <c r="AK167" s="318">
        <v>0.2</v>
      </c>
      <c r="AL167" s="318">
        <v>0.2</v>
      </c>
      <c r="AM167" s="318">
        <v>0.2</v>
      </c>
      <c r="AN167" s="318">
        <v>0.2</v>
      </c>
      <c r="AO167" s="318">
        <v>0.2</v>
      </c>
      <c r="AP167" s="318">
        <v>0.2</v>
      </c>
    </row>
    <row r="168" spans="1:42" ht="14.4" x14ac:dyDescent="0.25">
      <c r="A168" s="225" t="str">
        <f>'Participation Assumptions'!B169</f>
        <v>C&amp;I Curtailment-Turnkey-Advanced Lighting Control</v>
      </c>
      <c r="B168" s="225" t="s">
        <v>397</v>
      </c>
      <c r="C168" s="225" t="str">
        <f>'Participation Assumptions'!C169</f>
        <v>Interruptible Rider</v>
      </c>
      <c r="D168" s="225" t="str">
        <f>'Participation Assumptions'!D169</f>
        <v>Miscellaneous</v>
      </c>
      <c r="E168" s="330">
        <f t="shared" si="177"/>
        <v>0</v>
      </c>
      <c r="F168" s="330">
        <f t="shared" si="178"/>
        <v>0</v>
      </c>
      <c r="G168" s="330">
        <v>0</v>
      </c>
      <c r="H168" s="330">
        <v>0</v>
      </c>
      <c r="I168" s="330">
        <v>0</v>
      </c>
      <c r="J168" s="330">
        <v>0</v>
      </c>
      <c r="K168" s="330">
        <v>0</v>
      </c>
      <c r="L168" s="330">
        <v>0</v>
      </c>
      <c r="M168" s="330">
        <v>0</v>
      </c>
      <c r="N168" s="330">
        <v>0</v>
      </c>
      <c r="O168" s="330">
        <v>0</v>
      </c>
      <c r="P168" s="330">
        <v>0</v>
      </c>
      <c r="Q168" s="330">
        <v>0</v>
      </c>
      <c r="R168" s="330">
        <v>0</v>
      </c>
      <c r="S168" s="330">
        <v>0</v>
      </c>
      <c r="T168" s="330">
        <v>0</v>
      </c>
      <c r="U168" s="330">
        <v>0</v>
      </c>
      <c r="V168" s="430"/>
      <c r="W168" s="200" t="str">
        <f t="shared" si="124"/>
        <v>Large</v>
      </c>
      <c r="X168" s="198" t="str">
        <f t="shared" si="122"/>
        <v>C&amp;I Curtailment-Turnkey-Advanced Lighting ControlLarge</v>
      </c>
      <c r="Y168" s="157" t="b">
        <f>ISNUMBER(MATCH(X168,'ProCESS CSE'!W:W,0))</f>
        <v>1</v>
      </c>
      <c r="Z168" s="318">
        <v>0.2</v>
      </c>
      <c r="AA168" s="318">
        <v>0.2</v>
      </c>
      <c r="AB168" s="318">
        <v>0.2</v>
      </c>
      <c r="AC168" s="318">
        <v>0.2</v>
      </c>
      <c r="AD168" s="318">
        <v>0.2</v>
      </c>
      <c r="AE168" s="318">
        <v>0.2</v>
      </c>
      <c r="AF168" s="318">
        <v>0.2</v>
      </c>
      <c r="AG168" s="318">
        <v>0.2</v>
      </c>
      <c r="AH168" s="318">
        <v>0.2</v>
      </c>
      <c r="AI168" s="318">
        <v>0.2</v>
      </c>
      <c r="AJ168" s="318">
        <v>0.2</v>
      </c>
      <c r="AK168" s="318">
        <v>0.2</v>
      </c>
      <c r="AL168" s="318">
        <v>0.2</v>
      </c>
      <c r="AM168" s="318">
        <v>0.2</v>
      </c>
      <c r="AN168" s="318">
        <v>0.2</v>
      </c>
      <c r="AO168" s="318">
        <v>0.2</v>
      </c>
      <c r="AP168" s="318">
        <v>0.2</v>
      </c>
    </row>
    <row r="169" spans="1:42" ht="14.4" x14ac:dyDescent="0.25">
      <c r="A169" s="225" t="str">
        <f>'Participation Assumptions'!B170</f>
        <v>C&amp;I Curtailment-Turnkey-Advanced Lighting Control</v>
      </c>
      <c r="B169" s="225" t="s">
        <v>397</v>
      </c>
      <c r="C169" s="225" t="str">
        <f>'Participation Assumptions'!C170</f>
        <v>Interruptible Rider</v>
      </c>
      <c r="D169" s="225" t="str">
        <f>'Participation Assumptions'!D170</f>
        <v>Retail Trade</v>
      </c>
      <c r="E169" s="330">
        <f t="shared" si="177"/>
        <v>0</v>
      </c>
      <c r="F169" s="330">
        <f t="shared" si="178"/>
        <v>0</v>
      </c>
      <c r="G169" s="330">
        <v>0</v>
      </c>
      <c r="H169" s="330">
        <v>0</v>
      </c>
      <c r="I169" s="330">
        <v>0</v>
      </c>
      <c r="J169" s="330">
        <v>0</v>
      </c>
      <c r="K169" s="330">
        <v>0</v>
      </c>
      <c r="L169" s="330">
        <v>0</v>
      </c>
      <c r="M169" s="330">
        <v>0</v>
      </c>
      <c r="N169" s="330">
        <v>0</v>
      </c>
      <c r="O169" s="330">
        <v>0</v>
      </c>
      <c r="P169" s="330">
        <v>0</v>
      </c>
      <c r="Q169" s="330">
        <v>0</v>
      </c>
      <c r="R169" s="330">
        <v>0</v>
      </c>
      <c r="S169" s="330">
        <v>0</v>
      </c>
      <c r="T169" s="330">
        <v>0</v>
      </c>
      <c r="U169" s="330">
        <v>0</v>
      </c>
      <c r="V169" s="430"/>
      <c r="W169" s="200" t="str">
        <f t="shared" si="124"/>
        <v>Large</v>
      </c>
      <c r="X169" s="198" t="str">
        <f t="shared" si="122"/>
        <v>C&amp;I Curtailment-Turnkey-Advanced Lighting ControlLarge</v>
      </c>
      <c r="Y169" s="157" t="b">
        <f>ISNUMBER(MATCH(X169,'ProCESS CSE'!W:W,0))</f>
        <v>1</v>
      </c>
      <c r="Z169" s="318">
        <v>0.2</v>
      </c>
      <c r="AA169" s="318">
        <v>0.2</v>
      </c>
      <c r="AB169" s="318">
        <v>0.2</v>
      </c>
      <c r="AC169" s="318">
        <v>0.2</v>
      </c>
      <c r="AD169" s="318">
        <v>0.2</v>
      </c>
      <c r="AE169" s="318">
        <v>0.2</v>
      </c>
      <c r="AF169" s="318">
        <v>0.2</v>
      </c>
      <c r="AG169" s="318">
        <v>0.2</v>
      </c>
      <c r="AH169" s="318">
        <v>0.2</v>
      </c>
      <c r="AI169" s="318">
        <v>0.2</v>
      </c>
      <c r="AJ169" s="318">
        <v>0.2</v>
      </c>
      <c r="AK169" s="318">
        <v>0.2</v>
      </c>
      <c r="AL169" s="318">
        <v>0.2</v>
      </c>
      <c r="AM169" s="318">
        <v>0.2</v>
      </c>
      <c r="AN169" s="318">
        <v>0.2</v>
      </c>
      <c r="AO169" s="318">
        <v>0.2</v>
      </c>
      <c r="AP169" s="318">
        <v>0.2</v>
      </c>
    </row>
    <row r="170" spans="1:42" ht="14.55" customHeight="1" x14ac:dyDescent="0.25">
      <c r="A170" s="225" t="str">
        <f>'Participation Assumptions'!B171</f>
        <v>C&amp;I Curtailment-Turnkey-Water Heating Control</v>
      </c>
      <c r="B170" s="225" t="s">
        <v>397</v>
      </c>
      <c r="C170" s="225" t="str">
        <f>'Participation Assumptions'!C171</f>
        <v>Large Commercial</v>
      </c>
      <c r="D170" s="225" t="str">
        <f>'Participation Assumptions'!D171</f>
        <v>Offices</v>
      </c>
      <c r="E170" s="330">
        <v>0.5</v>
      </c>
      <c r="F170" s="330">
        <v>0.5</v>
      </c>
      <c r="G170" s="330">
        <v>0.5</v>
      </c>
      <c r="H170" s="330">
        <v>0.5</v>
      </c>
      <c r="I170" s="330">
        <v>0.5</v>
      </c>
      <c r="J170" s="330">
        <v>0.5</v>
      </c>
      <c r="K170" s="330">
        <v>0.5</v>
      </c>
      <c r="L170" s="330">
        <v>0.5</v>
      </c>
      <c r="M170" s="330">
        <v>0.5</v>
      </c>
      <c r="N170" s="330">
        <v>0.5</v>
      </c>
      <c r="O170" s="330">
        <v>0.5</v>
      </c>
      <c r="P170" s="330">
        <v>0.5</v>
      </c>
      <c r="Q170" s="330">
        <v>0.5</v>
      </c>
      <c r="R170" s="330">
        <v>0.5</v>
      </c>
      <c r="S170" s="330">
        <v>0.5</v>
      </c>
      <c r="T170" s="330">
        <v>0.5</v>
      </c>
      <c r="U170" s="330">
        <v>0.5</v>
      </c>
      <c r="V170" s="429" t="s">
        <v>311</v>
      </c>
      <c r="W170" s="200" t="str">
        <f t="shared" si="124"/>
        <v>Large</v>
      </c>
      <c r="X170" s="198" t="str">
        <f t="shared" si="122"/>
        <v>C&amp;I Curtailment-Turnkey-Water Heating ControlLarge</v>
      </c>
      <c r="Y170" s="157" t="b">
        <f>ISNUMBER(MATCH(X170,'ProCESS CSE'!W:W,0))</f>
        <v>0</v>
      </c>
      <c r="Z170" s="157"/>
      <c r="AA170" s="157"/>
      <c r="AB170" s="157"/>
      <c r="AC170" s="157"/>
      <c r="AD170" s="157"/>
      <c r="AE170" s="157"/>
      <c r="AF170" s="157"/>
      <c r="AG170" s="157"/>
      <c r="AH170" s="157"/>
      <c r="AI170" s="157"/>
      <c r="AJ170" s="157"/>
      <c r="AK170" s="157"/>
      <c r="AL170" s="157"/>
      <c r="AM170" s="157"/>
      <c r="AN170" s="157"/>
      <c r="AO170" s="157"/>
      <c r="AP170" s="157"/>
    </row>
    <row r="171" spans="1:42" ht="14.4" x14ac:dyDescent="0.25">
      <c r="A171" s="225" t="str">
        <f>'Participation Assumptions'!B172</f>
        <v>C&amp;I Curtailment-Turnkey-Water Heating Control</v>
      </c>
      <c r="B171" s="225" t="s">
        <v>397</v>
      </c>
      <c r="C171" s="225" t="str">
        <f>'Participation Assumptions'!C172</f>
        <v>Large Commercial</v>
      </c>
      <c r="D171" s="225" t="str">
        <f>'Participation Assumptions'!D172</f>
        <v>Services</v>
      </c>
      <c r="E171" s="330">
        <v>0.5</v>
      </c>
      <c r="F171" s="330">
        <v>0.5</v>
      </c>
      <c r="G171" s="330">
        <v>0.5</v>
      </c>
      <c r="H171" s="330">
        <v>0.5</v>
      </c>
      <c r="I171" s="330">
        <v>0.5</v>
      </c>
      <c r="J171" s="330">
        <v>0.5</v>
      </c>
      <c r="K171" s="330">
        <v>0.5</v>
      </c>
      <c r="L171" s="330">
        <v>0.5</v>
      </c>
      <c r="M171" s="330">
        <v>0.5</v>
      </c>
      <c r="N171" s="330">
        <v>0.5</v>
      </c>
      <c r="O171" s="330">
        <v>0.5</v>
      </c>
      <c r="P171" s="330">
        <v>0.5</v>
      </c>
      <c r="Q171" s="330">
        <v>0.5</v>
      </c>
      <c r="R171" s="330">
        <v>0.5</v>
      </c>
      <c r="S171" s="330">
        <v>0.5</v>
      </c>
      <c r="T171" s="330">
        <v>0.5</v>
      </c>
      <c r="U171" s="330">
        <v>0.5</v>
      </c>
      <c r="V171" s="429"/>
      <c r="W171" s="200" t="str">
        <f t="shared" si="124"/>
        <v>Large</v>
      </c>
      <c r="X171" s="198" t="str">
        <f t="shared" si="122"/>
        <v>C&amp;I Curtailment-Turnkey-Water Heating ControlLarge</v>
      </c>
      <c r="Y171" s="157" t="b">
        <f>ISNUMBER(MATCH(X171,'ProCESS CSE'!W:W,0))</f>
        <v>0</v>
      </c>
      <c r="Z171" s="157"/>
      <c r="AA171" s="157"/>
      <c r="AB171" s="157"/>
      <c r="AC171" s="157"/>
      <c r="AD171" s="157"/>
      <c r="AE171" s="157"/>
      <c r="AF171" s="157"/>
      <c r="AG171" s="157"/>
      <c r="AH171" s="157"/>
      <c r="AI171" s="157"/>
      <c r="AJ171" s="157"/>
      <c r="AK171" s="157"/>
      <c r="AL171" s="157"/>
      <c r="AM171" s="157"/>
      <c r="AN171" s="157"/>
      <c r="AO171" s="157"/>
      <c r="AP171" s="157"/>
    </row>
    <row r="172" spans="1:42" ht="14.4" x14ac:dyDescent="0.25">
      <c r="A172" s="225" t="str">
        <f>'Participation Assumptions'!B173</f>
        <v>C&amp;I Curtailment-Turnkey-Water Heating Control</v>
      </c>
      <c r="B172" s="225" t="s">
        <v>397</v>
      </c>
      <c r="C172" s="225" t="str">
        <f>'Participation Assumptions'!C173</f>
        <v>Large Industrial</v>
      </c>
      <c r="D172" s="225" t="str">
        <f>'Participation Assumptions'!D173</f>
        <v>Manufacturing</v>
      </c>
      <c r="E172" s="330">
        <v>0.5</v>
      </c>
      <c r="F172" s="330">
        <v>0.5</v>
      </c>
      <c r="G172" s="330">
        <v>0.5</v>
      </c>
      <c r="H172" s="330">
        <v>0.5</v>
      </c>
      <c r="I172" s="330">
        <v>0.5</v>
      </c>
      <c r="J172" s="330">
        <v>0.5</v>
      </c>
      <c r="K172" s="330">
        <v>0.5</v>
      </c>
      <c r="L172" s="330">
        <v>0.5</v>
      </c>
      <c r="M172" s="330">
        <v>0.5</v>
      </c>
      <c r="N172" s="330">
        <v>0.5</v>
      </c>
      <c r="O172" s="330">
        <v>0.5</v>
      </c>
      <c r="P172" s="330">
        <v>0.5</v>
      </c>
      <c r="Q172" s="330">
        <v>0.5</v>
      </c>
      <c r="R172" s="330">
        <v>0.5</v>
      </c>
      <c r="S172" s="330">
        <v>0.5</v>
      </c>
      <c r="T172" s="330">
        <v>0.5</v>
      </c>
      <c r="U172" s="330">
        <v>0.5</v>
      </c>
      <c r="V172" s="429"/>
      <c r="W172" s="200" t="str">
        <f t="shared" si="124"/>
        <v>Large</v>
      </c>
      <c r="X172" s="198" t="str">
        <f t="shared" si="122"/>
        <v>C&amp;I Curtailment-Turnkey-Water Heating ControlLarge</v>
      </c>
      <c r="Y172" s="157" t="b">
        <f>ISNUMBER(MATCH(X172,'ProCESS CSE'!W:W,0))</f>
        <v>0</v>
      </c>
      <c r="Z172" s="157"/>
      <c r="AA172" s="157"/>
      <c r="AB172" s="157"/>
      <c r="AC172" s="157"/>
      <c r="AD172" s="157"/>
      <c r="AE172" s="157"/>
      <c r="AF172" s="157"/>
      <c r="AG172" s="157"/>
      <c r="AH172" s="157"/>
      <c r="AI172" s="157"/>
      <c r="AJ172" s="157"/>
      <c r="AK172" s="157"/>
      <c r="AL172" s="157"/>
      <c r="AM172" s="157"/>
      <c r="AN172" s="157"/>
      <c r="AO172" s="157"/>
      <c r="AP172" s="157"/>
    </row>
    <row r="173" spans="1:42" ht="14.4" x14ac:dyDescent="0.25">
      <c r="A173" s="225" t="str">
        <f>'Participation Assumptions'!B174</f>
        <v>C&amp;I Curtailment-Turnkey-Water Heating Control</v>
      </c>
      <c r="B173" s="225" t="s">
        <v>397</v>
      </c>
      <c r="C173" s="225" t="str">
        <f>'Participation Assumptions'!C174</f>
        <v>Large Industrial</v>
      </c>
      <c r="D173" s="225" t="str">
        <f>'Participation Assumptions'!D174</f>
        <v>Miscellaneous</v>
      </c>
      <c r="E173" s="330">
        <v>0.5</v>
      </c>
      <c r="F173" s="330">
        <v>0.5</v>
      </c>
      <c r="G173" s="330">
        <v>0.5</v>
      </c>
      <c r="H173" s="330">
        <v>0.5</v>
      </c>
      <c r="I173" s="330">
        <v>0.5</v>
      </c>
      <c r="J173" s="330">
        <v>0.5</v>
      </c>
      <c r="K173" s="330">
        <v>0.5</v>
      </c>
      <c r="L173" s="330">
        <v>0.5</v>
      </c>
      <c r="M173" s="330">
        <v>0.5</v>
      </c>
      <c r="N173" s="330">
        <v>0.5</v>
      </c>
      <c r="O173" s="330">
        <v>0.5</v>
      </c>
      <c r="P173" s="330">
        <v>0.5</v>
      </c>
      <c r="Q173" s="330">
        <v>0.5</v>
      </c>
      <c r="R173" s="330">
        <v>0.5</v>
      </c>
      <c r="S173" s="330">
        <v>0.5</v>
      </c>
      <c r="T173" s="330">
        <v>0.5</v>
      </c>
      <c r="U173" s="330">
        <v>0.5</v>
      </c>
      <c r="V173" s="429"/>
      <c r="W173" s="200" t="str">
        <f t="shared" si="124"/>
        <v>Large</v>
      </c>
      <c r="X173" s="198" t="str">
        <f t="shared" si="122"/>
        <v>C&amp;I Curtailment-Turnkey-Water Heating ControlLarge</v>
      </c>
      <c r="Y173" s="157" t="b">
        <f>ISNUMBER(MATCH(X173,'ProCESS CSE'!W:W,0))</f>
        <v>0</v>
      </c>
      <c r="Z173" s="157"/>
      <c r="AA173" s="157"/>
      <c r="AB173" s="157"/>
      <c r="AC173" s="157"/>
      <c r="AD173" s="157"/>
      <c r="AE173" s="157"/>
      <c r="AF173" s="157"/>
      <c r="AG173" s="157"/>
      <c r="AH173" s="157"/>
      <c r="AI173" s="157"/>
      <c r="AJ173" s="157"/>
      <c r="AK173" s="157"/>
      <c r="AL173" s="157"/>
      <c r="AM173" s="157"/>
      <c r="AN173" s="157"/>
      <c r="AO173" s="157"/>
      <c r="AP173" s="157"/>
    </row>
    <row r="174" spans="1:42" ht="14.4" x14ac:dyDescent="0.25">
      <c r="A174" s="225" t="str">
        <f>'Participation Assumptions'!B175</f>
        <v>C&amp;I Curtailment-Turnkey-Water Heating Control</v>
      </c>
      <c r="B174" s="225" t="s">
        <v>397</v>
      </c>
      <c r="C174" s="225" t="str">
        <f>'Participation Assumptions'!C175</f>
        <v>Large Industrial</v>
      </c>
      <c r="D174" s="225" t="str">
        <f>'Participation Assumptions'!D175</f>
        <v>Offices</v>
      </c>
      <c r="E174" s="330">
        <v>0.5</v>
      </c>
      <c r="F174" s="330">
        <v>0.5</v>
      </c>
      <c r="G174" s="330">
        <v>0.5</v>
      </c>
      <c r="H174" s="330">
        <v>0.5</v>
      </c>
      <c r="I174" s="330">
        <v>0.5</v>
      </c>
      <c r="J174" s="330">
        <v>0.5</v>
      </c>
      <c r="K174" s="330">
        <v>0.5</v>
      </c>
      <c r="L174" s="330">
        <v>0.5</v>
      </c>
      <c r="M174" s="330">
        <v>0.5</v>
      </c>
      <c r="N174" s="330">
        <v>0.5</v>
      </c>
      <c r="O174" s="330">
        <v>0.5</v>
      </c>
      <c r="P174" s="330">
        <v>0.5</v>
      </c>
      <c r="Q174" s="330">
        <v>0.5</v>
      </c>
      <c r="R174" s="330">
        <v>0.5</v>
      </c>
      <c r="S174" s="330">
        <v>0.5</v>
      </c>
      <c r="T174" s="330">
        <v>0.5</v>
      </c>
      <c r="U174" s="330">
        <v>0.5</v>
      </c>
      <c r="V174" s="429"/>
      <c r="W174" s="200" t="str">
        <f t="shared" si="124"/>
        <v>Large</v>
      </c>
      <c r="X174" s="198" t="str">
        <f t="shared" si="122"/>
        <v>C&amp;I Curtailment-Turnkey-Water Heating ControlLarge</v>
      </c>
      <c r="Y174" s="157" t="b">
        <f>ISNUMBER(MATCH(X174,'ProCESS CSE'!W:W,0))</f>
        <v>0</v>
      </c>
      <c r="Z174" s="157"/>
      <c r="AA174" s="157"/>
      <c r="AB174" s="157"/>
      <c r="AC174" s="157"/>
      <c r="AD174" s="157"/>
      <c r="AE174" s="157"/>
      <c r="AF174" s="157"/>
      <c r="AG174" s="157"/>
      <c r="AH174" s="157"/>
      <c r="AI174" s="157"/>
      <c r="AJ174" s="157"/>
      <c r="AK174" s="157"/>
      <c r="AL174" s="157"/>
      <c r="AM174" s="157"/>
      <c r="AN174" s="157"/>
      <c r="AO174" s="157"/>
      <c r="AP174" s="157"/>
    </row>
    <row r="175" spans="1:42" ht="14.4" x14ac:dyDescent="0.25">
      <c r="A175" s="225" t="str">
        <f>'Participation Assumptions'!B176</f>
        <v>C&amp;I Curtailment-Turnkey-Water Heating Control</v>
      </c>
      <c r="B175" s="225" t="s">
        <v>397</v>
      </c>
      <c r="C175" s="225" t="str">
        <f>'Participation Assumptions'!C176</f>
        <v>Large Industrial</v>
      </c>
      <c r="D175" s="225" t="str">
        <f>'Participation Assumptions'!D176</f>
        <v>Retail Trade</v>
      </c>
      <c r="E175" s="330">
        <v>0.5</v>
      </c>
      <c r="F175" s="330">
        <v>0.5</v>
      </c>
      <c r="G175" s="330">
        <v>0.5</v>
      </c>
      <c r="H175" s="330">
        <v>0.5</v>
      </c>
      <c r="I175" s="330">
        <v>0.5</v>
      </c>
      <c r="J175" s="330">
        <v>0.5</v>
      </c>
      <c r="K175" s="330">
        <v>0.5</v>
      </c>
      <c r="L175" s="330">
        <v>0.5</v>
      </c>
      <c r="M175" s="330">
        <v>0.5</v>
      </c>
      <c r="N175" s="330">
        <v>0.5</v>
      </c>
      <c r="O175" s="330">
        <v>0.5</v>
      </c>
      <c r="P175" s="330">
        <v>0.5</v>
      </c>
      <c r="Q175" s="330">
        <v>0.5</v>
      </c>
      <c r="R175" s="330">
        <v>0.5</v>
      </c>
      <c r="S175" s="330">
        <v>0.5</v>
      </c>
      <c r="T175" s="330">
        <v>0.5</v>
      </c>
      <c r="U175" s="330">
        <v>0.5</v>
      </c>
      <c r="V175" s="429"/>
      <c r="W175" s="200" t="str">
        <f t="shared" si="124"/>
        <v>Large</v>
      </c>
      <c r="X175" s="198" t="str">
        <f t="shared" si="122"/>
        <v>C&amp;I Curtailment-Turnkey-Water Heating ControlLarge</v>
      </c>
      <c r="Y175" s="157" t="b">
        <f>ISNUMBER(MATCH(X175,'ProCESS CSE'!W:W,0))</f>
        <v>0</v>
      </c>
      <c r="Z175" s="157"/>
      <c r="AA175" s="157"/>
      <c r="AB175" s="157"/>
      <c r="AC175" s="157"/>
      <c r="AD175" s="157"/>
      <c r="AE175" s="157"/>
      <c r="AF175" s="157"/>
      <c r="AG175" s="157"/>
      <c r="AH175" s="157"/>
      <c r="AI175" s="157"/>
      <c r="AJ175" s="157"/>
      <c r="AK175" s="157"/>
      <c r="AL175" s="157"/>
      <c r="AM175" s="157"/>
      <c r="AN175" s="157"/>
      <c r="AO175" s="157"/>
      <c r="AP175" s="157"/>
    </row>
    <row r="176" spans="1:42" ht="14.4" x14ac:dyDescent="0.25">
      <c r="A176" s="225" t="str">
        <f>'Participation Assumptions'!B177</f>
        <v>C&amp;I Curtailment-Turnkey-Water Heating Control</v>
      </c>
      <c r="B176" s="225" t="s">
        <v>397</v>
      </c>
      <c r="C176" s="225" t="str">
        <f>'Participation Assumptions'!C177</f>
        <v>Large Industrial</v>
      </c>
      <c r="D176" s="225" t="str">
        <f>'Participation Assumptions'!D177</f>
        <v>Services</v>
      </c>
      <c r="E176" s="330">
        <v>0.5</v>
      </c>
      <c r="F176" s="330">
        <v>0.5</v>
      </c>
      <c r="G176" s="330">
        <v>0.5</v>
      </c>
      <c r="H176" s="330">
        <v>0.5</v>
      </c>
      <c r="I176" s="330">
        <v>0.5</v>
      </c>
      <c r="J176" s="330">
        <v>0.5</v>
      </c>
      <c r="K176" s="330">
        <v>0.5</v>
      </c>
      <c r="L176" s="330">
        <v>0.5</v>
      </c>
      <c r="M176" s="330">
        <v>0.5</v>
      </c>
      <c r="N176" s="330">
        <v>0.5</v>
      </c>
      <c r="O176" s="330">
        <v>0.5</v>
      </c>
      <c r="P176" s="330">
        <v>0.5</v>
      </c>
      <c r="Q176" s="330">
        <v>0.5</v>
      </c>
      <c r="R176" s="330">
        <v>0.5</v>
      </c>
      <c r="S176" s="330">
        <v>0.5</v>
      </c>
      <c r="T176" s="330">
        <v>0.5</v>
      </c>
      <c r="U176" s="330">
        <v>0.5</v>
      </c>
      <c r="V176" s="429"/>
      <c r="W176" s="200" t="str">
        <f t="shared" si="124"/>
        <v>Large</v>
      </c>
      <c r="X176" s="198" t="str">
        <f t="shared" si="122"/>
        <v>C&amp;I Curtailment-Turnkey-Water Heating ControlLarge</v>
      </c>
      <c r="Y176" s="157" t="b">
        <f>ISNUMBER(MATCH(X176,'ProCESS CSE'!W:W,0))</f>
        <v>0</v>
      </c>
      <c r="Z176" s="157"/>
      <c r="AA176" s="157"/>
      <c r="AB176" s="157"/>
      <c r="AC176" s="157"/>
      <c r="AD176" s="157"/>
      <c r="AE176" s="157"/>
      <c r="AF176" s="157"/>
      <c r="AG176" s="157"/>
      <c r="AH176" s="157"/>
      <c r="AI176" s="157"/>
      <c r="AJ176" s="157"/>
      <c r="AK176" s="157"/>
      <c r="AL176" s="157"/>
      <c r="AM176" s="157"/>
      <c r="AN176" s="157"/>
      <c r="AO176" s="157"/>
      <c r="AP176" s="157"/>
    </row>
    <row r="177" spans="1:42" ht="14.4" x14ac:dyDescent="0.25">
      <c r="A177" s="225" t="str">
        <f>'Participation Assumptions'!B178</f>
        <v>C&amp;I Curtailment-Turnkey-Water Heating Control</v>
      </c>
      <c r="B177" s="225" t="s">
        <v>397</v>
      </c>
      <c r="C177" s="225" t="str">
        <f>'Participation Assumptions'!C178</f>
        <v>Interruptible Rider</v>
      </c>
      <c r="D177" s="225" t="str">
        <f>'Participation Assumptions'!D178</f>
        <v>Manufacturing</v>
      </c>
      <c r="E177" s="330">
        <v>0.5</v>
      </c>
      <c r="F177" s="330">
        <v>0.5</v>
      </c>
      <c r="G177" s="330">
        <v>0.5</v>
      </c>
      <c r="H177" s="330">
        <v>0.5</v>
      </c>
      <c r="I177" s="330">
        <v>0.5</v>
      </c>
      <c r="J177" s="330">
        <v>0.5</v>
      </c>
      <c r="K177" s="330">
        <v>0.5</v>
      </c>
      <c r="L177" s="330">
        <v>0.5</v>
      </c>
      <c r="M177" s="330">
        <v>0.5</v>
      </c>
      <c r="N177" s="330">
        <v>0.5</v>
      </c>
      <c r="O177" s="330">
        <v>0.5</v>
      </c>
      <c r="P177" s="330">
        <v>0.5</v>
      </c>
      <c r="Q177" s="330">
        <v>0.5</v>
      </c>
      <c r="R177" s="330">
        <v>0.5</v>
      </c>
      <c r="S177" s="330">
        <v>0.5</v>
      </c>
      <c r="T177" s="330">
        <v>0.5</v>
      </c>
      <c r="U177" s="330">
        <v>0.5</v>
      </c>
      <c r="V177" s="429"/>
      <c r="W177" s="200" t="str">
        <f t="shared" si="124"/>
        <v>Large</v>
      </c>
      <c r="X177" s="198" t="str">
        <f t="shared" si="122"/>
        <v>C&amp;I Curtailment-Turnkey-Water Heating ControlLarge</v>
      </c>
      <c r="Y177" s="157" t="b">
        <f>ISNUMBER(MATCH(X177,'ProCESS CSE'!W:W,0))</f>
        <v>0</v>
      </c>
      <c r="Z177" s="157"/>
      <c r="AA177" s="157"/>
      <c r="AB177" s="157"/>
      <c r="AC177" s="157"/>
      <c r="AD177" s="157"/>
      <c r="AE177" s="157"/>
      <c r="AF177" s="157"/>
      <c r="AG177" s="157"/>
      <c r="AH177" s="157"/>
      <c r="AI177" s="157"/>
      <c r="AJ177" s="157"/>
      <c r="AK177" s="157"/>
      <c r="AL177" s="157"/>
      <c r="AM177" s="157"/>
      <c r="AN177" s="157"/>
      <c r="AO177" s="157"/>
      <c r="AP177" s="157"/>
    </row>
    <row r="178" spans="1:42" ht="14.4" x14ac:dyDescent="0.25">
      <c r="A178" s="225" t="str">
        <f>'Participation Assumptions'!B179</f>
        <v>C&amp;I Curtailment-Turnkey-Water Heating Control</v>
      </c>
      <c r="B178" s="225" t="s">
        <v>397</v>
      </c>
      <c r="C178" s="225" t="str">
        <f>'Participation Assumptions'!C179</f>
        <v>Interruptible Rider</v>
      </c>
      <c r="D178" s="225" t="str">
        <f>'Participation Assumptions'!D179</f>
        <v>Miscellaneous</v>
      </c>
      <c r="E178" s="330">
        <v>0.5</v>
      </c>
      <c r="F178" s="330">
        <v>0.5</v>
      </c>
      <c r="G178" s="330">
        <v>0.5</v>
      </c>
      <c r="H178" s="330">
        <v>0.5</v>
      </c>
      <c r="I178" s="330">
        <v>0.5</v>
      </c>
      <c r="J178" s="330">
        <v>0.5</v>
      </c>
      <c r="K178" s="330">
        <v>0.5</v>
      </c>
      <c r="L178" s="330">
        <v>0.5</v>
      </c>
      <c r="M178" s="330">
        <v>0.5</v>
      </c>
      <c r="N178" s="330">
        <v>0.5</v>
      </c>
      <c r="O178" s="330">
        <v>0.5</v>
      </c>
      <c r="P178" s="330">
        <v>0.5</v>
      </c>
      <c r="Q178" s="330">
        <v>0.5</v>
      </c>
      <c r="R178" s="330">
        <v>0.5</v>
      </c>
      <c r="S178" s="330">
        <v>0.5</v>
      </c>
      <c r="T178" s="330">
        <v>0.5</v>
      </c>
      <c r="U178" s="330">
        <v>0.5</v>
      </c>
      <c r="V178" s="429"/>
      <c r="W178" s="200" t="str">
        <f t="shared" si="124"/>
        <v>Large</v>
      </c>
      <c r="X178" s="198" t="str">
        <f t="shared" si="122"/>
        <v>C&amp;I Curtailment-Turnkey-Water Heating ControlLarge</v>
      </c>
      <c r="Y178" s="157" t="b">
        <f>ISNUMBER(MATCH(X178,'ProCESS CSE'!W:W,0))</f>
        <v>0</v>
      </c>
      <c r="Z178" s="157"/>
      <c r="AA178" s="157"/>
      <c r="AB178" s="157"/>
      <c r="AC178" s="157"/>
      <c r="AD178" s="157"/>
      <c r="AE178" s="157"/>
      <c r="AF178" s="157"/>
      <c r="AG178" s="157"/>
      <c r="AH178" s="157"/>
      <c r="AI178" s="157"/>
      <c r="AJ178" s="157"/>
      <c r="AK178" s="157"/>
      <c r="AL178" s="157"/>
      <c r="AM178" s="157"/>
      <c r="AN178" s="157"/>
      <c r="AO178" s="157"/>
      <c r="AP178" s="157"/>
    </row>
    <row r="179" spans="1:42" ht="14.4" x14ac:dyDescent="0.25">
      <c r="A179" s="225" t="str">
        <f>'Participation Assumptions'!B180</f>
        <v>C&amp;I Curtailment-Turnkey-Water Heating Control</v>
      </c>
      <c r="B179" s="225" t="s">
        <v>397</v>
      </c>
      <c r="C179" s="225" t="str">
        <f>'Participation Assumptions'!C180</f>
        <v>Interruptible Rider</v>
      </c>
      <c r="D179" s="225" t="str">
        <f>'Participation Assumptions'!D180</f>
        <v>Retail Trade</v>
      </c>
      <c r="E179" s="330">
        <v>0.5</v>
      </c>
      <c r="F179" s="330">
        <v>0.5</v>
      </c>
      <c r="G179" s="330">
        <v>0.5</v>
      </c>
      <c r="H179" s="330">
        <v>0.5</v>
      </c>
      <c r="I179" s="330">
        <v>0.5</v>
      </c>
      <c r="J179" s="330">
        <v>0.5</v>
      </c>
      <c r="K179" s="330">
        <v>0.5</v>
      </c>
      <c r="L179" s="330">
        <v>0.5</v>
      </c>
      <c r="M179" s="330">
        <v>0.5</v>
      </c>
      <c r="N179" s="330">
        <v>0.5</v>
      </c>
      <c r="O179" s="330">
        <v>0.5</v>
      </c>
      <c r="P179" s="330">
        <v>0.5</v>
      </c>
      <c r="Q179" s="330">
        <v>0.5</v>
      </c>
      <c r="R179" s="330">
        <v>0.5</v>
      </c>
      <c r="S179" s="330">
        <v>0.5</v>
      </c>
      <c r="T179" s="330">
        <v>0.5</v>
      </c>
      <c r="U179" s="330">
        <v>0.5</v>
      </c>
      <c r="V179" s="429"/>
      <c r="W179" s="200" t="str">
        <f t="shared" si="124"/>
        <v>Large</v>
      </c>
      <c r="X179" s="198" t="str">
        <f t="shared" si="122"/>
        <v>C&amp;I Curtailment-Turnkey-Water Heating ControlLarge</v>
      </c>
      <c r="Y179" s="157" t="b">
        <f>ISNUMBER(MATCH(X179,'ProCESS CSE'!W:W,0))</f>
        <v>0</v>
      </c>
      <c r="Z179" s="157"/>
      <c r="AA179" s="157"/>
      <c r="AB179" s="157"/>
      <c r="AC179" s="157"/>
      <c r="AD179" s="157"/>
      <c r="AE179" s="157"/>
      <c r="AF179" s="157"/>
      <c r="AG179" s="157"/>
      <c r="AH179" s="157"/>
      <c r="AI179" s="157"/>
      <c r="AJ179" s="157"/>
      <c r="AK179" s="157"/>
      <c r="AL179" s="157"/>
      <c r="AM179" s="157"/>
      <c r="AN179" s="157"/>
      <c r="AO179" s="157"/>
      <c r="AP179" s="157"/>
    </row>
    <row r="180" spans="1:42" ht="14.4" x14ac:dyDescent="0.25">
      <c r="A180" s="225" t="str">
        <f>'Participation Assumptions'!B181</f>
        <v>C&amp;I Curtailment-Turnkey-Other</v>
      </c>
      <c r="B180" s="225" t="s">
        <v>397</v>
      </c>
      <c r="C180" s="225" t="str">
        <f>'Participation Assumptions'!C181</f>
        <v>Large Commercial</v>
      </c>
      <c r="D180" s="225" t="str">
        <f>'Participation Assumptions'!D181</f>
        <v>Offices</v>
      </c>
      <c r="E180" s="330">
        <v>0.5</v>
      </c>
      <c r="F180" s="330">
        <v>0.5</v>
      </c>
      <c r="G180" s="330">
        <v>0.5</v>
      </c>
      <c r="H180" s="330">
        <v>0.5</v>
      </c>
      <c r="I180" s="330">
        <v>0.5</v>
      </c>
      <c r="J180" s="330">
        <v>0.5</v>
      </c>
      <c r="K180" s="330">
        <v>0.5</v>
      </c>
      <c r="L180" s="330">
        <v>0.5</v>
      </c>
      <c r="M180" s="330">
        <v>0.5</v>
      </c>
      <c r="N180" s="330">
        <v>0.5</v>
      </c>
      <c r="O180" s="330">
        <v>0.5</v>
      </c>
      <c r="P180" s="330">
        <v>0.5</v>
      </c>
      <c r="Q180" s="330">
        <v>0.5</v>
      </c>
      <c r="R180" s="330">
        <v>0.5</v>
      </c>
      <c r="S180" s="330">
        <v>0.5</v>
      </c>
      <c r="T180" s="330">
        <v>0.5</v>
      </c>
      <c r="U180" s="330">
        <v>0.5</v>
      </c>
      <c r="V180" s="429"/>
      <c r="W180" s="200" t="str">
        <f t="shared" si="124"/>
        <v>Large</v>
      </c>
      <c r="X180" s="198" t="str">
        <f t="shared" si="122"/>
        <v>C&amp;I Curtailment-Turnkey-OtherLarge</v>
      </c>
      <c r="Y180" s="157" t="b">
        <f>ISNUMBER(MATCH(X180,'ProCESS CSE'!W:W,0))</f>
        <v>0</v>
      </c>
      <c r="Z180" s="157"/>
      <c r="AA180" s="157"/>
      <c r="AB180" s="157"/>
      <c r="AC180" s="157"/>
      <c r="AD180" s="157"/>
      <c r="AE180" s="157"/>
      <c r="AF180" s="157"/>
      <c r="AG180" s="157"/>
      <c r="AH180" s="157"/>
      <c r="AI180" s="157"/>
      <c r="AJ180" s="157"/>
      <c r="AK180" s="157"/>
      <c r="AL180" s="157"/>
      <c r="AM180" s="157"/>
      <c r="AN180" s="157"/>
      <c r="AO180" s="157"/>
      <c r="AP180" s="157"/>
    </row>
    <row r="181" spans="1:42" ht="30" customHeight="1" x14ac:dyDescent="0.25">
      <c r="A181" s="225" t="str">
        <f>'Participation Assumptions'!B182</f>
        <v>C&amp;I Curtailment-Turnkey-Other</v>
      </c>
      <c r="B181" s="225" t="s">
        <v>397</v>
      </c>
      <c r="C181" s="225" t="str">
        <f>'Participation Assumptions'!C182</f>
        <v>Large Commercial</v>
      </c>
      <c r="D181" s="225" t="str">
        <f>'Participation Assumptions'!D182</f>
        <v>Services</v>
      </c>
      <c r="E181" s="330">
        <v>0.5</v>
      </c>
      <c r="F181" s="330">
        <v>0.5</v>
      </c>
      <c r="G181" s="330">
        <v>0.5</v>
      </c>
      <c r="H181" s="330">
        <v>0.5</v>
      </c>
      <c r="I181" s="330">
        <v>0.5</v>
      </c>
      <c r="J181" s="330">
        <v>0.5</v>
      </c>
      <c r="K181" s="330">
        <v>0.5</v>
      </c>
      <c r="L181" s="330">
        <v>0.5</v>
      </c>
      <c r="M181" s="330">
        <v>0.5</v>
      </c>
      <c r="N181" s="330">
        <v>0.5</v>
      </c>
      <c r="O181" s="330">
        <v>0.5</v>
      </c>
      <c r="P181" s="330">
        <v>0.5</v>
      </c>
      <c r="Q181" s="330">
        <v>0.5</v>
      </c>
      <c r="R181" s="330">
        <v>0.5</v>
      </c>
      <c r="S181" s="330">
        <v>0.5</v>
      </c>
      <c r="T181" s="330">
        <v>0.5</v>
      </c>
      <c r="U181" s="330">
        <v>0.5</v>
      </c>
      <c r="V181" s="429"/>
      <c r="W181" s="200" t="str">
        <f t="shared" si="124"/>
        <v>Large</v>
      </c>
      <c r="X181" s="198" t="str">
        <f t="shared" si="122"/>
        <v>C&amp;I Curtailment-Turnkey-OtherLarge</v>
      </c>
      <c r="Y181" s="157" t="b">
        <f>ISNUMBER(MATCH(X181,'ProCESS CSE'!W:W,0))</f>
        <v>0</v>
      </c>
      <c r="Z181" s="157"/>
      <c r="AA181" s="157"/>
      <c r="AB181" s="157"/>
      <c r="AC181" s="157"/>
      <c r="AD181" s="157"/>
      <c r="AE181" s="157"/>
      <c r="AF181" s="157"/>
      <c r="AG181" s="157"/>
      <c r="AH181" s="157"/>
      <c r="AI181" s="157"/>
      <c r="AJ181" s="157"/>
      <c r="AK181" s="157"/>
      <c r="AL181" s="157"/>
      <c r="AM181" s="157"/>
      <c r="AN181" s="157"/>
      <c r="AO181" s="157"/>
      <c r="AP181" s="157"/>
    </row>
    <row r="182" spans="1:42" ht="14.4" x14ac:dyDescent="0.25">
      <c r="A182" s="225" t="str">
        <f>'Participation Assumptions'!B183</f>
        <v>C&amp;I Curtailment-Turnkey-Other</v>
      </c>
      <c r="B182" s="225" t="s">
        <v>397</v>
      </c>
      <c r="C182" s="225" t="str">
        <f>'Participation Assumptions'!C183</f>
        <v>Large Industrial</v>
      </c>
      <c r="D182" s="225" t="str">
        <f>'Participation Assumptions'!D183</f>
        <v>Manufacturing</v>
      </c>
      <c r="E182" s="330">
        <v>0.5</v>
      </c>
      <c r="F182" s="330">
        <v>0.5</v>
      </c>
      <c r="G182" s="330">
        <v>0.5</v>
      </c>
      <c r="H182" s="330">
        <v>0.5</v>
      </c>
      <c r="I182" s="330">
        <v>0.5</v>
      </c>
      <c r="J182" s="330">
        <v>0.5</v>
      </c>
      <c r="K182" s="330">
        <v>0.5</v>
      </c>
      <c r="L182" s="330">
        <v>0.5</v>
      </c>
      <c r="M182" s="330">
        <v>0.5</v>
      </c>
      <c r="N182" s="330">
        <v>0.5</v>
      </c>
      <c r="O182" s="330">
        <v>0.5</v>
      </c>
      <c r="P182" s="330">
        <v>0.5</v>
      </c>
      <c r="Q182" s="330">
        <v>0.5</v>
      </c>
      <c r="R182" s="330">
        <v>0.5</v>
      </c>
      <c r="S182" s="330">
        <v>0.5</v>
      </c>
      <c r="T182" s="330">
        <v>0.5</v>
      </c>
      <c r="U182" s="330">
        <v>0.5</v>
      </c>
      <c r="V182" s="429"/>
      <c r="W182" s="200" t="str">
        <f t="shared" si="124"/>
        <v>Large</v>
      </c>
      <c r="X182" s="198" t="str">
        <f t="shared" si="122"/>
        <v>C&amp;I Curtailment-Turnkey-OtherLarge</v>
      </c>
      <c r="Y182" s="157" t="b">
        <f>ISNUMBER(MATCH(X182,'ProCESS CSE'!W:W,0))</f>
        <v>0</v>
      </c>
      <c r="Z182" s="157"/>
      <c r="AA182" s="157"/>
      <c r="AB182" s="157"/>
      <c r="AC182" s="157"/>
      <c r="AD182" s="157"/>
      <c r="AE182" s="157"/>
      <c r="AF182" s="157"/>
      <c r="AG182" s="157"/>
      <c r="AH182" s="157"/>
      <c r="AI182" s="157"/>
      <c r="AJ182" s="157"/>
      <c r="AK182" s="157"/>
      <c r="AL182" s="157"/>
      <c r="AM182" s="157"/>
      <c r="AN182" s="157"/>
      <c r="AO182" s="157"/>
      <c r="AP182" s="157"/>
    </row>
    <row r="183" spans="1:42" ht="14.4" x14ac:dyDescent="0.25">
      <c r="A183" s="225" t="str">
        <f>'Participation Assumptions'!B184</f>
        <v>C&amp;I Curtailment-Turnkey-Other</v>
      </c>
      <c r="B183" s="225" t="s">
        <v>397</v>
      </c>
      <c r="C183" s="225" t="str">
        <f>'Participation Assumptions'!C184</f>
        <v>Large Industrial</v>
      </c>
      <c r="D183" s="225" t="str">
        <f>'Participation Assumptions'!D184</f>
        <v>Miscellaneous</v>
      </c>
      <c r="E183" s="330">
        <v>0.5</v>
      </c>
      <c r="F183" s="330">
        <v>0.5</v>
      </c>
      <c r="G183" s="330">
        <v>0.5</v>
      </c>
      <c r="H183" s="330">
        <v>0.5</v>
      </c>
      <c r="I183" s="330">
        <v>0.5</v>
      </c>
      <c r="J183" s="330">
        <v>0.5</v>
      </c>
      <c r="K183" s="330">
        <v>0.5</v>
      </c>
      <c r="L183" s="330">
        <v>0.5</v>
      </c>
      <c r="M183" s="330">
        <v>0.5</v>
      </c>
      <c r="N183" s="330">
        <v>0.5</v>
      </c>
      <c r="O183" s="330">
        <v>0.5</v>
      </c>
      <c r="P183" s="330">
        <v>0.5</v>
      </c>
      <c r="Q183" s="330">
        <v>0.5</v>
      </c>
      <c r="R183" s="330">
        <v>0.5</v>
      </c>
      <c r="S183" s="330">
        <v>0.5</v>
      </c>
      <c r="T183" s="330">
        <v>0.5</v>
      </c>
      <c r="U183" s="330">
        <v>0.5</v>
      </c>
      <c r="V183" s="429"/>
      <c r="W183" s="200" t="str">
        <f t="shared" si="124"/>
        <v>Large</v>
      </c>
      <c r="X183" s="198" t="str">
        <f t="shared" si="122"/>
        <v>C&amp;I Curtailment-Turnkey-OtherLarge</v>
      </c>
      <c r="Y183" s="157" t="b">
        <f>ISNUMBER(MATCH(X183,'ProCESS CSE'!W:W,0))</f>
        <v>0</v>
      </c>
      <c r="Z183" s="157"/>
      <c r="AA183" s="157"/>
      <c r="AB183" s="157"/>
      <c r="AC183" s="157"/>
      <c r="AD183" s="157"/>
      <c r="AE183" s="157"/>
      <c r="AF183" s="157"/>
      <c r="AG183" s="157"/>
      <c r="AH183" s="157"/>
      <c r="AI183" s="157"/>
      <c r="AJ183" s="157"/>
      <c r="AK183" s="157"/>
      <c r="AL183" s="157"/>
      <c r="AM183" s="157"/>
      <c r="AN183" s="157"/>
      <c r="AO183" s="157"/>
      <c r="AP183" s="157"/>
    </row>
    <row r="184" spans="1:42" ht="14.4" x14ac:dyDescent="0.25">
      <c r="A184" s="225" t="str">
        <f>'Participation Assumptions'!B185</f>
        <v>C&amp;I Curtailment-Turnkey-Other</v>
      </c>
      <c r="B184" s="225" t="s">
        <v>397</v>
      </c>
      <c r="C184" s="225" t="str">
        <f>'Participation Assumptions'!C185</f>
        <v>Large Industrial</v>
      </c>
      <c r="D184" s="225" t="str">
        <f>'Participation Assumptions'!D185</f>
        <v>Offices</v>
      </c>
      <c r="E184" s="330">
        <v>0.5</v>
      </c>
      <c r="F184" s="330">
        <v>0.5</v>
      </c>
      <c r="G184" s="330">
        <v>0.5</v>
      </c>
      <c r="H184" s="330">
        <v>0.5</v>
      </c>
      <c r="I184" s="330">
        <v>0.5</v>
      </c>
      <c r="J184" s="330">
        <v>0.5</v>
      </c>
      <c r="K184" s="330">
        <v>0.5</v>
      </c>
      <c r="L184" s="330">
        <v>0.5</v>
      </c>
      <c r="M184" s="330">
        <v>0.5</v>
      </c>
      <c r="N184" s="330">
        <v>0.5</v>
      </c>
      <c r="O184" s="330">
        <v>0.5</v>
      </c>
      <c r="P184" s="330">
        <v>0.5</v>
      </c>
      <c r="Q184" s="330">
        <v>0.5</v>
      </c>
      <c r="R184" s="330">
        <v>0.5</v>
      </c>
      <c r="S184" s="330">
        <v>0.5</v>
      </c>
      <c r="T184" s="330">
        <v>0.5</v>
      </c>
      <c r="U184" s="330">
        <v>0.5</v>
      </c>
      <c r="V184" s="429"/>
      <c r="W184" s="200" t="str">
        <f t="shared" si="124"/>
        <v>Large</v>
      </c>
      <c r="X184" s="198" t="str">
        <f t="shared" si="122"/>
        <v>C&amp;I Curtailment-Turnkey-OtherLarge</v>
      </c>
      <c r="Y184" s="157" t="b">
        <f>ISNUMBER(MATCH(X184,'ProCESS CSE'!W:W,0))</f>
        <v>0</v>
      </c>
      <c r="Z184" s="157"/>
      <c r="AA184" s="157"/>
      <c r="AB184" s="157"/>
      <c r="AC184" s="157"/>
      <c r="AD184" s="157"/>
      <c r="AE184" s="157"/>
      <c r="AF184" s="157"/>
      <c r="AG184" s="157"/>
      <c r="AH184" s="157"/>
      <c r="AI184" s="157"/>
      <c r="AJ184" s="157"/>
      <c r="AK184" s="157"/>
      <c r="AL184" s="157"/>
      <c r="AM184" s="157"/>
      <c r="AN184" s="157"/>
      <c r="AO184" s="157"/>
      <c r="AP184" s="157"/>
    </row>
    <row r="185" spans="1:42" ht="14.4" x14ac:dyDescent="0.25">
      <c r="A185" s="225" t="str">
        <f>'Participation Assumptions'!B186</f>
        <v>C&amp;I Curtailment-Turnkey-Other</v>
      </c>
      <c r="B185" s="225" t="s">
        <v>397</v>
      </c>
      <c r="C185" s="225" t="str">
        <f>'Participation Assumptions'!C186</f>
        <v>Large Industrial</v>
      </c>
      <c r="D185" s="225" t="str">
        <f>'Participation Assumptions'!D186</f>
        <v>Retail Trade</v>
      </c>
      <c r="E185" s="330">
        <v>0.5</v>
      </c>
      <c r="F185" s="330">
        <v>0.5</v>
      </c>
      <c r="G185" s="330">
        <v>0.5</v>
      </c>
      <c r="H185" s="330">
        <v>0.5</v>
      </c>
      <c r="I185" s="330">
        <v>0.5</v>
      </c>
      <c r="J185" s="330">
        <v>0.5</v>
      </c>
      <c r="K185" s="330">
        <v>0.5</v>
      </c>
      <c r="L185" s="330">
        <v>0.5</v>
      </c>
      <c r="M185" s="330">
        <v>0.5</v>
      </c>
      <c r="N185" s="330">
        <v>0.5</v>
      </c>
      <c r="O185" s="330">
        <v>0.5</v>
      </c>
      <c r="P185" s="330">
        <v>0.5</v>
      </c>
      <c r="Q185" s="330">
        <v>0.5</v>
      </c>
      <c r="R185" s="330">
        <v>0.5</v>
      </c>
      <c r="S185" s="330">
        <v>0.5</v>
      </c>
      <c r="T185" s="330">
        <v>0.5</v>
      </c>
      <c r="U185" s="330">
        <v>0.5</v>
      </c>
      <c r="V185" s="429"/>
      <c r="W185" s="200" t="str">
        <f t="shared" si="124"/>
        <v>Large</v>
      </c>
      <c r="X185" s="198" t="str">
        <f t="shared" si="122"/>
        <v>C&amp;I Curtailment-Turnkey-OtherLarge</v>
      </c>
      <c r="Y185" s="157" t="b">
        <f>ISNUMBER(MATCH(X185,'ProCESS CSE'!W:W,0))</f>
        <v>0</v>
      </c>
      <c r="Z185" s="157"/>
      <c r="AA185" s="157"/>
      <c r="AB185" s="157"/>
      <c r="AC185" s="157"/>
      <c r="AD185" s="157"/>
      <c r="AE185" s="157"/>
      <c r="AF185" s="157"/>
      <c r="AG185" s="157"/>
      <c r="AH185" s="157"/>
      <c r="AI185" s="157"/>
      <c r="AJ185" s="157"/>
      <c r="AK185" s="157"/>
      <c r="AL185" s="157"/>
      <c r="AM185" s="157"/>
      <c r="AN185" s="157"/>
      <c r="AO185" s="157"/>
      <c r="AP185" s="157"/>
    </row>
    <row r="186" spans="1:42" ht="14.4" x14ac:dyDescent="0.25">
      <c r="A186" s="225" t="str">
        <f>'Participation Assumptions'!B187</f>
        <v>C&amp;I Curtailment-Turnkey-Other</v>
      </c>
      <c r="B186" s="225" t="s">
        <v>397</v>
      </c>
      <c r="C186" s="225" t="str">
        <f>'Participation Assumptions'!C187</f>
        <v>Large Industrial</v>
      </c>
      <c r="D186" s="225" t="str">
        <f>'Participation Assumptions'!D187</f>
        <v>Services</v>
      </c>
      <c r="E186" s="330">
        <v>0.5</v>
      </c>
      <c r="F186" s="330">
        <v>0.5</v>
      </c>
      <c r="G186" s="330">
        <v>0.5</v>
      </c>
      <c r="H186" s="330">
        <v>0.5</v>
      </c>
      <c r="I186" s="330">
        <v>0.5</v>
      </c>
      <c r="J186" s="330">
        <v>0.5</v>
      </c>
      <c r="K186" s="330">
        <v>0.5</v>
      </c>
      <c r="L186" s="330">
        <v>0.5</v>
      </c>
      <c r="M186" s="330">
        <v>0.5</v>
      </c>
      <c r="N186" s="330">
        <v>0.5</v>
      </c>
      <c r="O186" s="330">
        <v>0.5</v>
      </c>
      <c r="P186" s="330">
        <v>0.5</v>
      </c>
      <c r="Q186" s="330">
        <v>0.5</v>
      </c>
      <c r="R186" s="330">
        <v>0.5</v>
      </c>
      <c r="S186" s="330">
        <v>0.5</v>
      </c>
      <c r="T186" s="330">
        <v>0.5</v>
      </c>
      <c r="U186" s="330">
        <v>0.5</v>
      </c>
      <c r="V186" s="429"/>
      <c r="W186" s="200" t="str">
        <f t="shared" si="124"/>
        <v>Large</v>
      </c>
      <c r="X186" s="198" t="str">
        <f t="shared" si="122"/>
        <v>C&amp;I Curtailment-Turnkey-OtherLarge</v>
      </c>
      <c r="Y186" s="157" t="b">
        <f>ISNUMBER(MATCH(X186,'ProCESS CSE'!W:W,0))</f>
        <v>0</v>
      </c>
      <c r="Z186" s="157"/>
      <c r="AA186" s="157"/>
      <c r="AB186" s="157"/>
      <c r="AC186" s="157"/>
      <c r="AD186" s="157"/>
      <c r="AE186" s="157"/>
      <c r="AF186" s="157"/>
      <c r="AG186" s="157"/>
      <c r="AH186" s="157"/>
      <c r="AI186" s="157"/>
      <c r="AJ186" s="157"/>
      <c r="AK186" s="157"/>
      <c r="AL186" s="157"/>
      <c r="AM186" s="157"/>
      <c r="AN186" s="157"/>
      <c r="AO186" s="157"/>
      <c r="AP186" s="157"/>
    </row>
    <row r="187" spans="1:42" ht="14.4" x14ac:dyDescent="0.25">
      <c r="A187" s="225" t="str">
        <f>'Participation Assumptions'!B188</f>
        <v>C&amp;I Curtailment-Turnkey-Other</v>
      </c>
      <c r="B187" s="225" t="s">
        <v>397</v>
      </c>
      <c r="C187" s="225" t="str">
        <f>'Participation Assumptions'!C188</f>
        <v>Interruptible Rider</v>
      </c>
      <c r="D187" s="225" t="str">
        <f>'Participation Assumptions'!D188</f>
        <v>Manufacturing</v>
      </c>
      <c r="E187" s="330">
        <v>0.5</v>
      </c>
      <c r="F187" s="330">
        <v>0.5</v>
      </c>
      <c r="G187" s="330">
        <v>0.5</v>
      </c>
      <c r="H187" s="330">
        <v>0.5</v>
      </c>
      <c r="I187" s="330">
        <v>0.5</v>
      </c>
      <c r="J187" s="330">
        <v>0.5</v>
      </c>
      <c r="K187" s="330">
        <v>0.5</v>
      </c>
      <c r="L187" s="330">
        <v>0.5</v>
      </c>
      <c r="M187" s="330">
        <v>0.5</v>
      </c>
      <c r="N187" s="330">
        <v>0.5</v>
      </c>
      <c r="O187" s="330">
        <v>0.5</v>
      </c>
      <c r="P187" s="330">
        <v>0.5</v>
      </c>
      <c r="Q187" s="330">
        <v>0.5</v>
      </c>
      <c r="R187" s="330">
        <v>0.5</v>
      </c>
      <c r="S187" s="330">
        <v>0.5</v>
      </c>
      <c r="T187" s="330">
        <v>0.5</v>
      </c>
      <c r="U187" s="330">
        <v>0.5</v>
      </c>
      <c r="V187" s="429"/>
      <c r="W187" s="200" t="str">
        <f t="shared" si="124"/>
        <v>Large</v>
      </c>
      <c r="X187" s="198" t="str">
        <f t="shared" si="122"/>
        <v>C&amp;I Curtailment-Turnkey-OtherLarge</v>
      </c>
      <c r="Y187" s="157" t="b">
        <f>ISNUMBER(MATCH(X187,'ProCESS CSE'!W:W,0))</f>
        <v>0</v>
      </c>
      <c r="Z187" s="157"/>
      <c r="AA187" s="157"/>
      <c r="AB187" s="157"/>
      <c r="AC187" s="157"/>
      <c r="AD187" s="157"/>
      <c r="AE187" s="157"/>
      <c r="AF187" s="157"/>
      <c r="AG187" s="157"/>
      <c r="AH187" s="157"/>
      <c r="AI187" s="157"/>
      <c r="AJ187" s="157"/>
      <c r="AK187" s="157"/>
      <c r="AL187" s="157"/>
      <c r="AM187" s="157"/>
      <c r="AN187" s="157"/>
      <c r="AO187" s="157"/>
      <c r="AP187" s="157"/>
    </row>
    <row r="188" spans="1:42" ht="14.4" x14ac:dyDescent="0.25">
      <c r="A188" s="225" t="str">
        <f>'Participation Assumptions'!B189</f>
        <v>C&amp;I Curtailment-Turnkey-Other</v>
      </c>
      <c r="B188" s="225" t="s">
        <v>397</v>
      </c>
      <c r="C188" s="225" t="str">
        <f>'Participation Assumptions'!C189</f>
        <v>Interruptible Rider</v>
      </c>
      <c r="D188" s="225" t="str">
        <f>'Participation Assumptions'!D189</f>
        <v>Miscellaneous</v>
      </c>
      <c r="E188" s="330">
        <v>0.5</v>
      </c>
      <c r="F188" s="330">
        <v>0.5</v>
      </c>
      <c r="G188" s="330">
        <v>0.5</v>
      </c>
      <c r="H188" s="330">
        <v>0.5</v>
      </c>
      <c r="I188" s="330">
        <v>0.5</v>
      </c>
      <c r="J188" s="330">
        <v>0.5</v>
      </c>
      <c r="K188" s="330">
        <v>0.5</v>
      </c>
      <c r="L188" s="330">
        <v>0.5</v>
      </c>
      <c r="M188" s="330">
        <v>0.5</v>
      </c>
      <c r="N188" s="330">
        <v>0.5</v>
      </c>
      <c r="O188" s="330">
        <v>0.5</v>
      </c>
      <c r="P188" s="330">
        <v>0.5</v>
      </c>
      <c r="Q188" s="330">
        <v>0.5</v>
      </c>
      <c r="R188" s="330">
        <v>0.5</v>
      </c>
      <c r="S188" s="330">
        <v>0.5</v>
      </c>
      <c r="T188" s="330">
        <v>0.5</v>
      </c>
      <c r="U188" s="330">
        <v>0.5</v>
      </c>
      <c r="V188" s="429"/>
      <c r="W188" s="200" t="str">
        <f t="shared" si="124"/>
        <v>Large</v>
      </c>
      <c r="X188" s="198" t="str">
        <f t="shared" si="122"/>
        <v>C&amp;I Curtailment-Turnkey-OtherLarge</v>
      </c>
      <c r="Y188" s="157" t="b">
        <f>ISNUMBER(MATCH(X188,'ProCESS CSE'!W:W,0))</f>
        <v>0</v>
      </c>
      <c r="Z188" s="157"/>
      <c r="AA188" s="157"/>
      <c r="AB188" s="157"/>
      <c r="AC188" s="157"/>
      <c r="AD188" s="157"/>
      <c r="AE188" s="157"/>
      <c r="AF188" s="157"/>
      <c r="AG188" s="157"/>
      <c r="AH188" s="157"/>
      <c r="AI188" s="157"/>
      <c r="AJ188" s="157"/>
      <c r="AK188" s="157"/>
      <c r="AL188" s="157"/>
      <c r="AM188" s="157"/>
      <c r="AN188" s="157"/>
      <c r="AO188" s="157"/>
      <c r="AP188" s="157"/>
    </row>
    <row r="189" spans="1:42" ht="14.4" x14ac:dyDescent="0.25">
      <c r="A189" s="225" t="str">
        <f>'Participation Assumptions'!B190</f>
        <v>C&amp;I Curtailment-Turnkey-Other</v>
      </c>
      <c r="B189" s="225" t="s">
        <v>397</v>
      </c>
      <c r="C189" s="225" t="str">
        <f>'Participation Assumptions'!C190</f>
        <v>Interruptible Rider</v>
      </c>
      <c r="D189" s="225" t="str">
        <f>'Participation Assumptions'!D190</f>
        <v>Retail Trade</v>
      </c>
      <c r="E189" s="330">
        <v>0.5</v>
      </c>
      <c r="F189" s="330">
        <v>0.5</v>
      </c>
      <c r="G189" s="330">
        <v>0.5</v>
      </c>
      <c r="H189" s="330">
        <v>0.5</v>
      </c>
      <c r="I189" s="330">
        <v>0.5</v>
      </c>
      <c r="J189" s="330">
        <v>0.5</v>
      </c>
      <c r="K189" s="330">
        <v>0.5</v>
      </c>
      <c r="L189" s="330">
        <v>0.5</v>
      </c>
      <c r="M189" s="330">
        <v>0.5</v>
      </c>
      <c r="N189" s="330">
        <v>0.5</v>
      </c>
      <c r="O189" s="330">
        <v>0.5</v>
      </c>
      <c r="P189" s="330">
        <v>0.5</v>
      </c>
      <c r="Q189" s="330">
        <v>0.5</v>
      </c>
      <c r="R189" s="330">
        <v>0.5</v>
      </c>
      <c r="S189" s="330">
        <v>0.5</v>
      </c>
      <c r="T189" s="330">
        <v>0.5</v>
      </c>
      <c r="U189" s="330">
        <v>0.5</v>
      </c>
      <c r="V189" s="429"/>
      <c r="W189" s="200" t="str">
        <f t="shared" si="124"/>
        <v>Large</v>
      </c>
      <c r="X189" s="198" t="str">
        <f t="shared" si="122"/>
        <v>C&amp;I Curtailment-Turnkey-OtherLarge</v>
      </c>
      <c r="Y189" s="157" t="b">
        <f>ISNUMBER(MATCH(X189,'ProCESS CSE'!W:W,0))</f>
        <v>0</v>
      </c>
      <c r="Z189" s="157"/>
      <c r="AA189" s="157"/>
      <c r="AB189" s="157"/>
      <c r="AC189" s="157"/>
      <c r="AD189" s="157"/>
      <c r="AE189" s="157"/>
      <c r="AF189" s="157"/>
      <c r="AG189" s="157"/>
      <c r="AH189" s="157"/>
      <c r="AI189" s="157"/>
      <c r="AJ189" s="157"/>
      <c r="AK189" s="157"/>
      <c r="AL189" s="157"/>
      <c r="AM189" s="157"/>
      <c r="AN189" s="157"/>
      <c r="AO189" s="157"/>
      <c r="AP189" s="157"/>
    </row>
    <row r="190" spans="1:42" ht="14.4" x14ac:dyDescent="0.25">
      <c r="A190" s="225" t="str">
        <f>'Participation Assumptions'!B191</f>
        <v>C&amp;I Curtailment-Turnkey-Industrial</v>
      </c>
      <c r="B190" s="225" t="s">
        <v>397</v>
      </c>
      <c r="C190" s="225" t="str">
        <f>'Participation Assumptions'!C191</f>
        <v>Large Industrial</v>
      </c>
      <c r="D190" s="225" t="str">
        <f>'Participation Assumptions'!D191</f>
        <v>Manufacturing</v>
      </c>
      <c r="E190" s="330">
        <v>0.5</v>
      </c>
      <c r="F190" s="330">
        <v>0.5</v>
      </c>
      <c r="G190" s="330">
        <v>0.5</v>
      </c>
      <c r="H190" s="330">
        <v>0.5</v>
      </c>
      <c r="I190" s="330">
        <v>0.5</v>
      </c>
      <c r="J190" s="330">
        <v>0.5</v>
      </c>
      <c r="K190" s="330">
        <v>0.5</v>
      </c>
      <c r="L190" s="330">
        <v>0.5</v>
      </c>
      <c r="M190" s="330">
        <v>0.5</v>
      </c>
      <c r="N190" s="330">
        <v>0.5</v>
      </c>
      <c r="O190" s="330">
        <v>0.5</v>
      </c>
      <c r="P190" s="330">
        <v>0.5</v>
      </c>
      <c r="Q190" s="330">
        <v>0.5</v>
      </c>
      <c r="R190" s="330">
        <v>0.5</v>
      </c>
      <c r="S190" s="330">
        <v>0.5</v>
      </c>
      <c r="T190" s="330">
        <v>0.5</v>
      </c>
      <c r="U190" s="330">
        <v>0.5</v>
      </c>
      <c r="V190" s="429"/>
      <c r="W190" s="200" t="str">
        <f t="shared" si="124"/>
        <v>Large</v>
      </c>
      <c r="X190" s="198" t="str">
        <f t="shared" si="122"/>
        <v>C&amp;I Curtailment-Turnkey-IndustrialLarge</v>
      </c>
      <c r="Y190" s="157" t="b">
        <f>ISNUMBER(MATCH(X190,'ProCESS CSE'!W:W,0))</f>
        <v>0</v>
      </c>
      <c r="Z190" s="157"/>
      <c r="AA190" s="157"/>
      <c r="AB190" s="157"/>
      <c r="AC190" s="157"/>
      <c r="AD190" s="157"/>
      <c r="AE190" s="157"/>
      <c r="AF190" s="157"/>
      <c r="AG190" s="157"/>
      <c r="AH190" s="157"/>
      <c r="AI190" s="157"/>
      <c r="AJ190" s="157"/>
      <c r="AK190" s="157"/>
      <c r="AL190" s="157"/>
      <c r="AM190" s="157"/>
      <c r="AN190" s="157"/>
      <c r="AO190" s="157"/>
      <c r="AP190" s="157"/>
    </row>
    <row r="191" spans="1:42" ht="14.4" x14ac:dyDescent="0.25">
      <c r="A191" s="225" t="str">
        <f>'Participation Assumptions'!B192</f>
        <v>C&amp;I Curtailment-Turnkey-Industrial</v>
      </c>
      <c r="B191" s="225" t="s">
        <v>397</v>
      </c>
      <c r="C191" s="225" t="str">
        <f>'Participation Assumptions'!C192</f>
        <v>Interruptible Rider</v>
      </c>
      <c r="D191" s="225" t="str">
        <f>'Participation Assumptions'!D192</f>
        <v>Manufacturing</v>
      </c>
      <c r="E191" s="330">
        <v>0.5</v>
      </c>
      <c r="F191" s="330">
        <v>0.5</v>
      </c>
      <c r="G191" s="330">
        <v>0.5</v>
      </c>
      <c r="H191" s="330">
        <v>0.5</v>
      </c>
      <c r="I191" s="330">
        <v>0.5</v>
      </c>
      <c r="J191" s="330">
        <v>0.5</v>
      </c>
      <c r="K191" s="330">
        <v>0.5</v>
      </c>
      <c r="L191" s="330">
        <v>0.5</v>
      </c>
      <c r="M191" s="330">
        <v>0.5</v>
      </c>
      <c r="N191" s="330">
        <v>0.5</v>
      </c>
      <c r="O191" s="330">
        <v>0.5</v>
      </c>
      <c r="P191" s="330">
        <v>0.5</v>
      </c>
      <c r="Q191" s="330">
        <v>0.5</v>
      </c>
      <c r="R191" s="330">
        <v>0.5</v>
      </c>
      <c r="S191" s="330">
        <v>0.5</v>
      </c>
      <c r="T191" s="330">
        <v>0.5</v>
      </c>
      <c r="U191" s="330">
        <v>0.5</v>
      </c>
      <c r="V191" s="429"/>
      <c r="W191" s="200" t="str">
        <f t="shared" si="124"/>
        <v>Large</v>
      </c>
      <c r="X191" s="198" t="str">
        <f t="shared" si="122"/>
        <v>C&amp;I Curtailment-Turnkey-IndustrialLarge</v>
      </c>
      <c r="Y191" s="157" t="b">
        <f>ISNUMBER(MATCH(X191,'ProCESS CSE'!W:W,0))</f>
        <v>0</v>
      </c>
      <c r="Z191" s="157"/>
      <c r="AA191" s="157"/>
      <c r="AB191" s="157"/>
      <c r="AC191" s="157"/>
      <c r="AD191" s="157"/>
      <c r="AE191" s="157"/>
      <c r="AF191" s="157"/>
      <c r="AG191" s="157"/>
      <c r="AH191" s="157"/>
      <c r="AI191" s="157"/>
      <c r="AJ191" s="157"/>
      <c r="AK191" s="157"/>
      <c r="AL191" s="157"/>
      <c r="AM191" s="157"/>
      <c r="AN191" s="157"/>
      <c r="AO191" s="157"/>
      <c r="AP191" s="157"/>
    </row>
    <row r="192" spans="1:42" ht="14.4" x14ac:dyDescent="0.25">
      <c r="A192" s="225" t="str">
        <f>'Participation Assumptions'!B193</f>
        <v>C&amp;I Curtailment-Enabling Tech-Manual HVAC Control</v>
      </c>
      <c r="B192" s="225" t="s">
        <v>397</v>
      </c>
      <c r="C192" s="225" t="str">
        <f>'Participation Assumptions'!C193</f>
        <v>Large Commercial</v>
      </c>
      <c r="D192" s="225" t="str">
        <f>'Participation Assumptions'!D193</f>
        <v>Offices</v>
      </c>
      <c r="E192" s="330">
        <f t="shared" ref="E192:E201" si="179">E130</f>
        <v>0.49748766163793101</v>
      </c>
      <c r="F192" s="330">
        <f t="shared" ref="F192:U201" si="180">F130</f>
        <v>0.49665021551724137</v>
      </c>
      <c r="G192" s="330">
        <f t="shared" si="180"/>
        <v>0.49553362068965517</v>
      </c>
      <c r="H192" s="330">
        <f t="shared" si="180"/>
        <v>0.49404482758620688</v>
      </c>
      <c r="I192" s="330">
        <f t="shared" si="180"/>
        <v>0.49255603448275864</v>
      </c>
      <c r="J192" s="330">
        <f t="shared" si="180"/>
        <v>0.4906950431034483</v>
      </c>
      <c r="K192" s="330">
        <f t="shared" si="180"/>
        <v>0.48836880387931036</v>
      </c>
      <c r="L192" s="330">
        <f t="shared" si="180"/>
        <v>0.48546100484913796</v>
      </c>
      <c r="M192" s="330">
        <f t="shared" si="180"/>
        <v>0.48182625606142243</v>
      </c>
      <c r="N192" s="330">
        <f t="shared" si="180"/>
        <v>0.47728282007677802</v>
      </c>
      <c r="O192" s="330">
        <f t="shared" si="180"/>
        <v>0.47160352509597253</v>
      </c>
      <c r="P192" s="330">
        <f t="shared" si="180"/>
        <v>0.46450440636996571</v>
      </c>
      <c r="Q192" s="330">
        <f t="shared" si="180"/>
        <v>0.45563050796245713</v>
      </c>
      <c r="R192" s="330">
        <f t="shared" si="180"/>
        <v>0.44453813495307143</v>
      </c>
      <c r="S192" s="330">
        <f t="shared" si="180"/>
        <v>0.4306726686913393</v>
      </c>
      <c r="T192" s="330">
        <f t="shared" si="180"/>
        <v>0.41334083586417414</v>
      </c>
      <c r="U192" s="330">
        <f t="shared" si="180"/>
        <v>0.39167604483021767</v>
      </c>
      <c r="V192" s="430" t="s">
        <v>307</v>
      </c>
      <c r="W192" s="200" t="str">
        <f t="shared" si="124"/>
        <v>Large</v>
      </c>
      <c r="X192" s="198" t="str">
        <f t="shared" si="122"/>
        <v>C&amp;I Curtailment-Enabling Tech-Manual HVAC ControlLarge</v>
      </c>
      <c r="Y192" s="157" t="b">
        <f>ISNUMBER(MATCH(X192,'ProCESS CSE'!W:W,0))</f>
        <v>0</v>
      </c>
      <c r="Z192" s="157"/>
      <c r="AA192" s="157"/>
      <c r="AB192" s="157"/>
      <c r="AC192" s="157"/>
      <c r="AD192" s="157"/>
      <c r="AE192" s="157"/>
      <c r="AF192" s="157"/>
      <c r="AG192" s="157"/>
      <c r="AH192" s="157"/>
      <c r="AI192" s="157"/>
      <c r="AJ192" s="157"/>
      <c r="AK192" s="157"/>
      <c r="AL192" s="157"/>
      <c r="AM192" s="157"/>
      <c r="AN192" s="157"/>
      <c r="AO192" s="157"/>
      <c r="AP192" s="157"/>
    </row>
    <row r="193" spans="1:42" ht="14.4" x14ac:dyDescent="0.25">
      <c r="A193" s="225" t="str">
        <f>'Participation Assumptions'!B194</f>
        <v>C&amp;I Curtailment-Enabling Tech-Manual HVAC Control</v>
      </c>
      <c r="B193" s="225" t="s">
        <v>397</v>
      </c>
      <c r="C193" s="225" t="str">
        <f>'Participation Assumptions'!C194</f>
        <v>Large Commercial</v>
      </c>
      <c r="D193" s="225" t="str">
        <f>'Participation Assumptions'!D194</f>
        <v>Services</v>
      </c>
      <c r="E193" s="330">
        <f t="shared" si="179"/>
        <v>0.49748766163793101</v>
      </c>
      <c r="F193" s="330">
        <f t="shared" ref="F193:T193" si="181">F131</f>
        <v>0.49665021551724137</v>
      </c>
      <c r="G193" s="330">
        <f t="shared" si="181"/>
        <v>0.49553362068965517</v>
      </c>
      <c r="H193" s="330">
        <f t="shared" si="181"/>
        <v>0.49404482758620688</v>
      </c>
      <c r="I193" s="330">
        <f t="shared" si="181"/>
        <v>0.49255603448275864</v>
      </c>
      <c r="J193" s="330">
        <f t="shared" si="181"/>
        <v>0.4906950431034483</v>
      </c>
      <c r="K193" s="330">
        <f t="shared" si="181"/>
        <v>0.48836880387931036</v>
      </c>
      <c r="L193" s="330">
        <f t="shared" si="181"/>
        <v>0.48546100484913796</v>
      </c>
      <c r="M193" s="330">
        <f t="shared" si="181"/>
        <v>0.48182625606142243</v>
      </c>
      <c r="N193" s="330">
        <f t="shared" si="181"/>
        <v>0.47728282007677802</v>
      </c>
      <c r="O193" s="330">
        <f t="shared" si="181"/>
        <v>0.47160352509597253</v>
      </c>
      <c r="P193" s="330">
        <f t="shared" si="181"/>
        <v>0.46450440636996571</v>
      </c>
      <c r="Q193" s="330">
        <f t="shared" si="181"/>
        <v>0.45563050796245713</v>
      </c>
      <c r="R193" s="330">
        <f t="shared" si="181"/>
        <v>0.44453813495307143</v>
      </c>
      <c r="S193" s="330">
        <f t="shared" si="181"/>
        <v>0.4306726686913393</v>
      </c>
      <c r="T193" s="330">
        <f t="shared" si="181"/>
        <v>0.41334083586417414</v>
      </c>
      <c r="U193" s="330">
        <f t="shared" si="180"/>
        <v>0.39167604483021767</v>
      </c>
      <c r="V193" s="430"/>
      <c r="W193" s="200" t="str">
        <f t="shared" si="124"/>
        <v>Large</v>
      </c>
      <c r="X193" s="198" t="str">
        <f t="shared" si="122"/>
        <v>C&amp;I Curtailment-Enabling Tech-Manual HVAC ControlLarge</v>
      </c>
      <c r="Y193" s="157" t="b">
        <f>ISNUMBER(MATCH(X193,'ProCESS CSE'!W:W,0))</f>
        <v>0</v>
      </c>
      <c r="Z193" s="157"/>
      <c r="AA193" s="157"/>
      <c r="AB193" s="157"/>
      <c r="AC193" s="157"/>
      <c r="AD193" s="157"/>
      <c r="AE193" s="157"/>
      <c r="AF193" s="157"/>
      <c r="AG193" s="157"/>
      <c r="AH193" s="157"/>
      <c r="AI193" s="157"/>
      <c r="AJ193" s="157"/>
      <c r="AK193" s="157"/>
      <c r="AL193" s="157"/>
      <c r="AM193" s="157"/>
      <c r="AN193" s="157"/>
      <c r="AO193" s="157"/>
      <c r="AP193" s="157"/>
    </row>
    <row r="194" spans="1:42" ht="14.4" x14ac:dyDescent="0.25">
      <c r="A194" s="225" t="str">
        <f>'Participation Assumptions'!B195</f>
        <v>C&amp;I Curtailment-Enabling Tech-Manual HVAC Control</v>
      </c>
      <c r="B194" s="225" t="s">
        <v>397</v>
      </c>
      <c r="C194" s="225" t="str">
        <f>'Participation Assumptions'!C195</f>
        <v>Large Industrial</v>
      </c>
      <c r="D194" s="225" t="str">
        <f>'Participation Assumptions'!D195</f>
        <v>Manufacturing</v>
      </c>
      <c r="E194" s="330">
        <f t="shared" si="179"/>
        <v>0.49748766163793101</v>
      </c>
      <c r="F194" s="330">
        <f t="shared" si="180"/>
        <v>0.49665021551724137</v>
      </c>
      <c r="G194" s="330">
        <f t="shared" si="180"/>
        <v>0.49553362068965517</v>
      </c>
      <c r="H194" s="330">
        <f t="shared" si="180"/>
        <v>0.49404482758620688</v>
      </c>
      <c r="I194" s="330">
        <f t="shared" si="180"/>
        <v>0.49255603448275864</v>
      </c>
      <c r="J194" s="330">
        <f t="shared" si="180"/>
        <v>0.4906950431034483</v>
      </c>
      <c r="K194" s="330">
        <f t="shared" si="180"/>
        <v>0.48836880387931036</v>
      </c>
      <c r="L194" s="330">
        <f t="shared" si="180"/>
        <v>0.48546100484913796</v>
      </c>
      <c r="M194" s="330">
        <f t="shared" si="180"/>
        <v>0.48182625606142243</v>
      </c>
      <c r="N194" s="330">
        <f t="shared" si="180"/>
        <v>0.47728282007677802</v>
      </c>
      <c r="O194" s="330">
        <f t="shared" si="180"/>
        <v>0.47160352509597253</v>
      </c>
      <c r="P194" s="330">
        <f t="shared" si="180"/>
        <v>0.46450440636996571</v>
      </c>
      <c r="Q194" s="330">
        <f t="shared" si="180"/>
        <v>0.45563050796245713</v>
      </c>
      <c r="R194" s="330">
        <f t="shared" si="180"/>
        <v>0.44453813495307143</v>
      </c>
      <c r="S194" s="330">
        <f t="shared" si="180"/>
        <v>0.4306726686913393</v>
      </c>
      <c r="T194" s="330">
        <f t="shared" si="180"/>
        <v>0.41334083586417414</v>
      </c>
      <c r="U194" s="330">
        <f t="shared" si="180"/>
        <v>0.39167604483021767</v>
      </c>
      <c r="V194" s="430"/>
      <c r="W194" s="200" t="str">
        <f t="shared" si="124"/>
        <v>Large</v>
      </c>
      <c r="X194" s="198" t="str">
        <f t="shared" si="122"/>
        <v>C&amp;I Curtailment-Enabling Tech-Manual HVAC ControlLarge</v>
      </c>
      <c r="Y194" s="157" t="b">
        <f>ISNUMBER(MATCH(X194,'ProCESS CSE'!W:W,0))</f>
        <v>0</v>
      </c>
      <c r="Z194" s="157"/>
      <c r="AA194" s="157"/>
      <c r="AB194" s="157"/>
      <c r="AC194" s="157"/>
      <c r="AD194" s="157"/>
      <c r="AE194" s="157"/>
      <c r="AF194" s="157"/>
      <c r="AG194" s="157"/>
      <c r="AH194" s="157"/>
      <c r="AI194" s="157"/>
      <c r="AJ194" s="157"/>
      <c r="AK194" s="157"/>
      <c r="AL194" s="157"/>
      <c r="AM194" s="157"/>
      <c r="AN194" s="157"/>
      <c r="AO194" s="157"/>
      <c r="AP194" s="157"/>
    </row>
    <row r="195" spans="1:42" ht="14.4" x14ac:dyDescent="0.25">
      <c r="A195" s="225" t="str">
        <f>'Participation Assumptions'!B196</f>
        <v>C&amp;I Curtailment-Enabling Tech-Manual HVAC Control</v>
      </c>
      <c r="B195" s="225" t="s">
        <v>397</v>
      </c>
      <c r="C195" s="225" t="str">
        <f>'Participation Assumptions'!C196</f>
        <v>Large Industrial</v>
      </c>
      <c r="D195" s="225" t="str">
        <f>'Participation Assumptions'!D196</f>
        <v>Miscellaneous</v>
      </c>
      <c r="E195" s="330">
        <f t="shared" si="179"/>
        <v>0.49748766163793101</v>
      </c>
      <c r="F195" s="330">
        <f t="shared" si="180"/>
        <v>0.49665021551724137</v>
      </c>
      <c r="G195" s="330">
        <f t="shared" si="180"/>
        <v>0.49553362068965517</v>
      </c>
      <c r="H195" s="330">
        <f t="shared" si="180"/>
        <v>0.49404482758620688</v>
      </c>
      <c r="I195" s="330">
        <f t="shared" si="180"/>
        <v>0.49255603448275864</v>
      </c>
      <c r="J195" s="330">
        <f t="shared" si="180"/>
        <v>0.4906950431034483</v>
      </c>
      <c r="K195" s="330">
        <f t="shared" si="180"/>
        <v>0.48836880387931036</v>
      </c>
      <c r="L195" s="330">
        <f t="shared" si="180"/>
        <v>0.48546100484913796</v>
      </c>
      <c r="M195" s="330">
        <f t="shared" si="180"/>
        <v>0.48182625606142243</v>
      </c>
      <c r="N195" s="330">
        <f t="shared" si="180"/>
        <v>0.47728282007677802</v>
      </c>
      <c r="O195" s="330">
        <f t="shared" si="180"/>
        <v>0.47160352509597253</v>
      </c>
      <c r="P195" s="330">
        <f t="shared" si="180"/>
        <v>0.46450440636996571</v>
      </c>
      <c r="Q195" s="330">
        <f t="shared" si="180"/>
        <v>0.45563050796245713</v>
      </c>
      <c r="R195" s="330">
        <f t="shared" si="180"/>
        <v>0.44453813495307143</v>
      </c>
      <c r="S195" s="330">
        <f t="shared" si="180"/>
        <v>0.4306726686913393</v>
      </c>
      <c r="T195" s="330">
        <f t="shared" si="180"/>
        <v>0.41334083586417414</v>
      </c>
      <c r="U195" s="330">
        <f t="shared" si="180"/>
        <v>0.39167604483021767</v>
      </c>
      <c r="V195" s="430"/>
      <c r="W195" s="200" t="str">
        <f t="shared" si="124"/>
        <v>Large</v>
      </c>
      <c r="X195" s="198" t="str">
        <f t="shared" si="122"/>
        <v>C&amp;I Curtailment-Enabling Tech-Manual HVAC ControlLarge</v>
      </c>
      <c r="Y195" s="157" t="b">
        <f>ISNUMBER(MATCH(X195,'ProCESS CSE'!W:W,0))</f>
        <v>0</v>
      </c>
      <c r="Z195" s="157"/>
      <c r="AA195" s="157"/>
      <c r="AB195" s="157"/>
      <c r="AC195" s="157"/>
      <c r="AD195" s="157"/>
      <c r="AE195" s="157"/>
      <c r="AF195" s="157"/>
      <c r="AG195" s="157"/>
      <c r="AH195" s="157"/>
      <c r="AI195" s="157"/>
      <c r="AJ195" s="157"/>
      <c r="AK195" s="157"/>
      <c r="AL195" s="157"/>
      <c r="AM195" s="157"/>
      <c r="AN195" s="157"/>
      <c r="AO195" s="157"/>
      <c r="AP195" s="157"/>
    </row>
    <row r="196" spans="1:42" ht="14.4" x14ac:dyDescent="0.25">
      <c r="A196" s="225" t="str">
        <f>'Participation Assumptions'!B197</f>
        <v>C&amp;I Curtailment-Enabling Tech-Manual HVAC Control</v>
      </c>
      <c r="B196" s="225" t="s">
        <v>397</v>
      </c>
      <c r="C196" s="225" t="str">
        <f>'Participation Assumptions'!C197</f>
        <v>Large Industrial</v>
      </c>
      <c r="D196" s="225" t="str">
        <f>'Participation Assumptions'!D197</f>
        <v>Offices</v>
      </c>
      <c r="E196" s="330">
        <f t="shared" si="179"/>
        <v>0.49748766163793101</v>
      </c>
      <c r="F196" s="330">
        <f t="shared" si="180"/>
        <v>0.49665021551724137</v>
      </c>
      <c r="G196" s="330">
        <f t="shared" si="180"/>
        <v>0.49553362068965517</v>
      </c>
      <c r="H196" s="330">
        <f t="shared" si="180"/>
        <v>0.49404482758620688</v>
      </c>
      <c r="I196" s="330">
        <f t="shared" si="180"/>
        <v>0.49255603448275864</v>
      </c>
      <c r="J196" s="330">
        <f t="shared" si="180"/>
        <v>0.4906950431034483</v>
      </c>
      <c r="K196" s="330">
        <f t="shared" si="180"/>
        <v>0.48836880387931036</v>
      </c>
      <c r="L196" s="330">
        <f t="shared" si="180"/>
        <v>0.48546100484913796</v>
      </c>
      <c r="M196" s="330">
        <f t="shared" si="180"/>
        <v>0.48182625606142243</v>
      </c>
      <c r="N196" s="330">
        <f t="shared" si="180"/>
        <v>0.47728282007677802</v>
      </c>
      <c r="O196" s="330">
        <f t="shared" si="180"/>
        <v>0.47160352509597253</v>
      </c>
      <c r="P196" s="330">
        <f t="shared" si="180"/>
        <v>0.46450440636996571</v>
      </c>
      <c r="Q196" s="330">
        <f t="shared" si="180"/>
        <v>0.45563050796245713</v>
      </c>
      <c r="R196" s="330">
        <f t="shared" si="180"/>
        <v>0.44453813495307143</v>
      </c>
      <c r="S196" s="330">
        <f t="shared" si="180"/>
        <v>0.4306726686913393</v>
      </c>
      <c r="T196" s="330">
        <f t="shared" si="180"/>
        <v>0.41334083586417414</v>
      </c>
      <c r="U196" s="330">
        <f t="shared" si="180"/>
        <v>0.39167604483021767</v>
      </c>
      <c r="V196" s="430"/>
      <c r="W196" s="200" t="str">
        <f t="shared" si="124"/>
        <v>Large</v>
      </c>
      <c r="X196" s="198" t="str">
        <f t="shared" ref="X196:X259" si="182">_xlfn.CONCAT(A196,W196)</f>
        <v>C&amp;I Curtailment-Enabling Tech-Manual HVAC ControlLarge</v>
      </c>
      <c r="Y196" s="157" t="b">
        <f>ISNUMBER(MATCH(X196,'ProCESS CSE'!W:W,0))</f>
        <v>0</v>
      </c>
      <c r="Z196" s="157"/>
      <c r="AA196" s="157"/>
      <c r="AB196" s="157"/>
      <c r="AC196" s="157"/>
      <c r="AD196" s="157"/>
      <c r="AE196" s="157"/>
      <c r="AF196" s="157"/>
      <c r="AG196" s="157"/>
      <c r="AH196" s="157"/>
      <c r="AI196" s="157"/>
      <c r="AJ196" s="157"/>
      <c r="AK196" s="157"/>
      <c r="AL196" s="157"/>
      <c r="AM196" s="157"/>
      <c r="AN196" s="157"/>
      <c r="AO196" s="157"/>
      <c r="AP196" s="157"/>
    </row>
    <row r="197" spans="1:42" ht="14.4" x14ac:dyDescent="0.25">
      <c r="A197" s="225" t="str">
        <f>'Participation Assumptions'!B198</f>
        <v>C&amp;I Curtailment-Enabling Tech-Manual HVAC Control</v>
      </c>
      <c r="B197" s="225" t="s">
        <v>397</v>
      </c>
      <c r="C197" s="225" t="str">
        <f>'Participation Assumptions'!C198</f>
        <v>Large Industrial</v>
      </c>
      <c r="D197" s="225" t="str">
        <f>'Participation Assumptions'!D198</f>
        <v>Retail Trade</v>
      </c>
      <c r="E197" s="330">
        <f t="shared" si="179"/>
        <v>0.49748766163793101</v>
      </c>
      <c r="F197" s="330">
        <f t="shared" si="180"/>
        <v>0.49665021551724137</v>
      </c>
      <c r="G197" s="330">
        <f t="shared" si="180"/>
        <v>0.49553362068965517</v>
      </c>
      <c r="H197" s="330">
        <f t="shared" si="180"/>
        <v>0.49404482758620688</v>
      </c>
      <c r="I197" s="330">
        <f t="shared" si="180"/>
        <v>0.49255603448275864</v>
      </c>
      <c r="J197" s="330">
        <f t="shared" si="180"/>
        <v>0.4906950431034483</v>
      </c>
      <c r="K197" s="330">
        <f t="shared" si="180"/>
        <v>0.48836880387931036</v>
      </c>
      <c r="L197" s="330">
        <f t="shared" si="180"/>
        <v>0.48546100484913796</v>
      </c>
      <c r="M197" s="330">
        <f t="shared" si="180"/>
        <v>0.48182625606142243</v>
      </c>
      <c r="N197" s="330">
        <f t="shared" si="180"/>
        <v>0.47728282007677802</v>
      </c>
      <c r="O197" s="330">
        <f t="shared" si="180"/>
        <v>0.47160352509597253</v>
      </c>
      <c r="P197" s="330">
        <f t="shared" si="180"/>
        <v>0.46450440636996571</v>
      </c>
      <c r="Q197" s="330">
        <f t="shared" si="180"/>
        <v>0.45563050796245713</v>
      </c>
      <c r="R197" s="330">
        <f t="shared" si="180"/>
        <v>0.44453813495307143</v>
      </c>
      <c r="S197" s="330">
        <f t="shared" si="180"/>
        <v>0.4306726686913393</v>
      </c>
      <c r="T197" s="330">
        <f t="shared" si="180"/>
        <v>0.41334083586417414</v>
      </c>
      <c r="U197" s="330">
        <f t="shared" si="180"/>
        <v>0.39167604483021767</v>
      </c>
      <c r="V197" s="430"/>
      <c r="W197" s="200" t="str">
        <f t="shared" ref="W197:W260" si="183">TRIM(IF(ISNUMBER(SEARCH("Interruptible", C197)), "Large", IFERROR(LEFT(C197,SEARCH(" ",C197)), C197)))</f>
        <v>Large</v>
      </c>
      <c r="X197" s="198" t="str">
        <f t="shared" si="182"/>
        <v>C&amp;I Curtailment-Enabling Tech-Manual HVAC ControlLarge</v>
      </c>
      <c r="Y197" s="157" t="b">
        <f>ISNUMBER(MATCH(X197,'ProCESS CSE'!W:W,0))</f>
        <v>0</v>
      </c>
      <c r="Z197" s="157"/>
      <c r="AA197" s="157"/>
      <c r="AB197" s="157"/>
      <c r="AC197" s="157"/>
      <c r="AD197" s="157"/>
      <c r="AE197" s="157"/>
      <c r="AF197" s="157"/>
      <c r="AG197" s="157"/>
      <c r="AH197" s="157"/>
      <c r="AI197" s="157"/>
      <c r="AJ197" s="157"/>
      <c r="AK197" s="157"/>
      <c r="AL197" s="157"/>
      <c r="AM197" s="157"/>
      <c r="AN197" s="157"/>
      <c r="AO197" s="157"/>
      <c r="AP197" s="157"/>
    </row>
    <row r="198" spans="1:42" ht="14.4" x14ac:dyDescent="0.25">
      <c r="A198" s="225" t="str">
        <f>'Participation Assumptions'!B199</f>
        <v>C&amp;I Curtailment-Enabling Tech-Manual HVAC Control</v>
      </c>
      <c r="B198" s="225" t="s">
        <v>397</v>
      </c>
      <c r="C198" s="225" t="str">
        <f>'Participation Assumptions'!C199</f>
        <v>Large Industrial</v>
      </c>
      <c r="D198" s="225" t="str">
        <f>'Participation Assumptions'!D199</f>
        <v>Services</v>
      </c>
      <c r="E198" s="330">
        <f t="shared" si="179"/>
        <v>0.49748766163793101</v>
      </c>
      <c r="F198" s="330">
        <f t="shared" si="180"/>
        <v>0.49665021551724137</v>
      </c>
      <c r="G198" s="330">
        <f t="shared" si="180"/>
        <v>0.49553362068965517</v>
      </c>
      <c r="H198" s="330">
        <f t="shared" si="180"/>
        <v>0.49404482758620688</v>
      </c>
      <c r="I198" s="330">
        <f t="shared" si="180"/>
        <v>0.49255603448275864</v>
      </c>
      <c r="J198" s="330">
        <f t="shared" si="180"/>
        <v>0.4906950431034483</v>
      </c>
      <c r="K198" s="330">
        <f t="shared" si="180"/>
        <v>0.48836880387931036</v>
      </c>
      <c r="L198" s="330">
        <f t="shared" si="180"/>
        <v>0.48546100484913796</v>
      </c>
      <c r="M198" s="330">
        <f t="shared" si="180"/>
        <v>0.48182625606142243</v>
      </c>
      <c r="N198" s="330">
        <f t="shared" si="180"/>
        <v>0.47728282007677802</v>
      </c>
      <c r="O198" s="330">
        <f t="shared" si="180"/>
        <v>0.47160352509597253</v>
      </c>
      <c r="P198" s="330">
        <f t="shared" si="180"/>
        <v>0.46450440636996571</v>
      </c>
      <c r="Q198" s="330">
        <f t="shared" si="180"/>
        <v>0.45563050796245713</v>
      </c>
      <c r="R198" s="330">
        <f t="shared" si="180"/>
        <v>0.44453813495307143</v>
      </c>
      <c r="S198" s="330">
        <f t="shared" si="180"/>
        <v>0.4306726686913393</v>
      </c>
      <c r="T198" s="330">
        <f t="shared" si="180"/>
        <v>0.41334083586417414</v>
      </c>
      <c r="U198" s="330">
        <f t="shared" si="180"/>
        <v>0.39167604483021767</v>
      </c>
      <c r="V198" s="430"/>
      <c r="W198" s="200" t="str">
        <f t="shared" si="183"/>
        <v>Large</v>
      </c>
      <c r="X198" s="198" t="str">
        <f t="shared" si="182"/>
        <v>C&amp;I Curtailment-Enabling Tech-Manual HVAC ControlLarge</v>
      </c>
      <c r="Y198" s="157" t="b">
        <f>ISNUMBER(MATCH(X198,'ProCESS CSE'!W:W,0))</f>
        <v>0</v>
      </c>
      <c r="Z198" s="157"/>
      <c r="AA198" s="157"/>
      <c r="AB198" s="157"/>
      <c r="AC198" s="157"/>
      <c r="AD198" s="157"/>
      <c r="AE198" s="157"/>
      <c r="AF198" s="157"/>
      <c r="AG198" s="157"/>
      <c r="AH198" s="157"/>
      <c r="AI198" s="157"/>
      <c r="AJ198" s="157"/>
      <c r="AK198" s="157"/>
      <c r="AL198" s="157"/>
      <c r="AM198" s="157"/>
      <c r="AN198" s="157"/>
      <c r="AO198" s="157"/>
      <c r="AP198" s="157"/>
    </row>
    <row r="199" spans="1:42" ht="14.4" x14ac:dyDescent="0.25">
      <c r="A199" s="225" t="str">
        <f>'Participation Assumptions'!B200</f>
        <v>C&amp;I Curtailment-Enabling Tech-Manual HVAC Control</v>
      </c>
      <c r="B199" s="225" t="s">
        <v>397</v>
      </c>
      <c r="C199" s="225" t="str">
        <f>'Participation Assumptions'!C200</f>
        <v>Interruptible Rider</v>
      </c>
      <c r="D199" s="225" t="str">
        <f>'Participation Assumptions'!D200</f>
        <v>Manufacturing</v>
      </c>
      <c r="E199" s="330">
        <f t="shared" si="179"/>
        <v>0.49748766163793101</v>
      </c>
      <c r="F199" s="330">
        <f t="shared" si="180"/>
        <v>0.49665021551724137</v>
      </c>
      <c r="G199" s="330">
        <f t="shared" si="180"/>
        <v>0.49553362068965517</v>
      </c>
      <c r="H199" s="330">
        <f t="shared" si="180"/>
        <v>0.49404482758620688</v>
      </c>
      <c r="I199" s="330">
        <f t="shared" si="180"/>
        <v>0.49255603448275864</v>
      </c>
      <c r="J199" s="330">
        <f t="shared" si="180"/>
        <v>0.4906950431034483</v>
      </c>
      <c r="K199" s="330">
        <f t="shared" si="180"/>
        <v>0.48836880387931036</v>
      </c>
      <c r="L199" s="330">
        <f t="shared" si="180"/>
        <v>0.48546100484913796</v>
      </c>
      <c r="M199" s="330">
        <f t="shared" si="180"/>
        <v>0.48182625606142243</v>
      </c>
      <c r="N199" s="330">
        <f t="shared" si="180"/>
        <v>0.47728282007677802</v>
      </c>
      <c r="O199" s="330">
        <f t="shared" si="180"/>
        <v>0.47160352509597253</v>
      </c>
      <c r="P199" s="330">
        <f t="shared" si="180"/>
        <v>0.46450440636996571</v>
      </c>
      <c r="Q199" s="330">
        <f t="shared" si="180"/>
        <v>0.45563050796245713</v>
      </c>
      <c r="R199" s="330">
        <f t="shared" si="180"/>
        <v>0.44453813495307143</v>
      </c>
      <c r="S199" s="330">
        <f t="shared" si="180"/>
        <v>0.4306726686913393</v>
      </c>
      <c r="T199" s="330">
        <f t="shared" si="180"/>
        <v>0.41334083586417414</v>
      </c>
      <c r="U199" s="330">
        <f t="shared" si="180"/>
        <v>0.39167604483021767</v>
      </c>
      <c r="V199" s="430"/>
      <c r="W199" s="200" t="str">
        <f t="shared" si="183"/>
        <v>Large</v>
      </c>
      <c r="X199" s="198" t="str">
        <f t="shared" si="182"/>
        <v>C&amp;I Curtailment-Enabling Tech-Manual HVAC ControlLarge</v>
      </c>
      <c r="Y199" s="157" t="b">
        <f>ISNUMBER(MATCH(X199,'ProCESS CSE'!W:W,0))</f>
        <v>0</v>
      </c>
      <c r="Z199" s="157"/>
      <c r="AA199" s="157"/>
      <c r="AB199" s="157"/>
      <c r="AC199" s="157"/>
      <c r="AD199" s="157"/>
      <c r="AE199" s="157"/>
      <c r="AF199" s="157"/>
      <c r="AG199" s="157"/>
      <c r="AH199" s="157"/>
      <c r="AI199" s="157"/>
      <c r="AJ199" s="157"/>
      <c r="AK199" s="157"/>
      <c r="AL199" s="157"/>
      <c r="AM199" s="157"/>
      <c r="AN199" s="157"/>
      <c r="AO199" s="157"/>
      <c r="AP199" s="157"/>
    </row>
    <row r="200" spans="1:42" ht="14.4" x14ac:dyDescent="0.25">
      <c r="A200" s="225" t="str">
        <f>'Participation Assumptions'!B201</f>
        <v>C&amp;I Curtailment-Enabling Tech-Manual HVAC Control</v>
      </c>
      <c r="B200" s="225" t="s">
        <v>397</v>
      </c>
      <c r="C200" s="225" t="str">
        <f>'Participation Assumptions'!C201</f>
        <v>Interruptible Rider</v>
      </c>
      <c r="D200" s="225" t="str">
        <f>'Participation Assumptions'!D201</f>
        <v>Miscellaneous</v>
      </c>
      <c r="E200" s="330">
        <f t="shared" si="179"/>
        <v>0.49748766163793101</v>
      </c>
      <c r="F200" s="330">
        <f t="shared" si="180"/>
        <v>0.49665021551724137</v>
      </c>
      <c r="G200" s="330">
        <f t="shared" si="180"/>
        <v>0.49553362068965517</v>
      </c>
      <c r="H200" s="330">
        <f t="shared" si="180"/>
        <v>0.49404482758620688</v>
      </c>
      <c r="I200" s="330">
        <f t="shared" si="180"/>
        <v>0.49255603448275864</v>
      </c>
      <c r="J200" s="330">
        <f t="shared" si="180"/>
        <v>0.4906950431034483</v>
      </c>
      <c r="K200" s="330">
        <f t="shared" si="180"/>
        <v>0.48836880387931036</v>
      </c>
      <c r="L200" s="330">
        <f t="shared" si="180"/>
        <v>0.48546100484913796</v>
      </c>
      <c r="M200" s="330">
        <f t="shared" si="180"/>
        <v>0.48182625606142243</v>
      </c>
      <c r="N200" s="330">
        <f t="shared" si="180"/>
        <v>0.47728282007677802</v>
      </c>
      <c r="O200" s="330">
        <f t="shared" si="180"/>
        <v>0.47160352509597253</v>
      </c>
      <c r="P200" s="330">
        <f t="shared" si="180"/>
        <v>0.46450440636996571</v>
      </c>
      <c r="Q200" s="330">
        <f t="shared" si="180"/>
        <v>0.45563050796245713</v>
      </c>
      <c r="R200" s="330">
        <f t="shared" si="180"/>
        <v>0.44453813495307143</v>
      </c>
      <c r="S200" s="330">
        <f t="shared" si="180"/>
        <v>0.4306726686913393</v>
      </c>
      <c r="T200" s="330">
        <f t="shared" si="180"/>
        <v>0.41334083586417414</v>
      </c>
      <c r="U200" s="330">
        <f t="shared" si="180"/>
        <v>0.39167604483021767</v>
      </c>
      <c r="V200" s="430"/>
      <c r="W200" s="200" t="str">
        <f t="shared" si="183"/>
        <v>Large</v>
      </c>
      <c r="X200" s="198" t="str">
        <f t="shared" si="182"/>
        <v>C&amp;I Curtailment-Enabling Tech-Manual HVAC ControlLarge</v>
      </c>
      <c r="Y200" s="157" t="b">
        <f>ISNUMBER(MATCH(X200,'ProCESS CSE'!W:W,0))</f>
        <v>0</v>
      </c>
      <c r="Z200" s="157"/>
      <c r="AA200" s="157"/>
      <c r="AB200" s="157"/>
      <c r="AC200" s="157"/>
      <c r="AD200" s="157"/>
      <c r="AE200" s="157"/>
      <c r="AF200" s="157"/>
      <c r="AG200" s="157"/>
      <c r="AH200" s="157"/>
      <c r="AI200" s="157"/>
      <c r="AJ200" s="157"/>
      <c r="AK200" s="157"/>
      <c r="AL200" s="157"/>
      <c r="AM200" s="157"/>
      <c r="AN200" s="157"/>
      <c r="AO200" s="157"/>
      <c r="AP200" s="157"/>
    </row>
    <row r="201" spans="1:42" ht="14.4" x14ac:dyDescent="0.25">
      <c r="A201" s="225" t="str">
        <f>'Participation Assumptions'!B202</f>
        <v>C&amp;I Curtailment-Enabling Tech-Manual HVAC Control</v>
      </c>
      <c r="B201" s="225" t="s">
        <v>397</v>
      </c>
      <c r="C201" s="225" t="str">
        <f>'Participation Assumptions'!C202</f>
        <v>Interruptible Rider</v>
      </c>
      <c r="D201" s="225" t="str">
        <f>'Participation Assumptions'!D202</f>
        <v>Retail Trade</v>
      </c>
      <c r="E201" s="330">
        <f t="shared" si="179"/>
        <v>0.49748766163793101</v>
      </c>
      <c r="F201" s="330">
        <f t="shared" si="180"/>
        <v>0.49665021551724137</v>
      </c>
      <c r="G201" s="330">
        <f t="shared" si="180"/>
        <v>0.49553362068965517</v>
      </c>
      <c r="H201" s="330">
        <f t="shared" si="180"/>
        <v>0.49404482758620688</v>
      </c>
      <c r="I201" s="330">
        <f t="shared" si="180"/>
        <v>0.49255603448275864</v>
      </c>
      <c r="J201" s="330">
        <f t="shared" si="180"/>
        <v>0.4906950431034483</v>
      </c>
      <c r="K201" s="330">
        <f t="shared" si="180"/>
        <v>0.48836880387931036</v>
      </c>
      <c r="L201" s="330">
        <f t="shared" si="180"/>
        <v>0.48546100484913796</v>
      </c>
      <c r="M201" s="330">
        <f t="shared" si="180"/>
        <v>0.48182625606142243</v>
      </c>
      <c r="N201" s="330">
        <f t="shared" si="180"/>
        <v>0.47728282007677802</v>
      </c>
      <c r="O201" s="330">
        <f t="shared" si="180"/>
        <v>0.47160352509597253</v>
      </c>
      <c r="P201" s="330">
        <f t="shared" si="180"/>
        <v>0.46450440636996571</v>
      </c>
      <c r="Q201" s="330">
        <f t="shared" si="180"/>
        <v>0.45563050796245713</v>
      </c>
      <c r="R201" s="330">
        <f t="shared" si="180"/>
        <v>0.44453813495307143</v>
      </c>
      <c r="S201" s="330">
        <f t="shared" si="180"/>
        <v>0.4306726686913393</v>
      </c>
      <c r="T201" s="330">
        <f t="shared" si="180"/>
        <v>0.41334083586417414</v>
      </c>
      <c r="U201" s="330">
        <f t="shared" si="180"/>
        <v>0.39167604483021767</v>
      </c>
      <c r="V201" s="430"/>
      <c r="W201" s="200" t="str">
        <f t="shared" si="183"/>
        <v>Large</v>
      </c>
      <c r="X201" s="198" t="str">
        <f t="shared" si="182"/>
        <v>C&amp;I Curtailment-Enabling Tech-Manual HVAC ControlLarge</v>
      </c>
      <c r="Y201" s="157" t="b">
        <f>ISNUMBER(MATCH(X201,'ProCESS CSE'!W:W,0))</f>
        <v>0</v>
      </c>
      <c r="Z201" s="157"/>
      <c r="AA201" s="157"/>
      <c r="AB201" s="157"/>
      <c r="AC201" s="157"/>
      <c r="AD201" s="157"/>
      <c r="AE201" s="157"/>
      <c r="AF201" s="157"/>
      <c r="AG201" s="157"/>
      <c r="AH201" s="157"/>
      <c r="AI201" s="157"/>
      <c r="AJ201" s="157"/>
      <c r="AK201" s="157"/>
      <c r="AL201" s="157"/>
      <c r="AM201" s="157"/>
      <c r="AN201" s="157"/>
      <c r="AO201" s="157"/>
      <c r="AP201" s="157"/>
    </row>
    <row r="202" spans="1:42" ht="14.4" x14ac:dyDescent="0.25">
      <c r="A202" s="225" t="str">
        <f>'Participation Assumptions'!B203</f>
        <v>C&amp;I Curtailment-Enabling Tech-Auto-DR HVAC Control</v>
      </c>
      <c r="B202" s="225" t="s">
        <v>397</v>
      </c>
      <c r="C202" s="225" t="str">
        <f>'Participation Assumptions'!C203</f>
        <v>Large Commercial</v>
      </c>
      <c r="D202" s="225" t="str">
        <f>'Participation Assumptions'!D203</f>
        <v>Offices</v>
      </c>
      <c r="E202" s="330">
        <f>IFERROR((F202/G202)*F202,0)</f>
        <v>2.512338362068964E-3</v>
      </c>
      <c r="F202" s="330">
        <f>IFERROR((G202/H202)*G202,0)</f>
        <v>3.3497844827586197E-3</v>
      </c>
      <c r="G202" s="330">
        <f>AVERAGEIF('ProCESS CSE'!$W:$W,'Control Strategy Eligibility'!$X202,'ProCESS CSE'!P:P)*0.5</f>
        <v>4.4663793103448274E-3</v>
      </c>
      <c r="H202" s="330">
        <f>AVERAGEIF('ProCESS CSE'!$W:$W,'Control Strategy Eligibility'!$X202,'ProCESS CSE'!Q:Q)*0.5</f>
        <v>5.9551724137931047E-3</v>
      </c>
      <c r="I202" s="330">
        <f>AVERAGEIF('ProCESS CSE'!$W:$W,'Control Strategy Eligibility'!$X202,'ProCESS CSE'!R:R)*0.5</f>
        <v>7.4439655172413794E-3</v>
      </c>
      <c r="J202" s="330">
        <f>IFERROR(MIN(1,(I202/H202)*I202),0)</f>
        <v>9.3049568965517231E-3</v>
      </c>
      <c r="K202" s="330">
        <f t="shared" ref="K202:U202" si="184">IFERROR(MIN(1,(J202/I202)*J202),0)</f>
        <v>1.1631196120689653E-2</v>
      </c>
      <c r="L202" s="330">
        <f t="shared" si="184"/>
        <v>1.4538995150862063E-2</v>
      </c>
      <c r="M202" s="330">
        <f t="shared" si="184"/>
        <v>1.8173743938577576E-2</v>
      </c>
      <c r="N202" s="330">
        <f t="shared" si="184"/>
        <v>2.2717179923221965E-2</v>
      </c>
      <c r="O202" s="330">
        <f t="shared" si="184"/>
        <v>2.8396474904027452E-2</v>
      </c>
      <c r="P202" s="330">
        <f t="shared" si="184"/>
        <v>3.5495593630034308E-2</v>
      </c>
      <c r="Q202" s="330">
        <f t="shared" si="184"/>
        <v>4.4369492037542875E-2</v>
      </c>
      <c r="R202" s="330">
        <f t="shared" si="184"/>
        <v>5.5461865046928585E-2</v>
      </c>
      <c r="S202" s="330">
        <f t="shared" si="184"/>
        <v>6.9327331308660714E-2</v>
      </c>
      <c r="T202" s="330">
        <f t="shared" si="184"/>
        <v>8.6659164135825875E-2</v>
      </c>
      <c r="U202" s="330">
        <f t="shared" si="184"/>
        <v>0.10832395516978233</v>
      </c>
      <c r="V202" s="431" t="str">
        <f>V140</f>
        <v>Customers from ProCESS model, Energy Management Information Systems  | EMIS.  Multiplied by 50% to account for Turnkey vs Enabling Tech options</v>
      </c>
      <c r="W202" s="200" t="str">
        <f t="shared" si="183"/>
        <v>Large</v>
      </c>
      <c r="X202" s="198" t="str">
        <f t="shared" si="182"/>
        <v>C&amp;I Curtailment-Enabling Tech-Auto-DR HVAC ControlLarge</v>
      </c>
      <c r="Y202" s="157" t="b">
        <f>ISNUMBER(MATCH(X202,'ProCESS CSE'!W:W,0))</f>
        <v>1</v>
      </c>
      <c r="Z202" s="157"/>
      <c r="AA202" s="157"/>
      <c r="AB202" s="157"/>
      <c r="AC202" s="157"/>
      <c r="AD202" s="157"/>
      <c r="AE202" s="157"/>
      <c r="AF202" s="157"/>
      <c r="AG202" s="157"/>
      <c r="AH202" s="157"/>
      <c r="AI202" s="157"/>
      <c r="AJ202" s="157"/>
      <c r="AK202" s="157"/>
      <c r="AL202" s="157"/>
      <c r="AM202" s="157"/>
      <c r="AN202" s="157"/>
      <c r="AO202" s="157"/>
      <c r="AP202" s="157"/>
    </row>
    <row r="203" spans="1:42" ht="14.4" x14ac:dyDescent="0.25">
      <c r="A203" s="225" t="str">
        <f>'Participation Assumptions'!B204</f>
        <v>C&amp;I Curtailment-Enabling Tech-Auto-DR HVAC Control</v>
      </c>
      <c r="B203" s="225" t="s">
        <v>397</v>
      </c>
      <c r="C203" s="225" t="str">
        <f>'Participation Assumptions'!C204</f>
        <v>Large Commercial</v>
      </c>
      <c r="D203" s="225" t="str">
        <f>'Participation Assumptions'!D204</f>
        <v>Services</v>
      </c>
      <c r="E203" s="330">
        <f t="shared" ref="E203:E208" si="185">(F203/G203)*F203</f>
        <v>2.512338362068964E-3</v>
      </c>
      <c r="F203" s="330">
        <f t="shared" ref="F203:F208" si="186">(G203/H203)*G203</f>
        <v>3.3497844827586197E-3</v>
      </c>
      <c r="G203" s="330">
        <f>AVERAGEIF('ProCESS CSE'!$W:$W,'Control Strategy Eligibility'!$X203,'ProCESS CSE'!P:P)*0.5</f>
        <v>4.4663793103448274E-3</v>
      </c>
      <c r="H203" s="330">
        <f>AVERAGEIF('ProCESS CSE'!$W:$W,'Control Strategy Eligibility'!$X203,'ProCESS CSE'!Q:Q)*0.5</f>
        <v>5.9551724137931047E-3</v>
      </c>
      <c r="I203" s="330">
        <f>AVERAGEIF('ProCESS CSE'!$W:$W,'Control Strategy Eligibility'!$X203,'ProCESS CSE'!R:R)*0.5</f>
        <v>7.4439655172413794E-3</v>
      </c>
      <c r="J203" s="330">
        <f t="shared" ref="J203:J208" si="187">MIN(1,(I203/H203)*I203)</f>
        <v>9.3049568965517231E-3</v>
      </c>
      <c r="K203" s="330">
        <f t="shared" ref="K203:K208" si="188">MIN(1,(J203/I203)*J203)</f>
        <v>1.1631196120689653E-2</v>
      </c>
      <c r="L203" s="330">
        <f t="shared" ref="L203:L208" si="189">MIN(1,(K203/J203)*K203)</f>
        <v>1.4538995150862063E-2</v>
      </c>
      <c r="M203" s="330">
        <f t="shared" ref="M203:M208" si="190">MIN(1,(L203/K203)*L203)</f>
        <v>1.8173743938577576E-2</v>
      </c>
      <c r="N203" s="330">
        <f t="shared" ref="N203:N208" si="191">MIN(1,(M203/L203)*M203)</f>
        <v>2.2717179923221965E-2</v>
      </c>
      <c r="O203" s="330">
        <f t="shared" ref="O203:O208" si="192">MIN(1,(N203/M203)*N203)</f>
        <v>2.8396474904027452E-2</v>
      </c>
      <c r="P203" s="330">
        <f t="shared" ref="P203:P208" si="193">MIN(1,(O203/N203)*O203)</f>
        <v>3.5495593630034308E-2</v>
      </c>
      <c r="Q203" s="330">
        <f t="shared" ref="Q203:Q208" si="194">MIN(1,(P203/O203)*P203)</f>
        <v>4.4369492037542875E-2</v>
      </c>
      <c r="R203" s="330">
        <f t="shared" ref="R203:R208" si="195">MIN(1,(Q203/P203)*Q203)</f>
        <v>5.5461865046928585E-2</v>
      </c>
      <c r="S203" s="330">
        <f t="shared" ref="S203:S208" si="196">MIN(1,(R203/Q203)*R203)</f>
        <v>6.9327331308660714E-2</v>
      </c>
      <c r="T203" s="330">
        <f t="shared" ref="T203:T208" si="197">MIN(1,(S203/R203)*S203)</f>
        <v>8.6659164135825875E-2</v>
      </c>
      <c r="U203" s="330">
        <f t="shared" ref="U203:U208" si="198">MIN(1,(T203/S203)*T203)</f>
        <v>0.10832395516978233</v>
      </c>
      <c r="V203" s="432"/>
      <c r="W203" s="200" t="str">
        <f t="shared" si="183"/>
        <v>Large</v>
      </c>
      <c r="X203" s="198" t="str">
        <f t="shared" si="182"/>
        <v>C&amp;I Curtailment-Enabling Tech-Auto-DR HVAC ControlLarge</v>
      </c>
      <c r="Y203" s="157" t="b">
        <f>ISNUMBER(MATCH(X203,'ProCESS CSE'!W:W,0))</f>
        <v>1</v>
      </c>
      <c r="Z203" s="157"/>
      <c r="AA203" s="157"/>
      <c r="AB203" s="157"/>
      <c r="AC203" s="157"/>
      <c r="AD203" s="157"/>
      <c r="AE203" s="157"/>
      <c r="AF203" s="157"/>
      <c r="AG203" s="157"/>
      <c r="AH203" s="157"/>
      <c r="AI203" s="157"/>
      <c r="AJ203" s="157"/>
      <c r="AK203" s="157"/>
      <c r="AL203" s="157"/>
      <c r="AM203" s="157"/>
      <c r="AN203" s="157"/>
      <c r="AO203" s="157"/>
      <c r="AP203" s="157"/>
    </row>
    <row r="204" spans="1:42" ht="14.4" x14ac:dyDescent="0.25">
      <c r="A204" s="225" t="str">
        <f>'Participation Assumptions'!B205</f>
        <v>C&amp;I Curtailment-Enabling Tech-Auto-DR HVAC Control</v>
      </c>
      <c r="B204" s="225" t="s">
        <v>397</v>
      </c>
      <c r="C204" s="225" t="str">
        <f>'Participation Assumptions'!C205</f>
        <v>Large Industrial</v>
      </c>
      <c r="D204" s="225" t="str">
        <f>'Participation Assumptions'!D205</f>
        <v>Manufacturing</v>
      </c>
      <c r="E204" s="330">
        <f t="shared" si="185"/>
        <v>2.512338362068964E-3</v>
      </c>
      <c r="F204" s="330">
        <f t="shared" si="186"/>
        <v>3.3497844827586197E-3</v>
      </c>
      <c r="G204" s="330">
        <f>AVERAGEIF('ProCESS CSE'!$W:$W,'Control Strategy Eligibility'!$X204,'ProCESS CSE'!P:P)*0.5</f>
        <v>4.4663793103448274E-3</v>
      </c>
      <c r="H204" s="330">
        <f>AVERAGEIF('ProCESS CSE'!$W:$W,'Control Strategy Eligibility'!$X204,'ProCESS CSE'!Q:Q)*0.5</f>
        <v>5.9551724137931047E-3</v>
      </c>
      <c r="I204" s="330">
        <f>AVERAGEIF('ProCESS CSE'!$W:$W,'Control Strategy Eligibility'!$X204,'ProCESS CSE'!R:R)*0.5</f>
        <v>7.4439655172413794E-3</v>
      </c>
      <c r="J204" s="330">
        <f t="shared" si="187"/>
        <v>9.3049568965517231E-3</v>
      </c>
      <c r="K204" s="330">
        <f t="shared" si="188"/>
        <v>1.1631196120689653E-2</v>
      </c>
      <c r="L204" s="330">
        <f t="shared" si="189"/>
        <v>1.4538995150862063E-2</v>
      </c>
      <c r="M204" s="330">
        <f t="shared" si="190"/>
        <v>1.8173743938577576E-2</v>
      </c>
      <c r="N204" s="330">
        <f t="shared" si="191"/>
        <v>2.2717179923221965E-2</v>
      </c>
      <c r="O204" s="330">
        <f t="shared" si="192"/>
        <v>2.8396474904027452E-2</v>
      </c>
      <c r="P204" s="330">
        <f t="shared" si="193"/>
        <v>3.5495593630034308E-2</v>
      </c>
      <c r="Q204" s="330">
        <f t="shared" si="194"/>
        <v>4.4369492037542875E-2</v>
      </c>
      <c r="R204" s="330">
        <f t="shared" si="195"/>
        <v>5.5461865046928585E-2</v>
      </c>
      <c r="S204" s="330">
        <f t="shared" si="196"/>
        <v>6.9327331308660714E-2</v>
      </c>
      <c r="T204" s="330">
        <f t="shared" si="197"/>
        <v>8.6659164135825875E-2</v>
      </c>
      <c r="U204" s="330">
        <f t="shared" si="198"/>
        <v>0.10832395516978233</v>
      </c>
      <c r="V204" s="431"/>
      <c r="W204" s="200" t="str">
        <f t="shared" si="183"/>
        <v>Large</v>
      </c>
      <c r="X204" s="198" t="str">
        <f t="shared" si="182"/>
        <v>C&amp;I Curtailment-Enabling Tech-Auto-DR HVAC ControlLarge</v>
      </c>
      <c r="Y204" s="157" t="b">
        <f>ISNUMBER(MATCH(X204,'ProCESS CSE'!W:W,0))</f>
        <v>1</v>
      </c>
      <c r="Z204" s="157"/>
      <c r="AA204" s="157"/>
      <c r="AB204" s="157"/>
      <c r="AC204" s="157"/>
      <c r="AD204" s="157"/>
      <c r="AE204" s="157"/>
      <c r="AF204" s="157"/>
      <c r="AG204" s="157"/>
      <c r="AH204" s="157"/>
      <c r="AI204" s="157"/>
      <c r="AJ204" s="157"/>
      <c r="AK204" s="157"/>
      <c r="AL204" s="157"/>
      <c r="AM204" s="157"/>
      <c r="AN204" s="157"/>
      <c r="AO204" s="157"/>
      <c r="AP204" s="157"/>
    </row>
    <row r="205" spans="1:42" ht="14.4" x14ac:dyDescent="0.25">
      <c r="A205" s="225" t="str">
        <f>'Participation Assumptions'!B206</f>
        <v>C&amp;I Curtailment-Enabling Tech-Auto-DR HVAC Control</v>
      </c>
      <c r="B205" s="225" t="s">
        <v>397</v>
      </c>
      <c r="C205" s="225" t="str">
        <f>'Participation Assumptions'!C206</f>
        <v>Large Industrial</v>
      </c>
      <c r="D205" s="225" t="str">
        <f>'Participation Assumptions'!D206</f>
        <v>Miscellaneous</v>
      </c>
      <c r="E205" s="330">
        <f t="shared" si="185"/>
        <v>2.512338362068964E-3</v>
      </c>
      <c r="F205" s="330">
        <f t="shared" si="186"/>
        <v>3.3497844827586197E-3</v>
      </c>
      <c r="G205" s="330">
        <f>AVERAGEIF('ProCESS CSE'!$W:$W,'Control Strategy Eligibility'!$X205,'ProCESS CSE'!P:P)*0.5</f>
        <v>4.4663793103448274E-3</v>
      </c>
      <c r="H205" s="330">
        <f>AVERAGEIF('ProCESS CSE'!$W:$W,'Control Strategy Eligibility'!$X205,'ProCESS CSE'!Q:Q)*0.5</f>
        <v>5.9551724137931047E-3</v>
      </c>
      <c r="I205" s="330">
        <f>AVERAGEIF('ProCESS CSE'!$W:$W,'Control Strategy Eligibility'!$X205,'ProCESS CSE'!R:R)*0.5</f>
        <v>7.4439655172413794E-3</v>
      </c>
      <c r="J205" s="330">
        <f t="shared" si="187"/>
        <v>9.3049568965517231E-3</v>
      </c>
      <c r="K205" s="330">
        <f t="shared" si="188"/>
        <v>1.1631196120689653E-2</v>
      </c>
      <c r="L205" s="330">
        <f t="shared" si="189"/>
        <v>1.4538995150862063E-2</v>
      </c>
      <c r="M205" s="330">
        <f t="shared" si="190"/>
        <v>1.8173743938577576E-2</v>
      </c>
      <c r="N205" s="330">
        <f t="shared" si="191"/>
        <v>2.2717179923221965E-2</v>
      </c>
      <c r="O205" s="330">
        <f t="shared" si="192"/>
        <v>2.8396474904027452E-2</v>
      </c>
      <c r="P205" s="330">
        <f t="shared" si="193"/>
        <v>3.5495593630034308E-2</v>
      </c>
      <c r="Q205" s="330">
        <f t="shared" si="194"/>
        <v>4.4369492037542875E-2</v>
      </c>
      <c r="R205" s="330">
        <f t="shared" si="195"/>
        <v>5.5461865046928585E-2</v>
      </c>
      <c r="S205" s="330">
        <f t="shared" si="196"/>
        <v>6.9327331308660714E-2</v>
      </c>
      <c r="T205" s="330">
        <f t="shared" si="197"/>
        <v>8.6659164135825875E-2</v>
      </c>
      <c r="U205" s="330">
        <f t="shared" si="198"/>
        <v>0.10832395516978233</v>
      </c>
      <c r="V205" s="431"/>
      <c r="W205" s="200" t="str">
        <f t="shared" si="183"/>
        <v>Large</v>
      </c>
      <c r="X205" s="198" t="str">
        <f t="shared" si="182"/>
        <v>C&amp;I Curtailment-Enabling Tech-Auto-DR HVAC ControlLarge</v>
      </c>
      <c r="Y205" s="157" t="b">
        <f>ISNUMBER(MATCH(X205,'ProCESS CSE'!W:W,0))</f>
        <v>1</v>
      </c>
      <c r="Z205" s="157"/>
      <c r="AA205" s="157"/>
      <c r="AB205" s="157"/>
      <c r="AC205" s="157"/>
      <c r="AD205" s="157"/>
      <c r="AE205" s="157"/>
      <c r="AF205" s="157"/>
      <c r="AG205" s="157"/>
      <c r="AH205" s="157"/>
      <c r="AI205" s="157"/>
      <c r="AJ205" s="157"/>
      <c r="AK205" s="157"/>
      <c r="AL205" s="157"/>
      <c r="AM205" s="157"/>
      <c r="AN205" s="157"/>
      <c r="AO205" s="157"/>
      <c r="AP205" s="157"/>
    </row>
    <row r="206" spans="1:42" ht="14.4" x14ac:dyDescent="0.25">
      <c r="A206" s="225" t="str">
        <f>'Participation Assumptions'!B207</f>
        <v>C&amp;I Curtailment-Enabling Tech-Auto-DR HVAC Control</v>
      </c>
      <c r="B206" s="225" t="s">
        <v>397</v>
      </c>
      <c r="C206" s="225" t="str">
        <f>'Participation Assumptions'!C207</f>
        <v>Large Industrial</v>
      </c>
      <c r="D206" s="225" t="str">
        <f>'Participation Assumptions'!D207</f>
        <v>Offices</v>
      </c>
      <c r="E206" s="330">
        <f t="shared" si="185"/>
        <v>2.512338362068964E-3</v>
      </c>
      <c r="F206" s="330">
        <f t="shared" si="186"/>
        <v>3.3497844827586197E-3</v>
      </c>
      <c r="G206" s="330">
        <f>AVERAGEIF('ProCESS CSE'!$W:$W,'Control Strategy Eligibility'!$X206,'ProCESS CSE'!P:P)*0.5</f>
        <v>4.4663793103448274E-3</v>
      </c>
      <c r="H206" s="330">
        <f>AVERAGEIF('ProCESS CSE'!$W:$W,'Control Strategy Eligibility'!$X206,'ProCESS CSE'!Q:Q)*0.5</f>
        <v>5.9551724137931047E-3</v>
      </c>
      <c r="I206" s="330">
        <f>AVERAGEIF('ProCESS CSE'!$W:$W,'Control Strategy Eligibility'!$X206,'ProCESS CSE'!R:R)*0.5</f>
        <v>7.4439655172413794E-3</v>
      </c>
      <c r="J206" s="330">
        <f t="shared" si="187"/>
        <v>9.3049568965517231E-3</v>
      </c>
      <c r="K206" s="330">
        <f t="shared" si="188"/>
        <v>1.1631196120689653E-2</v>
      </c>
      <c r="L206" s="330">
        <f t="shared" si="189"/>
        <v>1.4538995150862063E-2</v>
      </c>
      <c r="M206" s="330">
        <f t="shared" si="190"/>
        <v>1.8173743938577576E-2</v>
      </c>
      <c r="N206" s="330">
        <f t="shared" si="191"/>
        <v>2.2717179923221965E-2</v>
      </c>
      <c r="O206" s="330">
        <f t="shared" si="192"/>
        <v>2.8396474904027452E-2</v>
      </c>
      <c r="P206" s="330">
        <f t="shared" si="193"/>
        <v>3.5495593630034308E-2</v>
      </c>
      <c r="Q206" s="330">
        <f t="shared" si="194"/>
        <v>4.4369492037542875E-2</v>
      </c>
      <c r="R206" s="330">
        <f t="shared" si="195"/>
        <v>5.5461865046928585E-2</v>
      </c>
      <c r="S206" s="330">
        <f t="shared" si="196"/>
        <v>6.9327331308660714E-2</v>
      </c>
      <c r="T206" s="330">
        <f t="shared" si="197"/>
        <v>8.6659164135825875E-2</v>
      </c>
      <c r="U206" s="330">
        <f t="shared" si="198"/>
        <v>0.10832395516978233</v>
      </c>
      <c r="V206" s="431"/>
      <c r="W206" s="200" t="str">
        <f t="shared" si="183"/>
        <v>Large</v>
      </c>
      <c r="X206" s="198" t="str">
        <f t="shared" si="182"/>
        <v>C&amp;I Curtailment-Enabling Tech-Auto-DR HVAC ControlLarge</v>
      </c>
      <c r="Y206" s="157" t="b">
        <f>ISNUMBER(MATCH(X206,'ProCESS CSE'!W:W,0))</f>
        <v>1</v>
      </c>
      <c r="Z206" s="157"/>
      <c r="AA206" s="157"/>
      <c r="AB206" s="157"/>
      <c r="AC206" s="157"/>
      <c r="AD206" s="157"/>
      <c r="AE206" s="157"/>
      <c r="AF206" s="157"/>
      <c r="AG206" s="157"/>
      <c r="AH206" s="157"/>
      <c r="AI206" s="157"/>
      <c r="AJ206" s="157"/>
      <c r="AK206" s="157"/>
      <c r="AL206" s="157"/>
      <c r="AM206" s="157"/>
      <c r="AN206" s="157"/>
      <c r="AO206" s="157"/>
      <c r="AP206" s="157"/>
    </row>
    <row r="207" spans="1:42" ht="14.4" x14ac:dyDescent="0.25">
      <c r="A207" s="225" t="str">
        <f>'Participation Assumptions'!B208</f>
        <v>C&amp;I Curtailment-Enabling Tech-Auto-DR HVAC Control</v>
      </c>
      <c r="B207" s="225" t="s">
        <v>397</v>
      </c>
      <c r="C207" s="225" t="str">
        <f>'Participation Assumptions'!C208</f>
        <v>Large Industrial</v>
      </c>
      <c r="D207" s="225" t="str">
        <f>'Participation Assumptions'!D208</f>
        <v>Retail Trade</v>
      </c>
      <c r="E207" s="330">
        <f t="shared" si="185"/>
        <v>2.512338362068964E-3</v>
      </c>
      <c r="F207" s="330">
        <f t="shared" si="186"/>
        <v>3.3497844827586197E-3</v>
      </c>
      <c r="G207" s="330">
        <f>AVERAGEIF('ProCESS CSE'!$W:$W,'Control Strategy Eligibility'!$X207,'ProCESS CSE'!P:P)*0.5</f>
        <v>4.4663793103448274E-3</v>
      </c>
      <c r="H207" s="330">
        <f>AVERAGEIF('ProCESS CSE'!$W:$W,'Control Strategy Eligibility'!$X207,'ProCESS CSE'!Q:Q)*0.5</f>
        <v>5.9551724137931047E-3</v>
      </c>
      <c r="I207" s="330">
        <f>AVERAGEIF('ProCESS CSE'!$W:$W,'Control Strategy Eligibility'!$X207,'ProCESS CSE'!R:R)*0.5</f>
        <v>7.4439655172413794E-3</v>
      </c>
      <c r="J207" s="330">
        <f t="shared" si="187"/>
        <v>9.3049568965517231E-3</v>
      </c>
      <c r="K207" s="330">
        <f t="shared" si="188"/>
        <v>1.1631196120689653E-2</v>
      </c>
      <c r="L207" s="330">
        <f t="shared" si="189"/>
        <v>1.4538995150862063E-2</v>
      </c>
      <c r="M207" s="330">
        <f t="shared" si="190"/>
        <v>1.8173743938577576E-2</v>
      </c>
      <c r="N207" s="330">
        <f t="shared" si="191"/>
        <v>2.2717179923221965E-2</v>
      </c>
      <c r="O207" s="330">
        <f t="shared" si="192"/>
        <v>2.8396474904027452E-2</v>
      </c>
      <c r="P207" s="330">
        <f t="shared" si="193"/>
        <v>3.5495593630034308E-2</v>
      </c>
      <c r="Q207" s="330">
        <f t="shared" si="194"/>
        <v>4.4369492037542875E-2</v>
      </c>
      <c r="R207" s="330">
        <f t="shared" si="195"/>
        <v>5.5461865046928585E-2</v>
      </c>
      <c r="S207" s="330">
        <f t="shared" si="196"/>
        <v>6.9327331308660714E-2</v>
      </c>
      <c r="T207" s="330">
        <f t="shared" si="197"/>
        <v>8.6659164135825875E-2</v>
      </c>
      <c r="U207" s="330">
        <f t="shared" si="198"/>
        <v>0.10832395516978233</v>
      </c>
      <c r="V207" s="431"/>
      <c r="W207" s="200" t="str">
        <f t="shared" si="183"/>
        <v>Large</v>
      </c>
      <c r="X207" s="198" t="str">
        <f t="shared" si="182"/>
        <v>C&amp;I Curtailment-Enabling Tech-Auto-DR HVAC ControlLarge</v>
      </c>
      <c r="Y207" s="157" t="b">
        <f>ISNUMBER(MATCH(X207,'ProCESS CSE'!W:W,0))</f>
        <v>1</v>
      </c>
      <c r="Z207" s="157"/>
      <c r="AA207" s="157"/>
      <c r="AB207" s="157"/>
      <c r="AC207" s="157"/>
      <c r="AD207" s="157"/>
      <c r="AE207" s="157"/>
      <c r="AF207" s="157"/>
      <c r="AG207" s="157"/>
      <c r="AH207" s="157"/>
      <c r="AI207" s="157"/>
      <c r="AJ207" s="157"/>
      <c r="AK207" s="157"/>
      <c r="AL207" s="157"/>
      <c r="AM207" s="157"/>
      <c r="AN207" s="157"/>
      <c r="AO207" s="157"/>
      <c r="AP207" s="157"/>
    </row>
    <row r="208" spans="1:42" ht="14.4" x14ac:dyDescent="0.25">
      <c r="A208" s="225" t="str">
        <f>'Participation Assumptions'!B209</f>
        <v>C&amp;I Curtailment-Enabling Tech-Auto-DR HVAC Control</v>
      </c>
      <c r="B208" s="225" t="s">
        <v>397</v>
      </c>
      <c r="C208" s="225" t="str">
        <f>'Participation Assumptions'!C209</f>
        <v>Large Industrial</v>
      </c>
      <c r="D208" s="225" t="str">
        <f>'Participation Assumptions'!D209</f>
        <v>Services</v>
      </c>
      <c r="E208" s="330">
        <f t="shared" si="185"/>
        <v>2.512338362068964E-3</v>
      </c>
      <c r="F208" s="330">
        <f t="shared" si="186"/>
        <v>3.3497844827586197E-3</v>
      </c>
      <c r="G208" s="330">
        <f>AVERAGEIF('ProCESS CSE'!$W:$W,'Control Strategy Eligibility'!$X208,'ProCESS CSE'!P:P)*0.5</f>
        <v>4.4663793103448274E-3</v>
      </c>
      <c r="H208" s="330">
        <f>AVERAGEIF('ProCESS CSE'!$W:$W,'Control Strategy Eligibility'!$X208,'ProCESS CSE'!Q:Q)*0.5</f>
        <v>5.9551724137931047E-3</v>
      </c>
      <c r="I208" s="330">
        <f>AVERAGEIF('ProCESS CSE'!$W:$W,'Control Strategy Eligibility'!$X208,'ProCESS CSE'!R:R)*0.5</f>
        <v>7.4439655172413794E-3</v>
      </c>
      <c r="J208" s="330">
        <f t="shared" si="187"/>
        <v>9.3049568965517231E-3</v>
      </c>
      <c r="K208" s="330">
        <f t="shared" si="188"/>
        <v>1.1631196120689653E-2</v>
      </c>
      <c r="L208" s="330">
        <f t="shared" si="189"/>
        <v>1.4538995150862063E-2</v>
      </c>
      <c r="M208" s="330">
        <f t="shared" si="190"/>
        <v>1.8173743938577576E-2</v>
      </c>
      <c r="N208" s="330">
        <f t="shared" si="191"/>
        <v>2.2717179923221965E-2</v>
      </c>
      <c r="O208" s="330">
        <f t="shared" si="192"/>
        <v>2.8396474904027452E-2</v>
      </c>
      <c r="P208" s="330">
        <f t="shared" si="193"/>
        <v>3.5495593630034308E-2</v>
      </c>
      <c r="Q208" s="330">
        <f t="shared" si="194"/>
        <v>4.4369492037542875E-2</v>
      </c>
      <c r="R208" s="330">
        <f t="shared" si="195"/>
        <v>5.5461865046928585E-2</v>
      </c>
      <c r="S208" s="330">
        <f t="shared" si="196"/>
        <v>6.9327331308660714E-2</v>
      </c>
      <c r="T208" s="330">
        <f t="shared" si="197"/>
        <v>8.6659164135825875E-2</v>
      </c>
      <c r="U208" s="330">
        <f t="shared" si="198"/>
        <v>0.10832395516978233</v>
      </c>
      <c r="V208" s="431"/>
      <c r="W208" s="200" t="str">
        <f t="shared" si="183"/>
        <v>Large</v>
      </c>
      <c r="X208" s="198" t="str">
        <f t="shared" si="182"/>
        <v>C&amp;I Curtailment-Enabling Tech-Auto-DR HVAC ControlLarge</v>
      </c>
      <c r="Y208" s="157" t="b">
        <f>ISNUMBER(MATCH(X208,'ProCESS CSE'!W:W,0))</f>
        <v>1</v>
      </c>
      <c r="Z208" s="157"/>
      <c r="AA208" s="157"/>
      <c r="AB208" s="157"/>
      <c r="AC208" s="157"/>
      <c r="AD208" s="157"/>
      <c r="AE208" s="157"/>
      <c r="AF208" s="157"/>
      <c r="AG208" s="157"/>
      <c r="AH208" s="157"/>
      <c r="AI208" s="157"/>
      <c r="AJ208" s="157"/>
      <c r="AK208" s="157"/>
      <c r="AL208" s="157"/>
      <c r="AM208" s="157"/>
      <c r="AN208" s="157"/>
      <c r="AO208" s="157"/>
      <c r="AP208" s="157"/>
    </row>
    <row r="209" spans="1:42" ht="14.4" x14ac:dyDescent="0.25">
      <c r="A209" s="225" t="str">
        <f>'Participation Assumptions'!B210</f>
        <v>C&amp;I Curtailment-Enabling Tech-Auto-DR HVAC Control</v>
      </c>
      <c r="B209" s="225" t="s">
        <v>397</v>
      </c>
      <c r="C209" s="225" t="str">
        <f>'Participation Assumptions'!C210</f>
        <v>Interruptible Rider</v>
      </c>
      <c r="D209" s="225" t="str">
        <f>'Participation Assumptions'!D210</f>
        <v>Manufacturing</v>
      </c>
      <c r="E209" s="330">
        <f t="shared" ref="E209:F211" si="199">(F209/G209)*F209</f>
        <v>2.512338362068964E-3</v>
      </c>
      <c r="F209" s="330">
        <f t="shared" si="199"/>
        <v>3.3497844827586197E-3</v>
      </c>
      <c r="G209" s="330">
        <f>AVERAGEIF('ProCESS CSE'!$W:$W,'Control Strategy Eligibility'!$X209,'ProCESS CSE'!P:P)*0.5</f>
        <v>4.4663793103448274E-3</v>
      </c>
      <c r="H209" s="330">
        <f>AVERAGEIF('ProCESS CSE'!$W:$W,'Control Strategy Eligibility'!$X209,'ProCESS CSE'!Q:Q)*0.5</f>
        <v>5.9551724137931047E-3</v>
      </c>
      <c r="I209" s="330">
        <f>AVERAGEIF('ProCESS CSE'!$W:$W,'Control Strategy Eligibility'!$X209,'ProCESS CSE'!R:R)*0.5</f>
        <v>7.4439655172413794E-3</v>
      </c>
      <c r="J209" s="330">
        <f t="shared" ref="J209:U209" si="200">MIN(1,(I209/H209)*I209)</f>
        <v>9.3049568965517231E-3</v>
      </c>
      <c r="K209" s="330">
        <f t="shared" si="200"/>
        <v>1.1631196120689653E-2</v>
      </c>
      <c r="L209" s="330">
        <f t="shared" si="200"/>
        <v>1.4538995150862063E-2</v>
      </c>
      <c r="M209" s="330">
        <f t="shared" si="200"/>
        <v>1.8173743938577576E-2</v>
      </c>
      <c r="N209" s="330">
        <f t="shared" si="200"/>
        <v>2.2717179923221965E-2</v>
      </c>
      <c r="O209" s="330">
        <f t="shared" si="200"/>
        <v>2.8396474904027452E-2</v>
      </c>
      <c r="P209" s="330">
        <f t="shared" si="200"/>
        <v>3.5495593630034308E-2</v>
      </c>
      <c r="Q209" s="330">
        <f t="shared" si="200"/>
        <v>4.4369492037542875E-2</v>
      </c>
      <c r="R209" s="330">
        <f t="shared" si="200"/>
        <v>5.5461865046928585E-2</v>
      </c>
      <c r="S209" s="330">
        <f t="shared" si="200"/>
        <v>6.9327331308660714E-2</v>
      </c>
      <c r="T209" s="330">
        <f t="shared" si="200"/>
        <v>8.6659164135825875E-2</v>
      </c>
      <c r="U209" s="330">
        <f t="shared" si="200"/>
        <v>0.10832395516978233</v>
      </c>
      <c r="V209" s="431"/>
      <c r="W209" s="200" t="str">
        <f t="shared" si="183"/>
        <v>Large</v>
      </c>
      <c r="X209" s="198" t="str">
        <f t="shared" si="182"/>
        <v>C&amp;I Curtailment-Enabling Tech-Auto-DR HVAC ControlLarge</v>
      </c>
      <c r="Y209" s="157" t="b">
        <f>ISNUMBER(MATCH(X209,'ProCESS CSE'!W:W,0))</f>
        <v>1</v>
      </c>
      <c r="Z209" s="157"/>
      <c r="AA209" s="157"/>
      <c r="AB209" s="157"/>
      <c r="AC209" s="157"/>
      <c r="AD209" s="157"/>
      <c r="AE209" s="157"/>
      <c r="AF209" s="157"/>
      <c r="AG209" s="157"/>
      <c r="AH209" s="157"/>
      <c r="AI209" s="157"/>
      <c r="AJ209" s="157"/>
      <c r="AK209" s="157"/>
      <c r="AL209" s="157"/>
      <c r="AM209" s="157"/>
      <c r="AN209" s="157"/>
      <c r="AO209" s="157"/>
      <c r="AP209" s="157"/>
    </row>
    <row r="210" spans="1:42" ht="14.4" x14ac:dyDescent="0.25">
      <c r="A210" s="225" t="str">
        <f>'Participation Assumptions'!B211</f>
        <v>C&amp;I Curtailment-Enabling Tech-Auto-DR HVAC Control</v>
      </c>
      <c r="B210" s="225" t="s">
        <v>397</v>
      </c>
      <c r="C210" s="225" t="str">
        <f>'Participation Assumptions'!C211</f>
        <v>Interruptible Rider</v>
      </c>
      <c r="D210" s="225" t="str">
        <f>'Participation Assumptions'!D211</f>
        <v>Miscellaneous</v>
      </c>
      <c r="E210" s="330">
        <f t="shared" si="199"/>
        <v>2.512338362068964E-3</v>
      </c>
      <c r="F210" s="330">
        <f t="shared" si="199"/>
        <v>3.3497844827586197E-3</v>
      </c>
      <c r="G210" s="330">
        <f>AVERAGEIF('ProCESS CSE'!$W:$W,'Control Strategy Eligibility'!$X210,'ProCESS CSE'!P:P)*0.5</f>
        <v>4.4663793103448274E-3</v>
      </c>
      <c r="H210" s="330">
        <f>AVERAGEIF('ProCESS CSE'!$W:$W,'Control Strategy Eligibility'!$X210,'ProCESS CSE'!Q:Q)*0.5</f>
        <v>5.9551724137931047E-3</v>
      </c>
      <c r="I210" s="330">
        <f>AVERAGEIF('ProCESS CSE'!$W:$W,'Control Strategy Eligibility'!$X210,'ProCESS CSE'!R:R)*0.5</f>
        <v>7.4439655172413794E-3</v>
      </c>
      <c r="J210" s="330">
        <f t="shared" ref="J210:U211" si="201">MIN(1,(I210/H210)*I210)</f>
        <v>9.3049568965517231E-3</v>
      </c>
      <c r="K210" s="330">
        <f t="shared" si="201"/>
        <v>1.1631196120689653E-2</v>
      </c>
      <c r="L210" s="330">
        <f t="shared" si="201"/>
        <v>1.4538995150862063E-2</v>
      </c>
      <c r="M210" s="330">
        <f t="shared" si="201"/>
        <v>1.8173743938577576E-2</v>
      </c>
      <c r="N210" s="330">
        <f t="shared" si="201"/>
        <v>2.2717179923221965E-2</v>
      </c>
      <c r="O210" s="330">
        <f t="shared" si="201"/>
        <v>2.8396474904027452E-2</v>
      </c>
      <c r="P210" s="330">
        <f t="shared" si="201"/>
        <v>3.5495593630034308E-2</v>
      </c>
      <c r="Q210" s="330">
        <f t="shared" si="201"/>
        <v>4.4369492037542875E-2</v>
      </c>
      <c r="R210" s="330">
        <f t="shared" si="201"/>
        <v>5.5461865046928585E-2</v>
      </c>
      <c r="S210" s="330">
        <f t="shared" si="201"/>
        <v>6.9327331308660714E-2</v>
      </c>
      <c r="T210" s="330">
        <f t="shared" si="201"/>
        <v>8.6659164135825875E-2</v>
      </c>
      <c r="U210" s="330">
        <f t="shared" si="201"/>
        <v>0.10832395516978233</v>
      </c>
      <c r="V210" s="431"/>
      <c r="W210" s="200" t="str">
        <f t="shared" si="183"/>
        <v>Large</v>
      </c>
      <c r="X210" s="198" t="str">
        <f t="shared" si="182"/>
        <v>C&amp;I Curtailment-Enabling Tech-Auto-DR HVAC ControlLarge</v>
      </c>
      <c r="Y210" s="157" t="b">
        <f>ISNUMBER(MATCH(X210,'ProCESS CSE'!W:W,0))</f>
        <v>1</v>
      </c>
      <c r="Z210" s="157"/>
      <c r="AA210" s="157"/>
      <c r="AB210" s="157"/>
      <c r="AC210" s="157"/>
      <c r="AD210" s="157"/>
      <c r="AE210" s="157"/>
      <c r="AF210" s="157"/>
      <c r="AG210" s="157"/>
      <c r="AH210" s="157"/>
      <c r="AI210" s="157"/>
      <c r="AJ210" s="157"/>
      <c r="AK210" s="157"/>
      <c r="AL210" s="157"/>
      <c r="AM210" s="157"/>
      <c r="AN210" s="157"/>
      <c r="AO210" s="157"/>
      <c r="AP210" s="157"/>
    </row>
    <row r="211" spans="1:42" ht="14.4" x14ac:dyDescent="0.25">
      <c r="A211" s="225" t="str">
        <f>'Participation Assumptions'!B212</f>
        <v>C&amp;I Curtailment-Enabling Tech-Auto-DR HVAC Control</v>
      </c>
      <c r="B211" s="225" t="s">
        <v>397</v>
      </c>
      <c r="C211" s="225" t="str">
        <f>'Participation Assumptions'!C212</f>
        <v>Interruptible Rider</v>
      </c>
      <c r="D211" s="225" t="str">
        <f>'Participation Assumptions'!D212</f>
        <v>Retail Trade</v>
      </c>
      <c r="E211" s="330">
        <f t="shared" si="199"/>
        <v>2.512338362068964E-3</v>
      </c>
      <c r="F211" s="330">
        <f t="shared" si="199"/>
        <v>3.3497844827586197E-3</v>
      </c>
      <c r="G211" s="330">
        <f>AVERAGEIF('ProCESS CSE'!$W:$W,'Control Strategy Eligibility'!$X211,'ProCESS CSE'!P:P)*0.5</f>
        <v>4.4663793103448274E-3</v>
      </c>
      <c r="H211" s="330">
        <f>AVERAGEIF('ProCESS CSE'!$W:$W,'Control Strategy Eligibility'!$X211,'ProCESS CSE'!Q:Q)*0.5</f>
        <v>5.9551724137931047E-3</v>
      </c>
      <c r="I211" s="330">
        <f>AVERAGEIF('ProCESS CSE'!$W:$W,'Control Strategy Eligibility'!$X211,'ProCESS CSE'!R:R)*0.5</f>
        <v>7.4439655172413794E-3</v>
      </c>
      <c r="J211" s="330">
        <f>MIN(1,(I211/H211)*I211)</f>
        <v>9.3049568965517231E-3</v>
      </c>
      <c r="K211" s="330">
        <f t="shared" si="201"/>
        <v>1.1631196120689653E-2</v>
      </c>
      <c r="L211" s="330">
        <f t="shared" si="201"/>
        <v>1.4538995150862063E-2</v>
      </c>
      <c r="M211" s="330">
        <f t="shared" si="201"/>
        <v>1.8173743938577576E-2</v>
      </c>
      <c r="N211" s="330">
        <f t="shared" si="201"/>
        <v>2.2717179923221965E-2</v>
      </c>
      <c r="O211" s="330">
        <f t="shared" si="201"/>
        <v>2.8396474904027452E-2</v>
      </c>
      <c r="P211" s="330">
        <f t="shared" si="201"/>
        <v>3.5495593630034308E-2</v>
      </c>
      <c r="Q211" s="330">
        <f t="shared" si="201"/>
        <v>4.4369492037542875E-2</v>
      </c>
      <c r="R211" s="330">
        <f t="shared" si="201"/>
        <v>5.5461865046928585E-2</v>
      </c>
      <c r="S211" s="330">
        <f t="shared" si="201"/>
        <v>6.9327331308660714E-2</v>
      </c>
      <c r="T211" s="330">
        <f t="shared" si="201"/>
        <v>8.6659164135825875E-2</v>
      </c>
      <c r="U211" s="330">
        <f t="shared" si="201"/>
        <v>0.10832395516978233</v>
      </c>
      <c r="V211" s="431"/>
      <c r="W211" s="200" t="str">
        <f t="shared" si="183"/>
        <v>Large</v>
      </c>
      <c r="X211" s="198" t="str">
        <f t="shared" si="182"/>
        <v>C&amp;I Curtailment-Enabling Tech-Auto-DR HVAC ControlLarge</v>
      </c>
      <c r="Y211" s="157" t="b">
        <f>ISNUMBER(MATCH(X211,'ProCESS CSE'!W:W,0))</f>
        <v>1</v>
      </c>
      <c r="Z211" s="157"/>
      <c r="AA211" s="157"/>
      <c r="AB211" s="157"/>
      <c r="AC211" s="157"/>
      <c r="AD211" s="157"/>
      <c r="AE211" s="157"/>
      <c r="AF211" s="157"/>
      <c r="AG211" s="157"/>
      <c r="AH211" s="157"/>
      <c r="AI211" s="157"/>
      <c r="AJ211" s="157"/>
      <c r="AK211" s="157"/>
      <c r="AL211" s="157"/>
      <c r="AM211" s="157"/>
      <c r="AN211" s="157"/>
      <c r="AO211" s="157"/>
      <c r="AP211" s="157"/>
    </row>
    <row r="212" spans="1:42" ht="14.4" x14ac:dyDescent="0.25">
      <c r="A212" s="225" t="str">
        <f>'Participation Assumptions'!B213</f>
        <v>C&amp;I Curtailment-Enabling Tech-Standard Lighting Control</v>
      </c>
      <c r="B212" s="225" t="s">
        <v>397</v>
      </c>
      <c r="C212" s="225" t="str">
        <f>'Participation Assumptions'!C213</f>
        <v>Large Commercial</v>
      </c>
      <c r="D212" s="225" t="str">
        <f>'Participation Assumptions'!D213</f>
        <v>Offices</v>
      </c>
      <c r="E212" s="330">
        <f t="shared" ref="E212:E228" si="202">E150</f>
        <v>0.5</v>
      </c>
      <c r="F212" s="330">
        <f t="shared" ref="F212:U223" si="203">F150</f>
        <v>0.5</v>
      </c>
      <c r="G212" s="330">
        <f>G150</f>
        <v>0.5</v>
      </c>
      <c r="H212" s="330">
        <f t="shared" si="203"/>
        <v>0.5</v>
      </c>
      <c r="I212" s="330">
        <f t="shared" si="203"/>
        <v>0.5</v>
      </c>
      <c r="J212" s="330">
        <f t="shared" si="203"/>
        <v>0.5</v>
      </c>
      <c r="K212" s="330">
        <f t="shared" si="203"/>
        <v>0.5</v>
      </c>
      <c r="L212" s="330">
        <f t="shared" si="203"/>
        <v>0.5</v>
      </c>
      <c r="M212" s="330">
        <f t="shared" si="203"/>
        <v>0.5</v>
      </c>
      <c r="N212" s="330">
        <f t="shared" si="203"/>
        <v>0.5</v>
      </c>
      <c r="O212" s="330">
        <f t="shared" si="203"/>
        <v>0.5</v>
      </c>
      <c r="P212" s="330">
        <f t="shared" si="203"/>
        <v>0.5</v>
      </c>
      <c r="Q212" s="330">
        <f t="shared" si="203"/>
        <v>0.5</v>
      </c>
      <c r="R212" s="330">
        <f t="shared" si="203"/>
        <v>0.5</v>
      </c>
      <c r="S212" s="330">
        <f t="shared" si="203"/>
        <v>0.5</v>
      </c>
      <c r="T212" s="330">
        <f t="shared" si="203"/>
        <v>0.5</v>
      </c>
      <c r="U212" s="330">
        <f t="shared" si="203"/>
        <v>0.5</v>
      </c>
      <c r="V212" s="430" t="s">
        <v>309</v>
      </c>
      <c r="W212" s="200" t="str">
        <f t="shared" si="183"/>
        <v>Large</v>
      </c>
      <c r="X212" s="198" t="str">
        <f t="shared" si="182"/>
        <v>C&amp;I Curtailment-Enabling Tech-Standard Lighting ControlLarge</v>
      </c>
      <c r="Y212" s="157" t="b">
        <f>ISNUMBER(MATCH(X212,'ProCESS CSE'!W:W,0))</f>
        <v>0</v>
      </c>
      <c r="Z212" s="157"/>
      <c r="AA212" s="157"/>
      <c r="AB212" s="157"/>
      <c r="AC212" s="157"/>
      <c r="AD212" s="157"/>
      <c r="AE212" s="157"/>
      <c r="AF212" s="157"/>
      <c r="AG212" s="157"/>
      <c r="AH212" s="157"/>
      <c r="AI212" s="157"/>
      <c r="AJ212" s="157"/>
      <c r="AK212" s="157"/>
      <c r="AL212" s="157"/>
      <c r="AM212" s="157"/>
      <c r="AN212" s="157"/>
      <c r="AO212" s="157"/>
      <c r="AP212" s="157"/>
    </row>
    <row r="213" spans="1:42" ht="14.4" x14ac:dyDescent="0.25">
      <c r="A213" s="225" t="str">
        <f>'Participation Assumptions'!B214</f>
        <v>C&amp;I Curtailment-Enabling Tech-Standard Lighting Control</v>
      </c>
      <c r="B213" s="225" t="s">
        <v>397</v>
      </c>
      <c r="C213" s="225" t="str">
        <f>'Participation Assumptions'!C214</f>
        <v>Large Commercial</v>
      </c>
      <c r="D213" s="225" t="str">
        <f>'Participation Assumptions'!D214</f>
        <v>Services</v>
      </c>
      <c r="E213" s="330">
        <f t="shared" si="202"/>
        <v>0.5</v>
      </c>
      <c r="F213" s="330">
        <f t="shared" si="203"/>
        <v>0.5</v>
      </c>
      <c r="G213" s="330">
        <f t="shared" si="203"/>
        <v>0.5</v>
      </c>
      <c r="H213" s="330">
        <f t="shared" si="203"/>
        <v>0.5</v>
      </c>
      <c r="I213" s="330">
        <f t="shared" si="203"/>
        <v>0.5</v>
      </c>
      <c r="J213" s="330">
        <f t="shared" si="203"/>
        <v>0.5</v>
      </c>
      <c r="K213" s="330">
        <f t="shared" si="203"/>
        <v>0.5</v>
      </c>
      <c r="L213" s="330">
        <f t="shared" si="203"/>
        <v>0.5</v>
      </c>
      <c r="M213" s="330">
        <f t="shared" si="203"/>
        <v>0.5</v>
      </c>
      <c r="N213" s="330">
        <f t="shared" si="203"/>
        <v>0.5</v>
      </c>
      <c r="O213" s="330">
        <f t="shared" si="203"/>
        <v>0.5</v>
      </c>
      <c r="P213" s="330">
        <f t="shared" si="203"/>
        <v>0.5</v>
      </c>
      <c r="Q213" s="330">
        <f t="shared" si="203"/>
        <v>0.5</v>
      </c>
      <c r="R213" s="330">
        <f t="shared" si="203"/>
        <v>0.5</v>
      </c>
      <c r="S213" s="330">
        <f t="shared" si="203"/>
        <v>0.5</v>
      </c>
      <c r="T213" s="330">
        <f t="shared" si="203"/>
        <v>0.5</v>
      </c>
      <c r="U213" s="330">
        <f t="shared" si="203"/>
        <v>0.5</v>
      </c>
      <c r="V213" s="430"/>
      <c r="W213" s="200" t="str">
        <f t="shared" si="183"/>
        <v>Large</v>
      </c>
      <c r="X213" s="198" t="str">
        <f t="shared" si="182"/>
        <v>C&amp;I Curtailment-Enabling Tech-Standard Lighting ControlLarge</v>
      </c>
      <c r="Y213" s="157" t="b">
        <f>ISNUMBER(MATCH(X213,'ProCESS CSE'!W:W,0))</f>
        <v>0</v>
      </c>
      <c r="Z213" s="157"/>
      <c r="AA213" s="157"/>
      <c r="AB213" s="157"/>
      <c r="AC213" s="157"/>
      <c r="AD213" s="157"/>
      <c r="AE213" s="157"/>
      <c r="AF213" s="157"/>
      <c r="AG213" s="157"/>
      <c r="AH213" s="157"/>
      <c r="AI213" s="157"/>
      <c r="AJ213" s="157"/>
      <c r="AK213" s="157"/>
      <c r="AL213" s="157"/>
      <c r="AM213" s="157"/>
      <c r="AN213" s="157"/>
      <c r="AO213" s="157"/>
      <c r="AP213" s="157"/>
    </row>
    <row r="214" spans="1:42" ht="14.4" x14ac:dyDescent="0.25">
      <c r="A214" s="225" t="str">
        <f>'Participation Assumptions'!B215</f>
        <v>C&amp;I Curtailment-Enabling Tech-Standard Lighting Control</v>
      </c>
      <c r="B214" s="225" t="s">
        <v>397</v>
      </c>
      <c r="C214" s="225" t="str">
        <f>'Participation Assumptions'!C215</f>
        <v>Large Industrial</v>
      </c>
      <c r="D214" s="225" t="str">
        <f>'Participation Assumptions'!D215</f>
        <v>Manufacturing</v>
      </c>
      <c r="E214" s="330">
        <f t="shared" si="202"/>
        <v>0.5</v>
      </c>
      <c r="F214" s="330">
        <f>F152</f>
        <v>0.5</v>
      </c>
      <c r="G214" s="330">
        <f t="shared" si="203"/>
        <v>0.5</v>
      </c>
      <c r="H214" s="330">
        <f t="shared" si="203"/>
        <v>0.5</v>
      </c>
      <c r="I214" s="330">
        <f t="shared" si="203"/>
        <v>0.5</v>
      </c>
      <c r="J214" s="330">
        <f t="shared" si="203"/>
        <v>0.5</v>
      </c>
      <c r="K214" s="330">
        <f t="shared" si="203"/>
        <v>0.5</v>
      </c>
      <c r="L214" s="330">
        <f t="shared" si="203"/>
        <v>0.5</v>
      </c>
      <c r="M214" s="330">
        <f t="shared" si="203"/>
        <v>0.5</v>
      </c>
      <c r="N214" s="330">
        <f t="shared" si="203"/>
        <v>0.5</v>
      </c>
      <c r="O214" s="330">
        <f t="shared" si="203"/>
        <v>0.5</v>
      </c>
      <c r="P214" s="330">
        <f t="shared" si="203"/>
        <v>0.5</v>
      </c>
      <c r="Q214" s="330">
        <f t="shared" si="203"/>
        <v>0.5</v>
      </c>
      <c r="R214" s="330">
        <f t="shared" si="203"/>
        <v>0.5</v>
      </c>
      <c r="S214" s="330">
        <f t="shared" si="203"/>
        <v>0.5</v>
      </c>
      <c r="T214" s="330">
        <f t="shared" si="203"/>
        <v>0.5</v>
      </c>
      <c r="U214" s="330">
        <f t="shared" si="203"/>
        <v>0.5</v>
      </c>
      <c r="V214" s="430"/>
      <c r="W214" s="200" t="str">
        <f t="shared" si="183"/>
        <v>Large</v>
      </c>
      <c r="X214" s="198" t="str">
        <f t="shared" si="182"/>
        <v>C&amp;I Curtailment-Enabling Tech-Standard Lighting ControlLarge</v>
      </c>
      <c r="Y214" s="157" t="b">
        <f>ISNUMBER(MATCH(X214,'ProCESS CSE'!W:W,0))</f>
        <v>0</v>
      </c>
      <c r="Z214" s="157"/>
      <c r="AA214" s="157"/>
      <c r="AB214" s="157"/>
      <c r="AC214" s="157"/>
      <c r="AD214" s="157"/>
      <c r="AE214" s="157"/>
      <c r="AF214" s="157"/>
      <c r="AG214" s="157"/>
      <c r="AH214" s="157"/>
      <c r="AI214" s="157"/>
      <c r="AJ214" s="157"/>
      <c r="AK214" s="157"/>
      <c r="AL214" s="157"/>
      <c r="AM214" s="157"/>
      <c r="AN214" s="157"/>
      <c r="AO214" s="157"/>
      <c r="AP214" s="157"/>
    </row>
    <row r="215" spans="1:42" ht="14.4" x14ac:dyDescent="0.25">
      <c r="A215" s="225" t="str">
        <f>'Participation Assumptions'!B216</f>
        <v>C&amp;I Curtailment-Enabling Tech-Standard Lighting Control</v>
      </c>
      <c r="B215" s="225" t="s">
        <v>397</v>
      </c>
      <c r="C215" s="225" t="str">
        <f>'Participation Assumptions'!C216</f>
        <v>Large Industrial</v>
      </c>
      <c r="D215" s="225" t="str">
        <f>'Participation Assumptions'!D216</f>
        <v>Miscellaneous</v>
      </c>
      <c r="E215" s="330">
        <f t="shared" si="202"/>
        <v>0.5</v>
      </c>
      <c r="F215" s="330">
        <f t="shared" si="203"/>
        <v>0.5</v>
      </c>
      <c r="G215" s="330">
        <f t="shared" si="203"/>
        <v>0.5</v>
      </c>
      <c r="H215" s="330">
        <f t="shared" si="203"/>
        <v>0.5</v>
      </c>
      <c r="I215" s="330">
        <f t="shared" si="203"/>
        <v>0.5</v>
      </c>
      <c r="J215" s="330">
        <f t="shared" si="203"/>
        <v>0.5</v>
      </c>
      <c r="K215" s="330">
        <f t="shared" si="203"/>
        <v>0.5</v>
      </c>
      <c r="L215" s="330">
        <f t="shared" si="203"/>
        <v>0.5</v>
      </c>
      <c r="M215" s="330">
        <f t="shared" si="203"/>
        <v>0.5</v>
      </c>
      <c r="N215" s="330">
        <f t="shared" si="203"/>
        <v>0.5</v>
      </c>
      <c r="O215" s="330">
        <f t="shared" si="203"/>
        <v>0.5</v>
      </c>
      <c r="P215" s="330">
        <f t="shared" si="203"/>
        <v>0.5</v>
      </c>
      <c r="Q215" s="330">
        <f t="shared" si="203"/>
        <v>0.5</v>
      </c>
      <c r="R215" s="330">
        <f t="shared" si="203"/>
        <v>0.5</v>
      </c>
      <c r="S215" s="330">
        <f t="shared" si="203"/>
        <v>0.5</v>
      </c>
      <c r="T215" s="330">
        <f t="shared" si="203"/>
        <v>0.5</v>
      </c>
      <c r="U215" s="330">
        <f t="shared" si="203"/>
        <v>0.5</v>
      </c>
      <c r="V215" s="430"/>
      <c r="W215" s="200" t="str">
        <f t="shared" si="183"/>
        <v>Large</v>
      </c>
      <c r="X215" s="198" t="str">
        <f t="shared" si="182"/>
        <v>C&amp;I Curtailment-Enabling Tech-Standard Lighting ControlLarge</v>
      </c>
      <c r="Y215" s="157" t="b">
        <f>ISNUMBER(MATCH(X215,'ProCESS CSE'!W:W,0))</f>
        <v>0</v>
      </c>
      <c r="Z215" s="157"/>
      <c r="AA215" s="157"/>
      <c r="AB215" s="157"/>
      <c r="AC215" s="157"/>
      <c r="AD215" s="157"/>
      <c r="AE215" s="157"/>
      <c r="AF215" s="157"/>
      <c r="AG215" s="157"/>
      <c r="AH215" s="157"/>
      <c r="AI215" s="157"/>
      <c r="AJ215" s="157"/>
      <c r="AK215" s="157"/>
      <c r="AL215" s="157"/>
      <c r="AM215" s="157"/>
      <c r="AN215" s="157"/>
      <c r="AO215" s="157"/>
      <c r="AP215" s="157"/>
    </row>
    <row r="216" spans="1:42" ht="14.4" x14ac:dyDescent="0.25">
      <c r="A216" s="225" t="str">
        <f>'Participation Assumptions'!B217</f>
        <v>C&amp;I Curtailment-Enabling Tech-Standard Lighting Control</v>
      </c>
      <c r="B216" s="225" t="s">
        <v>397</v>
      </c>
      <c r="C216" s="225" t="str">
        <f>'Participation Assumptions'!C217</f>
        <v>Large Industrial</v>
      </c>
      <c r="D216" s="225" t="str">
        <f>'Participation Assumptions'!D217</f>
        <v>Offices</v>
      </c>
      <c r="E216" s="330">
        <f t="shared" si="202"/>
        <v>0.5</v>
      </c>
      <c r="F216" s="330">
        <f t="shared" si="203"/>
        <v>0.5</v>
      </c>
      <c r="G216" s="330">
        <f t="shared" si="203"/>
        <v>0.5</v>
      </c>
      <c r="H216" s="330">
        <f t="shared" si="203"/>
        <v>0.5</v>
      </c>
      <c r="I216" s="330">
        <f t="shared" si="203"/>
        <v>0.5</v>
      </c>
      <c r="J216" s="330">
        <f t="shared" si="203"/>
        <v>0.5</v>
      </c>
      <c r="K216" s="330">
        <f t="shared" si="203"/>
        <v>0.5</v>
      </c>
      <c r="L216" s="330">
        <f t="shared" si="203"/>
        <v>0.5</v>
      </c>
      <c r="M216" s="330">
        <f t="shared" si="203"/>
        <v>0.5</v>
      </c>
      <c r="N216" s="330">
        <f t="shared" si="203"/>
        <v>0.5</v>
      </c>
      <c r="O216" s="330">
        <f t="shared" si="203"/>
        <v>0.5</v>
      </c>
      <c r="P216" s="330">
        <f t="shared" si="203"/>
        <v>0.5</v>
      </c>
      <c r="Q216" s="330">
        <f t="shared" si="203"/>
        <v>0.5</v>
      </c>
      <c r="R216" s="330">
        <f t="shared" si="203"/>
        <v>0.5</v>
      </c>
      <c r="S216" s="330">
        <f t="shared" si="203"/>
        <v>0.5</v>
      </c>
      <c r="T216" s="330">
        <f t="shared" si="203"/>
        <v>0.5</v>
      </c>
      <c r="U216" s="330">
        <f t="shared" si="203"/>
        <v>0.5</v>
      </c>
      <c r="V216" s="430"/>
      <c r="W216" s="200" t="str">
        <f t="shared" si="183"/>
        <v>Large</v>
      </c>
      <c r="X216" s="198" t="str">
        <f t="shared" si="182"/>
        <v>C&amp;I Curtailment-Enabling Tech-Standard Lighting ControlLarge</v>
      </c>
      <c r="Y216" s="157" t="b">
        <f>ISNUMBER(MATCH(X216,'ProCESS CSE'!W:W,0))</f>
        <v>0</v>
      </c>
      <c r="Z216" s="157"/>
      <c r="AA216" s="157"/>
      <c r="AB216" s="157"/>
      <c r="AC216" s="157"/>
      <c r="AD216" s="157"/>
      <c r="AE216" s="157"/>
      <c r="AF216" s="157"/>
      <c r="AG216" s="157"/>
      <c r="AH216" s="157"/>
      <c r="AI216" s="157"/>
      <c r="AJ216" s="157"/>
      <c r="AK216" s="157"/>
      <c r="AL216" s="157"/>
      <c r="AM216" s="157"/>
      <c r="AN216" s="157"/>
      <c r="AO216" s="157"/>
      <c r="AP216" s="157"/>
    </row>
    <row r="217" spans="1:42" ht="14.4" x14ac:dyDescent="0.25">
      <c r="A217" s="225" t="str">
        <f>'Participation Assumptions'!B218</f>
        <v>C&amp;I Curtailment-Enabling Tech-Standard Lighting Control</v>
      </c>
      <c r="B217" s="225" t="s">
        <v>397</v>
      </c>
      <c r="C217" s="225" t="str">
        <f>'Participation Assumptions'!C218</f>
        <v>Large Industrial</v>
      </c>
      <c r="D217" s="225" t="str">
        <f>'Participation Assumptions'!D218</f>
        <v>Retail Trade</v>
      </c>
      <c r="E217" s="330">
        <f t="shared" si="202"/>
        <v>0.5</v>
      </c>
      <c r="F217" s="330">
        <f t="shared" si="203"/>
        <v>0.5</v>
      </c>
      <c r="G217" s="330">
        <f t="shared" si="203"/>
        <v>0.5</v>
      </c>
      <c r="H217" s="330">
        <f t="shared" si="203"/>
        <v>0.5</v>
      </c>
      <c r="I217" s="330">
        <f t="shared" si="203"/>
        <v>0.5</v>
      </c>
      <c r="J217" s="330">
        <f t="shared" si="203"/>
        <v>0.5</v>
      </c>
      <c r="K217" s="330">
        <f t="shared" si="203"/>
        <v>0.5</v>
      </c>
      <c r="L217" s="330">
        <f t="shared" si="203"/>
        <v>0.5</v>
      </c>
      <c r="M217" s="330">
        <f t="shared" si="203"/>
        <v>0.5</v>
      </c>
      <c r="N217" s="330">
        <f t="shared" si="203"/>
        <v>0.5</v>
      </c>
      <c r="O217" s="330">
        <f t="shared" si="203"/>
        <v>0.5</v>
      </c>
      <c r="P217" s="330">
        <f t="shared" si="203"/>
        <v>0.5</v>
      </c>
      <c r="Q217" s="330">
        <f t="shared" si="203"/>
        <v>0.5</v>
      </c>
      <c r="R217" s="330">
        <f t="shared" si="203"/>
        <v>0.5</v>
      </c>
      <c r="S217" s="330">
        <f t="shared" si="203"/>
        <v>0.5</v>
      </c>
      <c r="T217" s="330">
        <f t="shared" si="203"/>
        <v>0.5</v>
      </c>
      <c r="U217" s="330">
        <f t="shared" si="203"/>
        <v>0.5</v>
      </c>
      <c r="V217" s="430"/>
      <c r="W217" s="200" t="str">
        <f t="shared" si="183"/>
        <v>Large</v>
      </c>
      <c r="X217" s="198" t="str">
        <f t="shared" si="182"/>
        <v>C&amp;I Curtailment-Enabling Tech-Standard Lighting ControlLarge</v>
      </c>
      <c r="Y217" s="157" t="b">
        <f>ISNUMBER(MATCH(X217,'ProCESS CSE'!W:W,0))</f>
        <v>0</v>
      </c>
      <c r="Z217" s="157"/>
      <c r="AA217" s="157"/>
      <c r="AB217" s="157"/>
      <c r="AC217" s="157"/>
      <c r="AD217" s="157"/>
      <c r="AE217" s="157"/>
      <c r="AF217" s="157"/>
      <c r="AG217" s="157"/>
      <c r="AH217" s="157"/>
      <c r="AI217" s="157"/>
      <c r="AJ217" s="157"/>
      <c r="AK217" s="157"/>
      <c r="AL217" s="157"/>
      <c r="AM217" s="157"/>
      <c r="AN217" s="157"/>
      <c r="AO217" s="157"/>
      <c r="AP217" s="157"/>
    </row>
    <row r="218" spans="1:42" ht="14.4" x14ac:dyDescent="0.25">
      <c r="A218" s="225" t="str">
        <f>'Participation Assumptions'!B219</f>
        <v>C&amp;I Curtailment-Enabling Tech-Standard Lighting Control</v>
      </c>
      <c r="B218" s="225" t="s">
        <v>397</v>
      </c>
      <c r="C218" s="225" t="str">
        <f>'Participation Assumptions'!C219</f>
        <v>Large Industrial</v>
      </c>
      <c r="D218" s="225" t="str">
        <f>'Participation Assumptions'!D219</f>
        <v>Services</v>
      </c>
      <c r="E218" s="330">
        <f t="shared" si="202"/>
        <v>0.5</v>
      </c>
      <c r="F218" s="330">
        <f t="shared" si="203"/>
        <v>0.5</v>
      </c>
      <c r="G218" s="330">
        <f t="shared" si="203"/>
        <v>0.5</v>
      </c>
      <c r="H218" s="330">
        <f t="shared" si="203"/>
        <v>0.5</v>
      </c>
      <c r="I218" s="330">
        <f t="shared" si="203"/>
        <v>0.5</v>
      </c>
      <c r="J218" s="330">
        <f t="shared" si="203"/>
        <v>0.5</v>
      </c>
      <c r="K218" s="330">
        <f t="shared" si="203"/>
        <v>0.5</v>
      </c>
      <c r="L218" s="330">
        <f t="shared" si="203"/>
        <v>0.5</v>
      </c>
      <c r="M218" s="330">
        <f t="shared" si="203"/>
        <v>0.5</v>
      </c>
      <c r="N218" s="330">
        <f t="shared" si="203"/>
        <v>0.5</v>
      </c>
      <c r="O218" s="330">
        <f t="shared" si="203"/>
        <v>0.5</v>
      </c>
      <c r="P218" s="330">
        <f t="shared" si="203"/>
        <v>0.5</v>
      </c>
      <c r="Q218" s="330">
        <f t="shared" si="203"/>
        <v>0.5</v>
      </c>
      <c r="R218" s="330">
        <f t="shared" si="203"/>
        <v>0.5</v>
      </c>
      <c r="S218" s="330">
        <f t="shared" si="203"/>
        <v>0.5</v>
      </c>
      <c r="T218" s="330">
        <f t="shared" si="203"/>
        <v>0.5</v>
      </c>
      <c r="U218" s="330">
        <f t="shared" si="203"/>
        <v>0.5</v>
      </c>
      <c r="V218" s="430"/>
      <c r="W218" s="200" t="str">
        <f t="shared" si="183"/>
        <v>Large</v>
      </c>
      <c r="X218" s="198" t="str">
        <f t="shared" si="182"/>
        <v>C&amp;I Curtailment-Enabling Tech-Standard Lighting ControlLarge</v>
      </c>
      <c r="Y218" s="157" t="b">
        <f>ISNUMBER(MATCH(X218,'ProCESS CSE'!W:W,0))</f>
        <v>0</v>
      </c>
      <c r="Z218" s="157"/>
      <c r="AA218" s="157"/>
      <c r="AB218" s="157"/>
      <c r="AC218" s="157"/>
      <c r="AD218" s="157"/>
      <c r="AE218" s="157"/>
      <c r="AF218" s="157"/>
      <c r="AG218" s="157"/>
      <c r="AH218" s="157"/>
      <c r="AI218" s="157"/>
      <c r="AJ218" s="157"/>
      <c r="AK218" s="157"/>
      <c r="AL218" s="157"/>
      <c r="AM218" s="157"/>
      <c r="AN218" s="157"/>
      <c r="AO218" s="157"/>
      <c r="AP218" s="157"/>
    </row>
    <row r="219" spans="1:42" ht="14.4" x14ac:dyDescent="0.25">
      <c r="A219" s="225" t="str">
        <f>'Participation Assumptions'!B220</f>
        <v>C&amp;I Curtailment-Enabling Tech-Standard Lighting Control</v>
      </c>
      <c r="B219" s="225" t="s">
        <v>397</v>
      </c>
      <c r="C219" s="225" t="str">
        <f>'Participation Assumptions'!C220</f>
        <v>Interruptible Rider</v>
      </c>
      <c r="D219" s="225" t="str">
        <f>'Participation Assumptions'!D220</f>
        <v>Manufacturing</v>
      </c>
      <c r="E219" s="330">
        <f t="shared" si="202"/>
        <v>0.5</v>
      </c>
      <c r="F219" s="330">
        <f t="shared" si="203"/>
        <v>0.5</v>
      </c>
      <c r="G219" s="330">
        <f t="shared" si="203"/>
        <v>0.5</v>
      </c>
      <c r="H219" s="330">
        <f t="shared" si="203"/>
        <v>0.5</v>
      </c>
      <c r="I219" s="330">
        <f t="shared" si="203"/>
        <v>0.5</v>
      </c>
      <c r="J219" s="330">
        <f t="shared" si="203"/>
        <v>0.5</v>
      </c>
      <c r="K219" s="330">
        <f t="shared" si="203"/>
        <v>0.5</v>
      </c>
      <c r="L219" s="330">
        <f t="shared" si="203"/>
        <v>0.5</v>
      </c>
      <c r="M219" s="330">
        <f t="shared" si="203"/>
        <v>0.5</v>
      </c>
      <c r="N219" s="330">
        <f t="shared" si="203"/>
        <v>0.5</v>
      </c>
      <c r="O219" s="330">
        <f t="shared" si="203"/>
        <v>0.5</v>
      </c>
      <c r="P219" s="330">
        <f t="shared" si="203"/>
        <v>0.5</v>
      </c>
      <c r="Q219" s="330">
        <f t="shared" si="203"/>
        <v>0.5</v>
      </c>
      <c r="R219" s="330">
        <f t="shared" si="203"/>
        <v>0.5</v>
      </c>
      <c r="S219" s="330">
        <f t="shared" si="203"/>
        <v>0.5</v>
      </c>
      <c r="T219" s="330">
        <f t="shared" si="203"/>
        <v>0.5</v>
      </c>
      <c r="U219" s="330">
        <f t="shared" si="203"/>
        <v>0.5</v>
      </c>
      <c r="V219" s="430"/>
      <c r="W219" s="200" t="str">
        <f t="shared" si="183"/>
        <v>Large</v>
      </c>
      <c r="X219" s="198" t="str">
        <f t="shared" si="182"/>
        <v>C&amp;I Curtailment-Enabling Tech-Standard Lighting ControlLarge</v>
      </c>
      <c r="Y219" s="157" t="b">
        <f>ISNUMBER(MATCH(X219,'ProCESS CSE'!W:W,0))</f>
        <v>0</v>
      </c>
      <c r="Z219" s="157"/>
      <c r="AA219" s="157"/>
      <c r="AB219" s="157"/>
      <c r="AC219" s="157"/>
      <c r="AD219" s="157"/>
      <c r="AE219" s="157"/>
      <c r="AF219" s="157"/>
      <c r="AG219" s="157"/>
      <c r="AH219" s="157"/>
      <c r="AI219" s="157"/>
      <c r="AJ219" s="157"/>
      <c r="AK219" s="157"/>
      <c r="AL219" s="157"/>
      <c r="AM219" s="157"/>
      <c r="AN219" s="157"/>
      <c r="AO219" s="157"/>
      <c r="AP219" s="157"/>
    </row>
    <row r="220" spans="1:42" ht="14.4" x14ac:dyDescent="0.25">
      <c r="A220" s="225" t="str">
        <f>'Participation Assumptions'!B221</f>
        <v>C&amp;I Curtailment-Enabling Tech-Standard Lighting Control</v>
      </c>
      <c r="B220" s="225" t="s">
        <v>397</v>
      </c>
      <c r="C220" s="225" t="str">
        <f>'Participation Assumptions'!C221</f>
        <v>Interruptible Rider</v>
      </c>
      <c r="D220" s="225" t="str">
        <f>'Participation Assumptions'!D221</f>
        <v>Miscellaneous</v>
      </c>
      <c r="E220" s="330">
        <f t="shared" si="202"/>
        <v>0.5</v>
      </c>
      <c r="F220" s="330">
        <f t="shared" si="203"/>
        <v>0.5</v>
      </c>
      <c r="G220" s="330">
        <f t="shared" si="203"/>
        <v>0.5</v>
      </c>
      <c r="H220" s="330">
        <f t="shared" si="203"/>
        <v>0.5</v>
      </c>
      <c r="I220" s="330">
        <f t="shared" si="203"/>
        <v>0.5</v>
      </c>
      <c r="J220" s="330">
        <f t="shared" si="203"/>
        <v>0.5</v>
      </c>
      <c r="K220" s="330">
        <f t="shared" si="203"/>
        <v>0.5</v>
      </c>
      <c r="L220" s="330">
        <f t="shared" si="203"/>
        <v>0.5</v>
      </c>
      <c r="M220" s="330">
        <f t="shared" si="203"/>
        <v>0.5</v>
      </c>
      <c r="N220" s="330">
        <f t="shared" si="203"/>
        <v>0.5</v>
      </c>
      <c r="O220" s="330">
        <f t="shared" si="203"/>
        <v>0.5</v>
      </c>
      <c r="P220" s="330">
        <f t="shared" si="203"/>
        <v>0.5</v>
      </c>
      <c r="Q220" s="330">
        <f t="shared" si="203"/>
        <v>0.5</v>
      </c>
      <c r="R220" s="330">
        <f t="shared" si="203"/>
        <v>0.5</v>
      </c>
      <c r="S220" s="330">
        <f t="shared" si="203"/>
        <v>0.5</v>
      </c>
      <c r="T220" s="330">
        <f t="shared" si="203"/>
        <v>0.5</v>
      </c>
      <c r="U220" s="330">
        <f t="shared" si="203"/>
        <v>0.5</v>
      </c>
      <c r="V220" s="430"/>
      <c r="W220" s="200" t="str">
        <f t="shared" si="183"/>
        <v>Large</v>
      </c>
      <c r="X220" s="198" t="str">
        <f t="shared" si="182"/>
        <v>C&amp;I Curtailment-Enabling Tech-Standard Lighting ControlLarge</v>
      </c>
      <c r="Y220" s="157" t="b">
        <f>ISNUMBER(MATCH(X220,'ProCESS CSE'!W:W,0))</f>
        <v>0</v>
      </c>
      <c r="Z220" s="157"/>
      <c r="AA220" s="157"/>
      <c r="AB220" s="157"/>
      <c r="AC220" s="157"/>
      <c r="AD220" s="157"/>
      <c r="AE220" s="157"/>
      <c r="AF220" s="157"/>
      <c r="AG220" s="157"/>
      <c r="AH220" s="157"/>
      <c r="AI220" s="157"/>
      <c r="AJ220" s="157"/>
      <c r="AK220" s="157"/>
      <c r="AL220" s="157"/>
      <c r="AM220" s="157"/>
      <c r="AN220" s="157"/>
      <c r="AO220" s="157"/>
      <c r="AP220" s="157"/>
    </row>
    <row r="221" spans="1:42" ht="14.4" x14ac:dyDescent="0.25">
      <c r="A221" s="225" t="str">
        <f>'Participation Assumptions'!B222</f>
        <v>C&amp;I Curtailment-Enabling Tech-Standard Lighting Control</v>
      </c>
      <c r="B221" s="225" t="s">
        <v>397</v>
      </c>
      <c r="C221" s="225" t="str">
        <f>'Participation Assumptions'!C222</f>
        <v>Interruptible Rider</v>
      </c>
      <c r="D221" s="225" t="str">
        <f>'Participation Assumptions'!D222</f>
        <v>Retail Trade</v>
      </c>
      <c r="E221" s="330">
        <f t="shared" si="202"/>
        <v>0.5</v>
      </c>
      <c r="F221" s="330">
        <f t="shared" si="203"/>
        <v>0.5</v>
      </c>
      <c r="G221" s="330">
        <f t="shared" si="203"/>
        <v>0.5</v>
      </c>
      <c r="H221" s="330">
        <f t="shared" si="203"/>
        <v>0.5</v>
      </c>
      <c r="I221" s="330">
        <f t="shared" si="203"/>
        <v>0.5</v>
      </c>
      <c r="J221" s="330">
        <f t="shared" si="203"/>
        <v>0.5</v>
      </c>
      <c r="K221" s="330">
        <f t="shared" si="203"/>
        <v>0.5</v>
      </c>
      <c r="L221" s="330">
        <f t="shared" si="203"/>
        <v>0.5</v>
      </c>
      <c r="M221" s="330">
        <f t="shared" si="203"/>
        <v>0.5</v>
      </c>
      <c r="N221" s="330">
        <f t="shared" si="203"/>
        <v>0.5</v>
      </c>
      <c r="O221" s="330">
        <f t="shared" si="203"/>
        <v>0.5</v>
      </c>
      <c r="P221" s="330">
        <f t="shared" si="203"/>
        <v>0.5</v>
      </c>
      <c r="Q221" s="330">
        <f t="shared" si="203"/>
        <v>0.5</v>
      </c>
      <c r="R221" s="330">
        <f t="shared" si="203"/>
        <v>0.5</v>
      </c>
      <c r="S221" s="330">
        <f t="shared" si="203"/>
        <v>0.5</v>
      </c>
      <c r="T221" s="330">
        <f t="shared" si="203"/>
        <v>0.5</v>
      </c>
      <c r="U221" s="330">
        <f t="shared" si="203"/>
        <v>0.5</v>
      </c>
      <c r="V221" s="430"/>
      <c r="W221" s="200" t="str">
        <f t="shared" si="183"/>
        <v>Large</v>
      </c>
      <c r="X221" s="198" t="str">
        <f t="shared" si="182"/>
        <v>C&amp;I Curtailment-Enabling Tech-Standard Lighting ControlLarge</v>
      </c>
      <c r="Y221" s="157" t="b">
        <f>ISNUMBER(MATCH(X221,'ProCESS CSE'!W:W,0))</f>
        <v>0</v>
      </c>
      <c r="Z221" s="157"/>
      <c r="AA221" s="157"/>
      <c r="AB221" s="157"/>
      <c r="AC221" s="157"/>
      <c r="AD221" s="157"/>
      <c r="AE221" s="157"/>
      <c r="AF221" s="157"/>
      <c r="AG221" s="157"/>
      <c r="AH221" s="157"/>
      <c r="AI221" s="157"/>
      <c r="AJ221" s="157"/>
      <c r="AK221" s="157"/>
      <c r="AL221" s="157"/>
      <c r="AM221" s="157"/>
      <c r="AN221" s="157"/>
      <c r="AO221" s="157"/>
      <c r="AP221" s="157"/>
    </row>
    <row r="222" spans="1:42" ht="14.4" x14ac:dyDescent="0.25">
      <c r="A222" s="225" t="str">
        <f>'Participation Assumptions'!B223</f>
        <v>C&amp;I Curtailment-Enabling Tech-Advanced Lighting Control</v>
      </c>
      <c r="B222" s="225" t="s">
        <v>397</v>
      </c>
      <c r="C222" s="225" t="str">
        <f>'Participation Assumptions'!C223</f>
        <v>Large Commercial</v>
      </c>
      <c r="D222" s="225" t="str">
        <f>'Participation Assumptions'!D223</f>
        <v>Offices</v>
      </c>
      <c r="E222" s="330">
        <f t="shared" si="202"/>
        <v>0</v>
      </c>
      <c r="F222" s="330">
        <f t="shared" si="203"/>
        <v>0</v>
      </c>
      <c r="G222" s="330">
        <v>0</v>
      </c>
      <c r="H222" s="330">
        <v>0</v>
      </c>
      <c r="I222" s="330">
        <v>0</v>
      </c>
      <c r="J222" s="330">
        <v>0</v>
      </c>
      <c r="K222" s="330">
        <v>0</v>
      </c>
      <c r="L222" s="330">
        <v>0</v>
      </c>
      <c r="M222" s="330">
        <v>0</v>
      </c>
      <c r="N222" s="330">
        <v>0</v>
      </c>
      <c r="O222" s="330">
        <v>0</v>
      </c>
      <c r="P222" s="330">
        <v>0</v>
      </c>
      <c r="Q222" s="330">
        <v>0</v>
      </c>
      <c r="R222" s="330">
        <v>0</v>
      </c>
      <c r="S222" s="330">
        <v>0</v>
      </c>
      <c r="T222" s="330">
        <v>0</v>
      </c>
      <c r="U222" s="330">
        <v>0</v>
      </c>
      <c r="V222" s="430" t="str">
        <f>V160</f>
        <v>Customers from ProCESS model, Business Energy Rebates. Multiplied by 50% to account for Turnkey vs Enabling Tech options</v>
      </c>
      <c r="W222" s="200" t="str">
        <f t="shared" si="183"/>
        <v>Large</v>
      </c>
      <c r="X222" s="198" t="str">
        <f t="shared" si="182"/>
        <v>C&amp;I Curtailment-Enabling Tech-Advanced Lighting ControlLarge</v>
      </c>
      <c r="Y222" s="157" t="b">
        <f>ISNUMBER(MATCH(X222,'ProCESS CSE'!W:W,0))</f>
        <v>1</v>
      </c>
      <c r="Z222" s="157"/>
      <c r="AA222" s="157"/>
      <c r="AB222" s="157"/>
      <c r="AC222" s="157"/>
      <c r="AD222" s="157"/>
      <c r="AE222" s="157"/>
      <c r="AF222" s="157"/>
      <c r="AG222" s="157"/>
      <c r="AH222" s="157"/>
      <c r="AI222" s="157"/>
      <c r="AJ222" s="157"/>
      <c r="AK222" s="157"/>
      <c r="AL222" s="157"/>
      <c r="AM222" s="157"/>
      <c r="AN222" s="157"/>
      <c r="AO222" s="157"/>
      <c r="AP222" s="157"/>
    </row>
    <row r="223" spans="1:42" ht="14.4" x14ac:dyDescent="0.25">
      <c r="A223" s="225" t="str">
        <f>'Participation Assumptions'!B224</f>
        <v>C&amp;I Curtailment-Enabling Tech-Advanced Lighting Control</v>
      </c>
      <c r="B223" s="225" t="s">
        <v>397</v>
      </c>
      <c r="C223" s="225" t="str">
        <f>'Participation Assumptions'!C224</f>
        <v>Large Commercial</v>
      </c>
      <c r="D223" s="225" t="str">
        <f>'Participation Assumptions'!D224</f>
        <v>Services</v>
      </c>
      <c r="E223" s="330">
        <f t="shared" si="202"/>
        <v>0</v>
      </c>
      <c r="F223" s="330">
        <f t="shared" si="203"/>
        <v>0</v>
      </c>
      <c r="G223" s="330">
        <v>0</v>
      </c>
      <c r="H223" s="330">
        <v>0</v>
      </c>
      <c r="I223" s="330">
        <v>0</v>
      </c>
      <c r="J223" s="330">
        <v>0</v>
      </c>
      <c r="K223" s="330">
        <v>0</v>
      </c>
      <c r="L223" s="330">
        <v>0</v>
      </c>
      <c r="M223" s="330">
        <v>0</v>
      </c>
      <c r="N223" s="330">
        <v>0</v>
      </c>
      <c r="O223" s="330">
        <v>0</v>
      </c>
      <c r="P223" s="330">
        <v>0</v>
      </c>
      <c r="Q223" s="330">
        <v>0</v>
      </c>
      <c r="R223" s="330">
        <v>0</v>
      </c>
      <c r="S223" s="330">
        <v>0</v>
      </c>
      <c r="T223" s="330">
        <v>0</v>
      </c>
      <c r="U223" s="330">
        <v>0</v>
      </c>
      <c r="V223" s="430"/>
      <c r="W223" s="200" t="str">
        <f t="shared" si="183"/>
        <v>Large</v>
      </c>
      <c r="X223" s="198" t="str">
        <f t="shared" si="182"/>
        <v>C&amp;I Curtailment-Enabling Tech-Advanced Lighting ControlLarge</v>
      </c>
      <c r="Y223" s="157" t="b">
        <f>ISNUMBER(MATCH(X223,'ProCESS CSE'!W:W,0))</f>
        <v>1</v>
      </c>
      <c r="Z223" s="157"/>
      <c r="AA223" s="157"/>
      <c r="AB223" s="157"/>
      <c r="AC223" s="157"/>
      <c r="AD223" s="157"/>
      <c r="AE223" s="157"/>
      <c r="AF223" s="157"/>
      <c r="AG223" s="157"/>
      <c r="AH223" s="157"/>
      <c r="AI223" s="157"/>
      <c r="AJ223" s="157"/>
      <c r="AK223" s="157"/>
      <c r="AL223" s="157"/>
      <c r="AM223" s="157"/>
      <c r="AN223" s="157"/>
      <c r="AO223" s="157"/>
      <c r="AP223" s="157"/>
    </row>
    <row r="224" spans="1:42" ht="14.4" x14ac:dyDescent="0.25">
      <c r="A224" s="225" t="str">
        <f>'Participation Assumptions'!B225</f>
        <v>C&amp;I Curtailment-Enabling Tech-Advanced Lighting Control</v>
      </c>
      <c r="B224" s="225" t="s">
        <v>397</v>
      </c>
      <c r="C224" s="225" t="str">
        <f>'Participation Assumptions'!C225</f>
        <v>Large Industrial</v>
      </c>
      <c r="D224" s="225" t="str">
        <f>'Participation Assumptions'!D225</f>
        <v>Manufacturing</v>
      </c>
      <c r="E224" s="330">
        <f t="shared" si="202"/>
        <v>0</v>
      </c>
      <c r="F224" s="330">
        <f>F162</f>
        <v>0</v>
      </c>
      <c r="G224" s="330">
        <v>0</v>
      </c>
      <c r="H224" s="330">
        <v>0</v>
      </c>
      <c r="I224" s="330">
        <v>0</v>
      </c>
      <c r="J224" s="330">
        <v>0</v>
      </c>
      <c r="K224" s="330">
        <v>0</v>
      </c>
      <c r="L224" s="330">
        <v>0</v>
      </c>
      <c r="M224" s="330">
        <v>0</v>
      </c>
      <c r="N224" s="330">
        <v>0</v>
      </c>
      <c r="O224" s="330">
        <v>0</v>
      </c>
      <c r="P224" s="330">
        <v>0</v>
      </c>
      <c r="Q224" s="330">
        <v>0</v>
      </c>
      <c r="R224" s="330">
        <v>0</v>
      </c>
      <c r="S224" s="330">
        <v>0</v>
      </c>
      <c r="T224" s="330">
        <v>0</v>
      </c>
      <c r="U224" s="330">
        <v>0</v>
      </c>
      <c r="V224" s="430"/>
      <c r="W224" s="200" t="str">
        <f t="shared" si="183"/>
        <v>Large</v>
      </c>
      <c r="X224" s="198" t="str">
        <f t="shared" si="182"/>
        <v>C&amp;I Curtailment-Enabling Tech-Advanced Lighting ControlLarge</v>
      </c>
      <c r="Y224" s="157" t="b">
        <f>ISNUMBER(MATCH(X224,'ProCESS CSE'!W:W,0))</f>
        <v>1</v>
      </c>
      <c r="Z224" s="157"/>
      <c r="AA224" s="157"/>
      <c r="AB224" s="157"/>
      <c r="AC224" s="157"/>
      <c r="AD224" s="157"/>
      <c r="AE224" s="157"/>
      <c r="AF224" s="157"/>
      <c r="AG224" s="157"/>
      <c r="AH224" s="157"/>
      <c r="AI224" s="157"/>
      <c r="AJ224" s="157"/>
      <c r="AK224" s="157"/>
      <c r="AL224" s="157"/>
      <c r="AM224" s="157"/>
      <c r="AN224" s="157"/>
      <c r="AO224" s="157"/>
      <c r="AP224" s="157"/>
    </row>
    <row r="225" spans="1:42" ht="14.4" x14ac:dyDescent="0.25">
      <c r="A225" s="225" t="str">
        <f>'Participation Assumptions'!B226</f>
        <v>C&amp;I Curtailment-Enabling Tech-Advanced Lighting Control</v>
      </c>
      <c r="B225" s="225" t="s">
        <v>397</v>
      </c>
      <c r="C225" s="225" t="str">
        <f>'Participation Assumptions'!C226</f>
        <v>Large Industrial</v>
      </c>
      <c r="D225" s="225" t="str">
        <f>'Participation Assumptions'!D226</f>
        <v>Miscellaneous</v>
      </c>
      <c r="E225" s="330">
        <f t="shared" si="202"/>
        <v>0</v>
      </c>
      <c r="F225" s="330">
        <f>F163</f>
        <v>0</v>
      </c>
      <c r="G225" s="330">
        <v>0</v>
      </c>
      <c r="H225" s="330">
        <v>0</v>
      </c>
      <c r="I225" s="330">
        <v>0</v>
      </c>
      <c r="J225" s="330">
        <v>0</v>
      </c>
      <c r="K225" s="330">
        <v>0</v>
      </c>
      <c r="L225" s="330">
        <v>0</v>
      </c>
      <c r="M225" s="330">
        <v>0</v>
      </c>
      <c r="N225" s="330">
        <v>0</v>
      </c>
      <c r="O225" s="330">
        <v>0</v>
      </c>
      <c r="P225" s="330">
        <v>0</v>
      </c>
      <c r="Q225" s="330">
        <v>0</v>
      </c>
      <c r="R225" s="330">
        <v>0</v>
      </c>
      <c r="S225" s="330">
        <v>0</v>
      </c>
      <c r="T225" s="330">
        <v>0</v>
      </c>
      <c r="U225" s="330">
        <v>0</v>
      </c>
      <c r="V225" s="430"/>
      <c r="W225" s="200" t="str">
        <f t="shared" si="183"/>
        <v>Large</v>
      </c>
      <c r="X225" s="198" t="str">
        <f t="shared" si="182"/>
        <v>C&amp;I Curtailment-Enabling Tech-Advanced Lighting ControlLarge</v>
      </c>
      <c r="Y225" s="157" t="b">
        <f>ISNUMBER(MATCH(X225,'ProCESS CSE'!W:W,0))</f>
        <v>1</v>
      </c>
      <c r="Z225" s="157"/>
      <c r="AA225" s="157"/>
      <c r="AB225" s="157"/>
      <c r="AC225" s="157"/>
      <c r="AD225" s="157"/>
      <c r="AE225" s="157"/>
      <c r="AF225" s="157"/>
      <c r="AG225" s="157"/>
      <c r="AH225" s="157"/>
      <c r="AI225" s="157"/>
      <c r="AJ225" s="157"/>
      <c r="AK225" s="157"/>
      <c r="AL225" s="157"/>
      <c r="AM225" s="157"/>
      <c r="AN225" s="157"/>
      <c r="AO225" s="157"/>
      <c r="AP225" s="157"/>
    </row>
    <row r="226" spans="1:42" ht="14.4" x14ac:dyDescent="0.25">
      <c r="A226" s="225" t="str">
        <f>'Participation Assumptions'!B227</f>
        <v>C&amp;I Curtailment-Enabling Tech-Advanced Lighting Control</v>
      </c>
      <c r="B226" s="225" t="s">
        <v>397</v>
      </c>
      <c r="C226" s="225" t="str">
        <f>'Participation Assumptions'!C227</f>
        <v>Large Industrial</v>
      </c>
      <c r="D226" s="225" t="str">
        <f>'Participation Assumptions'!D227</f>
        <v>Offices</v>
      </c>
      <c r="E226" s="330">
        <f t="shared" si="202"/>
        <v>0</v>
      </c>
      <c r="F226" s="330">
        <f>F164</f>
        <v>0</v>
      </c>
      <c r="G226" s="330">
        <v>0</v>
      </c>
      <c r="H226" s="330">
        <v>0</v>
      </c>
      <c r="I226" s="330">
        <v>0</v>
      </c>
      <c r="J226" s="330">
        <v>0</v>
      </c>
      <c r="K226" s="330">
        <v>0</v>
      </c>
      <c r="L226" s="330">
        <v>0</v>
      </c>
      <c r="M226" s="330">
        <v>0</v>
      </c>
      <c r="N226" s="330">
        <v>0</v>
      </c>
      <c r="O226" s="330">
        <v>0</v>
      </c>
      <c r="P226" s="330">
        <v>0</v>
      </c>
      <c r="Q226" s="330">
        <v>0</v>
      </c>
      <c r="R226" s="330">
        <v>0</v>
      </c>
      <c r="S226" s="330">
        <v>0</v>
      </c>
      <c r="T226" s="330">
        <v>0</v>
      </c>
      <c r="U226" s="330">
        <v>0</v>
      </c>
      <c r="V226" s="430"/>
      <c r="W226" s="200" t="str">
        <f t="shared" si="183"/>
        <v>Large</v>
      </c>
      <c r="X226" s="198" t="str">
        <f t="shared" si="182"/>
        <v>C&amp;I Curtailment-Enabling Tech-Advanced Lighting ControlLarge</v>
      </c>
      <c r="Y226" s="157" t="b">
        <f>ISNUMBER(MATCH(X226,'ProCESS CSE'!W:W,0))</f>
        <v>1</v>
      </c>
      <c r="Z226" s="157"/>
      <c r="AA226" s="157"/>
      <c r="AB226" s="157"/>
      <c r="AC226" s="157"/>
      <c r="AD226" s="157"/>
      <c r="AE226" s="157"/>
      <c r="AF226" s="157"/>
      <c r="AG226" s="157"/>
      <c r="AH226" s="157"/>
      <c r="AI226" s="157"/>
      <c r="AJ226" s="157"/>
      <c r="AK226" s="157"/>
      <c r="AL226" s="157"/>
      <c r="AM226" s="157"/>
      <c r="AN226" s="157"/>
      <c r="AO226" s="157"/>
      <c r="AP226" s="157"/>
    </row>
    <row r="227" spans="1:42" ht="14.4" x14ac:dyDescent="0.25">
      <c r="A227" s="225" t="str">
        <f>'Participation Assumptions'!B228</f>
        <v>C&amp;I Curtailment-Enabling Tech-Advanced Lighting Control</v>
      </c>
      <c r="B227" s="225" t="s">
        <v>397</v>
      </c>
      <c r="C227" s="225" t="str">
        <f>'Participation Assumptions'!C228</f>
        <v>Large Industrial</v>
      </c>
      <c r="D227" s="225" t="str">
        <f>'Participation Assumptions'!D228</f>
        <v>Retail Trade</v>
      </c>
      <c r="E227" s="330">
        <f t="shared" si="202"/>
        <v>0</v>
      </c>
      <c r="F227" s="330">
        <f>F165</f>
        <v>0</v>
      </c>
      <c r="G227" s="330">
        <v>0</v>
      </c>
      <c r="H227" s="330">
        <v>0</v>
      </c>
      <c r="I227" s="330">
        <v>0</v>
      </c>
      <c r="J227" s="330">
        <v>0</v>
      </c>
      <c r="K227" s="330">
        <v>0</v>
      </c>
      <c r="L227" s="330">
        <v>0</v>
      </c>
      <c r="M227" s="330">
        <v>0</v>
      </c>
      <c r="N227" s="330">
        <v>0</v>
      </c>
      <c r="O227" s="330">
        <v>0</v>
      </c>
      <c r="P227" s="330">
        <v>0</v>
      </c>
      <c r="Q227" s="330">
        <v>0</v>
      </c>
      <c r="R227" s="330">
        <v>0</v>
      </c>
      <c r="S227" s="330">
        <v>0</v>
      </c>
      <c r="T227" s="330">
        <v>0</v>
      </c>
      <c r="U227" s="330">
        <v>0</v>
      </c>
      <c r="V227" s="430"/>
      <c r="W227" s="200" t="str">
        <f t="shared" si="183"/>
        <v>Large</v>
      </c>
      <c r="X227" s="198" t="str">
        <f t="shared" si="182"/>
        <v>C&amp;I Curtailment-Enabling Tech-Advanced Lighting ControlLarge</v>
      </c>
      <c r="Y227" s="157" t="b">
        <f>ISNUMBER(MATCH(X227,'ProCESS CSE'!W:W,0))</f>
        <v>1</v>
      </c>
      <c r="Z227" s="157"/>
      <c r="AA227" s="157"/>
      <c r="AB227" s="157"/>
      <c r="AC227" s="157"/>
      <c r="AD227" s="157"/>
      <c r="AE227" s="157"/>
      <c r="AF227" s="157"/>
      <c r="AG227" s="157"/>
      <c r="AH227" s="157"/>
      <c r="AI227" s="157"/>
      <c r="AJ227" s="157"/>
      <c r="AK227" s="157"/>
      <c r="AL227" s="157"/>
      <c r="AM227" s="157"/>
      <c r="AN227" s="157"/>
      <c r="AO227" s="157"/>
      <c r="AP227" s="157"/>
    </row>
    <row r="228" spans="1:42" ht="14.4" x14ac:dyDescent="0.25">
      <c r="A228" s="225" t="str">
        <f>'Participation Assumptions'!B229</f>
        <v>C&amp;I Curtailment-Enabling Tech-Advanced Lighting Control</v>
      </c>
      <c r="B228" s="225" t="s">
        <v>397</v>
      </c>
      <c r="C228" s="225" t="str">
        <f>'Participation Assumptions'!C229</f>
        <v>Large Industrial</v>
      </c>
      <c r="D228" s="225" t="str">
        <f>'Participation Assumptions'!D229</f>
        <v>Services</v>
      </c>
      <c r="E228" s="330">
        <f t="shared" si="202"/>
        <v>0</v>
      </c>
      <c r="F228" s="330">
        <f>F166</f>
        <v>0</v>
      </c>
      <c r="G228" s="330">
        <v>0</v>
      </c>
      <c r="H228" s="330">
        <v>0</v>
      </c>
      <c r="I228" s="330">
        <v>0</v>
      </c>
      <c r="J228" s="330">
        <v>0</v>
      </c>
      <c r="K228" s="330">
        <v>0</v>
      </c>
      <c r="L228" s="330">
        <v>0</v>
      </c>
      <c r="M228" s="330">
        <v>0</v>
      </c>
      <c r="N228" s="330">
        <v>0</v>
      </c>
      <c r="O228" s="330">
        <v>0</v>
      </c>
      <c r="P228" s="330">
        <v>0</v>
      </c>
      <c r="Q228" s="330">
        <v>0</v>
      </c>
      <c r="R228" s="330">
        <v>0</v>
      </c>
      <c r="S228" s="330">
        <v>0</v>
      </c>
      <c r="T228" s="330">
        <v>0</v>
      </c>
      <c r="U228" s="330">
        <v>0</v>
      </c>
      <c r="V228" s="430"/>
      <c r="W228" s="200" t="str">
        <f t="shared" si="183"/>
        <v>Large</v>
      </c>
      <c r="X228" s="198" t="str">
        <f t="shared" si="182"/>
        <v>C&amp;I Curtailment-Enabling Tech-Advanced Lighting ControlLarge</v>
      </c>
      <c r="Y228" s="157" t="b">
        <f>ISNUMBER(MATCH(X228,'ProCESS CSE'!W:W,0))</f>
        <v>1</v>
      </c>
      <c r="Z228" s="157"/>
      <c r="AA228" s="157"/>
      <c r="AB228" s="157"/>
      <c r="AC228" s="157"/>
      <c r="AD228" s="157"/>
      <c r="AE228" s="157"/>
      <c r="AF228" s="157"/>
      <c r="AG228" s="157"/>
      <c r="AH228" s="157"/>
      <c r="AI228" s="157"/>
      <c r="AJ228" s="157"/>
      <c r="AK228" s="157"/>
      <c r="AL228" s="157"/>
      <c r="AM228" s="157"/>
      <c r="AN228" s="157"/>
      <c r="AO228" s="157"/>
      <c r="AP228" s="157"/>
    </row>
    <row r="229" spans="1:42" ht="14.4" x14ac:dyDescent="0.25">
      <c r="A229" s="225" t="str">
        <f>'Participation Assumptions'!B230</f>
        <v>C&amp;I Curtailment-Enabling Tech-Advanced Lighting Control</v>
      </c>
      <c r="B229" s="225" t="s">
        <v>397</v>
      </c>
      <c r="C229" s="225" t="str">
        <f>'Participation Assumptions'!C230</f>
        <v>Interruptible Rider</v>
      </c>
      <c r="D229" s="225" t="str">
        <f>'Participation Assumptions'!D230</f>
        <v>Manufacturing</v>
      </c>
      <c r="E229" s="330">
        <f t="shared" ref="E229:F231" si="204">IFERROR((F229/G229)*F229,0)</f>
        <v>0</v>
      </c>
      <c r="F229" s="330">
        <f t="shared" si="204"/>
        <v>0</v>
      </c>
      <c r="G229" s="330">
        <v>0</v>
      </c>
      <c r="H229" s="330">
        <v>0</v>
      </c>
      <c r="I229" s="330">
        <v>0</v>
      </c>
      <c r="J229" s="330">
        <v>0</v>
      </c>
      <c r="K229" s="330">
        <v>0</v>
      </c>
      <c r="L229" s="330">
        <v>0</v>
      </c>
      <c r="M229" s="330">
        <v>0</v>
      </c>
      <c r="N229" s="330">
        <v>0</v>
      </c>
      <c r="O229" s="330">
        <v>0</v>
      </c>
      <c r="P229" s="330">
        <v>0</v>
      </c>
      <c r="Q229" s="330">
        <v>0</v>
      </c>
      <c r="R229" s="330">
        <v>0</v>
      </c>
      <c r="S229" s="330">
        <v>0</v>
      </c>
      <c r="T229" s="330">
        <v>0</v>
      </c>
      <c r="U229" s="330">
        <v>0</v>
      </c>
      <c r="V229" s="430"/>
      <c r="W229" s="200" t="str">
        <f t="shared" si="183"/>
        <v>Large</v>
      </c>
      <c r="X229" s="198" t="str">
        <f t="shared" si="182"/>
        <v>C&amp;I Curtailment-Enabling Tech-Advanced Lighting ControlLarge</v>
      </c>
      <c r="Y229" s="157" t="b">
        <f>ISNUMBER(MATCH(X229,'ProCESS CSE'!W:W,0))</f>
        <v>1</v>
      </c>
      <c r="Z229" s="157"/>
      <c r="AA229" s="157"/>
      <c r="AB229" s="157"/>
      <c r="AC229" s="157"/>
      <c r="AD229" s="157"/>
      <c r="AE229" s="157"/>
      <c r="AF229" s="157"/>
      <c r="AG229" s="157"/>
      <c r="AH229" s="157"/>
      <c r="AI229" s="157"/>
      <c r="AJ229" s="157"/>
      <c r="AK229" s="157"/>
      <c r="AL229" s="157"/>
      <c r="AM229" s="157"/>
      <c r="AN229" s="157"/>
      <c r="AO229" s="157"/>
      <c r="AP229" s="157"/>
    </row>
    <row r="230" spans="1:42" ht="14.4" x14ac:dyDescent="0.25">
      <c r="A230" s="225" t="str">
        <f>'Participation Assumptions'!B231</f>
        <v>C&amp;I Curtailment-Enabling Tech-Advanced Lighting Control</v>
      </c>
      <c r="B230" s="225" t="s">
        <v>397</v>
      </c>
      <c r="C230" s="225" t="str">
        <f>'Participation Assumptions'!C231</f>
        <v>Interruptible Rider</v>
      </c>
      <c r="D230" s="225" t="str">
        <f>'Participation Assumptions'!D231</f>
        <v>Miscellaneous</v>
      </c>
      <c r="E230" s="330">
        <f t="shared" si="204"/>
        <v>0</v>
      </c>
      <c r="F230" s="330">
        <f t="shared" si="204"/>
        <v>0</v>
      </c>
      <c r="G230" s="330">
        <v>0</v>
      </c>
      <c r="H230" s="330">
        <v>0</v>
      </c>
      <c r="I230" s="330">
        <v>0</v>
      </c>
      <c r="J230" s="330">
        <v>0</v>
      </c>
      <c r="K230" s="330">
        <v>0</v>
      </c>
      <c r="L230" s="330">
        <v>0</v>
      </c>
      <c r="M230" s="330">
        <v>0</v>
      </c>
      <c r="N230" s="330">
        <v>0</v>
      </c>
      <c r="O230" s="330">
        <v>0</v>
      </c>
      <c r="P230" s="330">
        <v>0</v>
      </c>
      <c r="Q230" s="330">
        <v>0</v>
      </c>
      <c r="R230" s="330">
        <v>0</v>
      </c>
      <c r="S230" s="330">
        <v>0</v>
      </c>
      <c r="T230" s="330">
        <v>0</v>
      </c>
      <c r="U230" s="330">
        <v>0</v>
      </c>
      <c r="V230" s="430"/>
      <c r="W230" s="200" t="str">
        <f t="shared" si="183"/>
        <v>Large</v>
      </c>
      <c r="X230" s="198" t="str">
        <f t="shared" si="182"/>
        <v>C&amp;I Curtailment-Enabling Tech-Advanced Lighting ControlLarge</v>
      </c>
      <c r="Y230" s="157" t="b">
        <f>ISNUMBER(MATCH(X230,'ProCESS CSE'!W:W,0))</f>
        <v>1</v>
      </c>
      <c r="Z230" s="157"/>
      <c r="AA230" s="157"/>
      <c r="AB230" s="157"/>
      <c r="AC230" s="157"/>
      <c r="AD230" s="157"/>
      <c r="AE230" s="157"/>
      <c r="AF230" s="157"/>
      <c r="AG230" s="157"/>
      <c r="AH230" s="157"/>
      <c r="AI230" s="157"/>
      <c r="AJ230" s="157"/>
      <c r="AK230" s="157"/>
      <c r="AL230" s="157"/>
      <c r="AM230" s="157"/>
      <c r="AN230" s="157"/>
      <c r="AO230" s="157"/>
      <c r="AP230" s="157"/>
    </row>
    <row r="231" spans="1:42" ht="14.4" x14ac:dyDescent="0.25">
      <c r="A231" s="225" t="str">
        <f>'Participation Assumptions'!B232</f>
        <v>C&amp;I Curtailment-Enabling Tech-Advanced Lighting Control</v>
      </c>
      <c r="B231" s="225" t="s">
        <v>397</v>
      </c>
      <c r="C231" s="225" t="str">
        <f>'Participation Assumptions'!C232</f>
        <v>Interruptible Rider</v>
      </c>
      <c r="D231" s="225" t="str">
        <f>'Participation Assumptions'!D232</f>
        <v>Retail Trade</v>
      </c>
      <c r="E231" s="330">
        <f t="shared" si="204"/>
        <v>0</v>
      </c>
      <c r="F231" s="330">
        <f t="shared" si="204"/>
        <v>0</v>
      </c>
      <c r="G231" s="330">
        <v>0</v>
      </c>
      <c r="H231" s="330">
        <v>0</v>
      </c>
      <c r="I231" s="330">
        <v>0</v>
      </c>
      <c r="J231" s="330">
        <v>0</v>
      </c>
      <c r="K231" s="330">
        <v>0</v>
      </c>
      <c r="L231" s="330">
        <v>0</v>
      </c>
      <c r="M231" s="330">
        <v>0</v>
      </c>
      <c r="N231" s="330">
        <v>0</v>
      </c>
      <c r="O231" s="330">
        <v>0</v>
      </c>
      <c r="P231" s="330">
        <v>0</v>
      </c>
      <c r="Q231" s="330">
        <v>0</v>
      </c>
      <c r="R231" s="330">
        <v>0</v>
      </c>
      <c r="S231" s="330">
        <v>0</v>
      </c>
      <c r="T231" s="330">
        <v>0</v>
      </c>
      <c r="U231" s="330">
        <v>0</v>
      </c>
      <c r="V231" s="430"/>
      <c r="W231" s="200" t="str">
        <f t="shared" si="183"/>
        <v>Large</v>
      </c>
      <c r="X231" s="198" t="str">
        <f t="shared" si="182"/>
        <v>C&amp;I Curtailment-Enabling Tech-Advanced Lighting ControlLarge</v>
      </c>
      <c r="Y231" s="157" t="b">
        <f>ISNUMBER(MATCH(X231,'ProCESS CSE'!W:W,0))</f>
        <v>1</v>
      </c>
      <c r="Z231" s="157"/>
      <c r="AA231" s="157"/>
      <c r="AB231" s="157"/>
      <c r="AC231" s="157"/>
      <c r="AD231" s="157"/>
      <c r="AE231" s="157"/>
      <c r="AF231" s="157"/>
      <c r="AG231" s="157"/>
      <c r="AH231" s="157"/>
      <c r="AI231" s="157"/>
      <c r="AJ231" s="157"/>
      <c r="AK231" s="157"/>
      <c r="AL231" s="157"/>
      <c r="AM231" s="157"/>
      <c r="AN231" s="157"/>
      <c r="AO231" s="157"/>
      <c r="AP231" s="157"/>
    </row>
    <row r="232" spans="1:42" ht="14.4" x14ac:dyDescent="0.25">
      <c r="A232" s="225" t="str">
        <f>'Participation Assumptions'!B233</f>
        <v>C&amp;I Curtailment-Enabling Tech-Water Heating Control</v>
      </c>
      <c r="B232" s="225" t="s">
        <v>397</v>
      </c>
      <c r="C232" s="225" t="str">
        <f>'Participation Assumptions'!C233</f>
        <v>Large Commercial</v>
      </c>
      <c r="D232" s="225" t="str">
        <f>'Participation Assumptions'!D233</f>
        <v>Offices</v>
      </c>
      <c r="E232" s="330">
        <f t="shared" ref="E232:U232" si="205">E170</f>
        <v>0.5</v>
      </c>
      <c r="F232" s="330">
        <f t="shared" si="205"/>
        <v>0.5</v>
      </c>
      <c r="G232" s="330">
        <f t="shared" si="205"/>
        <v>0.5</v>
      </c>
      <c r="H232" s="330">
        <f t="shared" si="205"/>
        <v>0.5</v>
      </c>
      <c r="I232" s="330">
        <f t="shared" si="205"/>
        <v>0.5</v>
      </c>
      <c r="J232" s="330">
        <f t="shared" si="205"/>
        <v>0.5</v>
      </c>
      <c r="K232" s="330">
        <f t="shared" si="205"/>
        <v>0.5</v>
      </c>
      <c r="L232" s="330">
        <f t="shared" si="205"/>
        <v>0.5</v>
      </c>
      <c r="M232" s="330">
        <f t="shared" si="205"/>
        <v>0.5</v>
      </c>
      <c r="N232" s="330">
        <f t="shared" si="205"/>
        <v>0.5</v>
      </c>
      <c r="O232" s="330">
        <f t="shared" si="205"/>
        <v>0.5</v>
      </c>
      <c r="P232" s="330">
        <f t="shared" si="205"/>
        <v>0.5</v>
      </c>
      <c r="Q232" s="330">
        <f t="shared" si="205"/>
        <v>0.5</v>
      </c>
      <c r="R232" s="330">
        <f t="shared" si="205"/>
        <v>0.5</v>
      </c>
      <c r="S232" s="330">
        <f t="shared" si="205"/>
        <v>0.5</v>
      </c>
      <c r="T232" s="330">
        <f t="shared" si="205"/>
        <v>0.5</v>
      </c>
      <c r="U232" s="330">
        <f t="shared" si="205"/>
        <v>0.5</v>
      </c>
      <c r="V232" s="429" t="s">
        <v>311</v>
      </c>
      <c r="W232" s="200" t="str">
        <f t="shared" si="183"/>
        <v>Large</v>
      </c>
      <c r="X232" s="198" t="str">
        <f t="shared" si="182"/>
        <v>C&amp;I Curtailment-Enabling Tech-Water Heating ControlLarge</v>
      </c>
      <c r="Y232" s="157" t="b">
        <f>ISNUMBER(MATCH(X232,'ProCESS CSE'!W:W,0))</f>
        <v>0</v>
      </c>
      <c r="Z232" s="157"/>
      <c r="AA232" s="157"/>
      <c r="AB232" s="157"/>
      <c r="AC232" s="157"/>
      <c r="AD232" s="157"/>
      <c r="AE232" s="157"/>
      <c r="AF232" s="157"/>
      <c r="AG232" s="157"/>
      <c r="AH232" s="157"/>
      <c r="AI232" s="157"/>
      <c r="AJ232" s="157"/>
      <c r="AK232" s="157"/>
      <c r="AL232" s="157"/>
      <c r="AM232" s="157"/>
      <c r="AN232" s="157"/>
      <c r="AO232" s="157"/>
      <c r="AP232" s="157"/>
    </row>
    <row r="233" spans="1:42" ht="14.4" x14ac:dyDescent="0.25">
      <c r="A233" s="225" t="str">
        <f>'Participation Assumptions'!B234</f>
        <v>C&amp;I Curtailment-Enabling Tech-Water Heating Control</v>
      </c>
      <c r="B233" s="225" t="s">
        <v>397</v>
      </c>
      <c r="C233" s="225" t="str">
        <f>'Participation Assumptions'!C234</f>
        <v>Large Commercial</v>
      </c>
      <c r="D233" s="225" t="str">
        <f>'Participation Assumptions'!D234</f>
        <v>Services</v>
      </c>
      <c r="E233" s="330">
        <f t="shared" ref="E233:U233" si="206">E171</f>
        <v>0.5</v>
      </c>
      <c r="F233" s="330">
        <f t="shared" si="206"/>
        <v>0.5</v>
      </c>
      <c r="G233" s="330">
        <f t="shared" si="206"/>
        <v>0.5</v>
      </c>
      <c r="H233" s="330">
        <f t="shared" si="206"/>
        <v>0.5</v>
      </c>
      <c r="I233" s="330">
        <f t="shared" si="206"/>
        <v>0.5</v>
      </c>
      <c r="J233" s="330">
        <f t="shared" si="206"/>
        <v>0.5</v>
      </c>
      <c r="K233" s="330">
        <f t="shared" si="206"/>
        <v>0.5</v>
      </c>
      <c r="L233" s="330">
        <f t="shared" si="206"/>
        <v>0.5</v>
      </c>
      <c r="M233" s="330">
        <f t="shared" si="206"/>
        <v>0.5</v>
      </c>
      <c r="N233" s="330">
        <f t="shared" si="206"/>
        <v>0.5</v>
      </c>
      <c r="O233" s="330">
        <f t="shared" si="206"/>
        <v>0.5</v>
      </c>
      <c r="P233" s="330">
        <f t="shared" si="206"/>
        <v>0.5</v>
      </c>
      <c r="Q233" s="330">
        <f t="shared" si="206"/>
        <v>0.5</v>
      </c>
      <c r="R233" s="330">
        <f t="shared" si="206"/>
        <v>0.5</v>
      </c>
      <c r="S233" s="330">
        <f t="shared" si="206"/>
        <v>0.5</v>
      </c>
      <c r="T233" s="330">
        <f t="shared" si="206"/>
        <v>0.5</v>
      </c>
      <c r="U233" s="330">
        <f t="shared" si="206"/>
        <v>0.5</v>
      </c>
      <c r="V233" s="429"/>
      <c r="W233" s="200" t="str">
        <f t="shared" si="183"/>
        <v>Large</v>
      </c>
      <c r="X233" s="198" t="str">
        <f t="shared" si="182"/>
        <v>C&amp;I Curtailment-Enabling Tech-Water Heating ControlLarge</v>
      </c>
      <c r="Y233" s="157" t="b">
        <f>ISNUMBER(MATCH(X233,'ProCESS CSE'!W:W,0))</f>
        <v>0</v>
      </c>
      <c r="Z233" s="157"/>
      <c r="AA233" s="157"/>
      <c r="AB233" s="157"/>
      <c r="AC233" s="157"/>
      <c r="AD233" s="157"/>
      <c r="AE233" s="157"/>
      <c r="AF233" s="157"/>
      <c r="AG233" s="157"/>
      <c r="AH233" s="157"/>
      <c r="AI233" s="157"/>
      <c r="AJ233" s="157"/>
      <c r="AK233" s="157"/>
      <c r="AL233" s="157"/>
      <c r="AM233" s="157"/>
      <c r="AN233" s="157"/>
      <c r="AO233" s="157"/>
      <c r="AP233" s="157"/>
    </row>
    <row r="234" spans="1:42" ht="14.4" x14ac:dyDescent="0.25">
      <c r="A234" s="225" t="str">
        <f>'Participation Assumptions'!B235</f>
        <v>C&amp;I Curtailment-Enabling Tech-Water Heating Control</v>
      </c>
      <c r="B234" s="225" t="s">
        <v>397</v>
      </c>
      <c r="C234" s="225" t="str">
        <f>'Participation Assumptions'!C235</f>
        <v>Large Industrial</v>
      </c>
      <c r="D234" s="225" t="str">
        <f>'Participation Assumptions'!D235</f>
        <v>Manufacturing</v>
      </c>
      <c r="E234" s="330">
        <f t="shared" ref="E234:U234" si="207">E172</f>
        <v>0.5</v>
      </c>
      <c r="F234" s="330">
        <f t="shared" si="207"/>
        <v>0.5</v>
      </c>
      <c r="G234" s="330">
        <f t="shared" si="207"/>
        <v>0.5</v>
      </c>
      <c r="H234" s="330">
        <f t="shared" si="207"/>
        <v>0.5</v>
      </c>
      <c r="I234" s="330">
        <f t="shared" si="207"/>
        <v>0.5</v>
      </c>
      <c r="J234" s="330">
        <f t="shared" si="207"/>
        <v>0.5</v>
      </c>
      <c r="K234" s="330">
        <f t="shared" si="207"/>
        <v>0.5</v>
      </c>
      <c r="L234" s="330">
        <f t="shared" si="207"/>
        <v>0.5</v>
      </c>
      <c r="M234" s="330">
        <f t="shared" si="207"/>
        <v>0.5</v>
      </c>
      <c r="N234" s="330">
        <f t="shared" si="207"/>
        <v>0.5</v>
      </c>
      <c r="O234" s="330">
        <f t="shared" si="207"/>
        <v>0.5</v>
      </c>
      <c r="P234" s="330">
        <f t="shared" si="207"/>
        <v>0.5</v>
      </c>
      <c r="Q234" s="330">
        <f t="shared" si="207"/>
        <v>0.5</v>
      </c>
      <c r="R234" s="330">
        <f t="shared" si="207"/>
        <v>0.5</v>
      </c>
      <c r="S234" s="330">
        <f t="shared" si="207"/>
        <v>0.5</v>
      </c>
      <c r="T234" s="330">
        <f t="shared" si="207"/>
        <v>0.5</v>
      </c>
      <c r="U234" s="330">
        <f t="shared" si="207"/>
        <v>0.5</v>
      </c>
      <c r="V234" s="429"/>
      <c r="W234" s="200" t="str">
        <f t="shared" si="183"/>
        <v>Large</v>
      </c>
      <c r="X234" s="198" t="str">
        <f t="shared" si="182"/>
        <v>C&amp;I Curtailment-Enabling Tech-Water Heating ControlLarge</v>
      </c>
      <c r="Y234" s="157" t="b">
        <f>ISNUMBER(MATCH(X234,'ProCESS CSE'!W:W,0))</f>
        <v>0</v>
      </c>
      <c r="Z234" s="157"/>
      <c r="AA234" s="157"/>
      <c r="AB234" s="157"/>
      <c r="AC234" s="157"/>
      <c r="AD234" s="157"/>
      <c r="AE234" s="157"/>
      <c r="AF234" s="157"/>
      <c r="AG234" s="157"/>
      <c r="AH234" s="157"/>
      <c r="AI234" s="157"/>
      <c r="AJ234" s="157"/>
      <c r="AK234" s="157"/>
      <c r="AL234" s="157"/>
      <c r="AM234" s="157"/>
      <c r="AN234" s="157"/>
      <c r="AO234" s="157"/>
      <c r="AP234" s="157"/>
    </row>
    <row r="235" spans="1:42" ht="14.4" x14ac:dyDescent="0.25">
      <c r="A235" s="225" t="str">
        <f>'Participation Assumptions'!B236</f>
        <v>C&amp;I Curtailment-Enabling Tech-Water Heating Control</v>
      </c>
      <c r="B235" s="225" t="s">
        <v>397</v>
      </c>
      <c r="C235" s="225" t="str">
        <f>'Participation Assumptions'!C236</f>
        <v>Large Industrial</v>
      </c>
      <c r="D235" s="225" t="str">
        <f>'Participation Assumptions'!D236</f>
        <v>Miscellaneous</v>
      </c>
      <c r="E235" s="330">
        <f t="shared" ref="E235:U235" si="208">E173</f>
        <v>0.5</v>
      </c>
      <c r="F235" s="330">
        <f t="shared" si="208"/>
        <v>0.5</v>
      </c>
      <c r="G235" s="330">
        <f t="shared" si="208"/>
        <v>0.5</v>
      </c>
      <c r="H235" s="330">
        <f t="shared" si="208"/>
        <v>0.5</v>
      </c>
      <c r="I235" s="330">
        <f t="shared" si="208"/>
        <v>0.5</v>
      </c>
      <c r="J235" s="330">
        <f t="shared" si="208"/>
        <v>0.5</v>
      </c>
      <c r="K235" s="330">
        <f t="shared" si="208"/>
        <v>0.5</v>
      </c>
      <c r="L235" s="330">
        <f t="shared" si="208"/>
        <v>0.5</v>
      </c>
      <c r="M235" s="330">
        <f t="shared" si="208"/>
        <v>0.5</v>
      </c>
      <c r="N235" s="330">
        <f t="shared" si="208"/>
        <v>0.5</v>
      </c>
      <c r="O235" s="330">
        <f t="shared" si="208"/>
        <v>0.5</v>
      </c>
      <c r="P235" s="330">
        <f t="shared" si="208"/>
        <v>0.5</v>
      </c>
      <c r="Q235" s="330">
        <f t="shared" si="208"/>
        <v>0.5</v>
      </c>
      <c r="R235" s="330">
        <f t="shared" si="208"/>
        <v>0.5</v>
      </c>
      <c r="S235" s="330">
        <f t="shared" si="208"/>
        <v>0.5</v>
      </c>
      <c r="T235" s="330">
        <f t="shared" si="208"/>
        <v>0.5</v>
      </c>
      <c r="U235" s="330">
        <f t="shared" si="208"/>
        <v>0.5</v>
      </c>
      <c r="V235" s="429"/>
      <c r="W235" s="200" t="str">
        <f t="shared" si="183"/>
        <v>Large</v>
      </c>
      <c r="X235" s="198" t="str">
        <f t="shared" si="182"/>
        <v>C&amp;I Curtailment-Enabling Tech-Water Heating ControlLarge</v>
      </c>
      <c r="Y235" s="157" t="b">
        <f>ISNUMBER(MATCH(X235,'ProCESS CSE'!W:W,0))</f>
        <v>0</v>
      </c>
      <c r="Z235" s="157"/>
      <c r="AA235" s="157"/>
      <c r="AB235" s="157"/>
      <c r="AC235" s="157"/>
      <c r="AD235" s="157"/>
      <c r="AE235" s="157"/>
      <c r="AF235" s="157"/>
      <c r="AG235" s="157"/>
      <c r="AH235" s="157"/>
      <c r="AI235" s="157"/>
      <c r="AJ235" s="157"/>
      <c r="AK235" s="157"/>
      <c r="AL235" s="157"/>
      <c r="AM235" s="157"/>
      <c r="AN235" s="157"/>
      <c r="AO235" s="157"/>
      <c r="AP235" s="157"/>
    </row>
    <row r="236" spans="1:42" ht="14.4" x14ac:dyDescent="0.25">
      <c r="A236" s="225" t="str">
        <f>'Participation Assumptions'!B237</f>
        <v>C&amp;I Curtailment-Enabling Tech-Water Heating Control</v>
      </c>
      <c r="B236" s="225" t="s">
        <v>397</v>
      </c>
      <c r="C236" s="225" t="str">
        <f>'Participation Assumptions'!C237</f>
        <v>Large Industrial</v>
      </c>
      <c r="D236" s="225" t="str">
        <f>'Participation Assumptions'!D237</f>
        <v>Offices</v>
      </c>
      <c r="E236" s="330">
        <f t="shared" ref="E236:U236" si="209">E174</f>
        <v>0.5</v>
      </c>
      <c r="F236" s="330">
        <f t="shared" si="209"/>
        <v>0.5</v>
      </c>
      <c r="G236" s="330">
        <f t="shared" si="209"/>
        <v>0.5</v>
      </c>
      <c r="H236" s="330">
        <f t="shared" si="209"/>
        <v>0.5</v>
      </c>
      <c r="I236" s="330">
        <f t="shared" si="209"/>
        <v>0.5</v>
      </c>
      <c r="J236" s="330">
        <f t="shared" si="209"/>
        <v>0.5</v>
      </c>
      <c r="K236" s="330">
        <f t="shared" si="209"/>
        <v>0.5</v>
      </c>
      <c r="L236" s="330">
        <f t="shared" si="209"/>
        <v>0.5</v>
      </c>
      <c r="M236" s="330">
        <f t="shared" si="209"/>
        <v>0.5</v>
      </c>
      <c r="N236" s="330">
        <f t="shared" si="209"/>
        <v>0.5</v>
      </c>
      <c r="O236" s="330">
        <f t="shared" si="209"/>
        <v>0.5</v>
      </c>
      <c r="P236" s="330">
        <f t="shared" si="209"/>
        <v>0.5</v>
      </c>
      <c r="Q236" s="330">
        <f t="shared" si="209"/>
        <v>0.5</v>
      </c>
      <c r="R236" s="330">
        <f t="shared" si="209"/>
        <v>0.5</v>
      </c>
      <c r="S236" s="330">
        <f t="shared" si="209"/>
        <v>0.5</v>
      </c>
      <c r="T236" s="330">
        <f t="shared" si="209"/>
        <v>0.5</v>
      </c>
      <c r="U236" s="330">
        <f t="shared" si="209"/>
        <v>0.5</v>
      </c>
      <c r="V236" s="429"/>
      <c r="W236" s="200" t="str">
        <f t="shared" si="183"/>
        <v>Large</v>
      </c>
      <c r="X236" s="198" t="str">
        <f t="shared" si="182"/>
        <v>C&amp;I Curtailment-Enabling Tech-Water Heating ControlLarge</v>
      </c>
      <c r="Y236" s="157" t="b">
        <f>ISNUMBER(MATCH(X236,'ProCESS CSE'!W:W,0))</f>
        <v>0</v>
      </c>
      <c r="Z236" s="157"/>
      <c r="AA236" s="157"/>
      <c r="AB236" s="157"/>
      <c r="AC236" s="157"/>
      <c r="AD236" s="157"/>
      <c r="AE236" s="157"/>
      <c r="AF236" s="157"/>
      <c r="AG236" s="157"/>
      <c r="AH236" s="157"/>
      <c r="AI236" s="157"/>
      <c r="AJ236" s="157"/>
      <c r="AK236" s="157"/>
      <c r="AL236" s="157"/>
      <c r="AM236" s="157"/>
      <c r="AN236" s="157"/>
      <c r="AO236" s="157"/>
      <c r="AP236" s="157"/>
    </row>
    <row r="237" spans="1:42" ht="14.4" x14ac:dyDescent="0.25">
      <c r="A237" s="225" t="str">
        <f>'Participation Assumptions'!B238</f>
        <v>C&amp;I Curtailment-Enabling Tech-Water Heating Control</v>
      </c>
      <c r="B237" s="225" t="s">
        <v>397</v>
      </c>
      <c r="C237" s="225" t="str">
        <f>'Participation Assumptions'!C238</f>
        <v>Large Industrial</v>
      </c>
      <c r="D237" s="225" t="str">
        <f>'Participation Assumptions'!D238</f>
        <v>Retail Trade</v>
      </c>
      <c r="E237" s="330">
        <f t="shared" ref="E237:U237" si="210">E175</f>
        <v>0.5</v>
      </c>
      <c r="F237" s="330">
        <f t="shared" si="210"/>
        <v>0.5</v>
      </c>
      <c r="G237" s="330">
        <f t="shared" si="210"/>
        <v>0.5</v>
      </c>
      <c r="H237" s="330">
        <f t="shared" si="210"/>
        <v>0.5</v>
      </c>
      <c r="I237" s="330">
        <f t="shared" si="210"/>
        <v>0.5</v>
      </c>
      <c r="J237" s="330">
        <f t="shared" si="210"/>
        <v>0.5</v>
      </c>
      <c r="K237" s="330">
        <f t="shared" si="210"/>
        <v>0.5</v>
      </c>
      <c r="L237" s="330">
        <f t="shared" si="210"/>
        <v>0.5</v>
      </c>
      <c r="M237" s="330">
        <f t="shared" si="210"/>
        <v>0.5</v>
      </c>
      <c r="N237" s="330">
        <f t="shared" si="210"/>
        <v>0.5</v>
      </c>
      <c r="O237" s="330">
        <f t="shared" si="210"/>
        <v>0.5</v>
      </c>
      <c r="P237" s="330">
        <f t="shared" si="210"/>
        <v>0.5</v>
      </c>
      <c r="Q237" s="330">
        <f t="shared" si="210"/>
        <v>0.5</v>
      </c>
      <c r="R237" s="330">
        <f t="shared" si="210"/>
        <v>0.5</v>
      </c>
      <c r="S237" s="330">
        <f t="shared" si="210"/>
        <v>0.5</v>
      </c>
      <c r="T237" s="330">
        <f t="shared" si="210"/>
        <v>0.5</v>
      </c>
      <c r="U237" s="330">
        <f t="shared" si="210"/>
        <v>0.5</v>
      </c>
      <c r="V237" s="429"/>
      <c r="W237" s="200" t="str">
        <f t="shared" si="183"/>
        <v>Large</v>
      </c>
      <c r="X237" s="198" t="str">
        <f t="shared" si="182"/>
        <v>C&amp;I Curtailment-Enabling Tech-Water Heating ControlLarge</v>
      </c>
      <c r="Y237" s="157" t="b">
        <f>ISNUMBER(MATCH(X237,'ProCESS CSE'!W:W,0))</f>
        <v>0</v>
      </c>
      <c r="Z237" s="157"/>
      <c r="AA237" s="157"/>
      <c r="AB237" s="157"/>
      <c r="AC237" s="157"/>
      <c r="AD237" s="157"/>
      <c r="AE237" s="157"/>
      <c r="AF237" s="157"/>
      <c r="AG237" s="157"/>
      <c r="AH237" s="157"/>
      <c r="AI237" s="157"/>
      <c r="AJ237" s="157"/>
      <c r="AK237" s="157"/>
      <c r="AL237" s="157"/>
      <c r="AM237" s="157"/>
      <c r="AN237" s="157"/>
      <c r="AO237" s="157"/>
      <c r="AP237" s="157"/>
    </row>
    <row r="238" spans="1:42" ht="14.4" x14ac:dyDescent="0.25">
      <c r="A238" s="225" t="str">
        <f>'Participation Assumptions'!B239</f>
        <v>C&amp;I Curtailment-Enabling Tech-Water Heating Control</v>
      </c>
      <c r="B238" s="225" t="s">
        <v>397</v>
      </c>
      <c r="C238" s="225" t="str">
        <f>'Participation Assumptions'!C239</f>
        <v>Large Industrial</v>
      </c>
      <c r="D238" s="225" t="str">
        <f>'Participation Assumptions'!D239</f>
        <v>Services</v>
      </c>
      <c r="E238" s="330">
        <f t="shared" ref="E238:U238" si="211">E176</f>
        <v>0.5</v>
      </c>
      <c r="F238" s="330">
        <f t="shared" si="211"/>
        <v>0.5</v>
      </c>
      <c r="G238" s="330">
        <f t="shared" si="211"/>
        <v>0.5</v>
      </c>
      <c r="H238" s="330">
        <f t="shared" si="211"/>
        <v>0.5</v>
      </c>
      <c r="I238" s="330">
        <f t="shared" si="211"/>
        <v>0.5</v>
      </c>
      <c r="J238" s="330">
        <f t="shared" si="211"/>
        <v>0.5</v>
      </c>
      <c r="K238" s="330">
        <f t="shared" si="211"/>
        <v>0.5</v>
      </c>
      <c r="L238" s="330">
        <f t="shared" si="211"/>
        <v>0.5</v>
      </c>
      <c r="M238" s="330">
        <f t="shared" si="211"/>
        <v>0.5</v>
      </c>
      <c r="N238" s="330">
        <f t="shared" si="211"/>
        <v>0.5</v>
      </c>
      <c r="O238" s="330">
        <f t="shared" si="211"/>
        <v>0.5</v>
      </c>
      <c r="P238" s="330">
        <f t="shared" si="211"/>
        <v>0.5</v>
      </c>
      <c r="Q238" s="330">
        <f t="shared" si="211"/>
        <v>0.5</v>
      </c>
      <c r="R238" s="330">
        <f t="shared" si="211"/>
        <v>0.5</v>
      </c>
      <c r="S238" s="330">
        <f t="shared" si="211"/>
        <v>0.5</v>
      </c>
      <c r="T238" s="330">
        <f t="shared" si="211"/>
        <v>0.5</v>
      </c>
      <c r="U238" s="330">
        <f t="shared" si="211"/>
        <v>0.5</v>
      </c>
      <c r="V238" s="429"/>
      <c r="W238" s="200" t="str">
        <f t="shared" si="183"/>
        <v>Large</v>
      </c>
      <c r="X238" s="198" t="str">
        <f t="shared" si="182"/>
        <v>C&amp;I Curtailment-Enabling Tech-Water Heating ControlLarge</v>
      </c>
      <c r="Y238" s="157" t="b">
        <f>ISNUMBER(MATCH(X238,'ProCESS CSE'!W:W,0))</f>
        <v>0</v>
      </c>
      <c r="Z238" s="157"/>
      <c r="AA238" s="157"/>
      <c r="AB238" s="157"/>
      <c r="AC238" s="157"/>
      <c r="AD238" s="157"/>
      <c r="AE238" s="157"/>
      <c r="AF238" s="157"/>
      <c r="AG238" s="157"/>
      <c r="AH238" s="157"/>
      <c r="AI238" s="157"/>
      <c r="AJ238" s="157"/>
      <c r="AK238" s="157"/>
      <c r="AL238" s="157"/>
      <c r="AM238" s="157"/>
      <c r="AN238" s="157"/>
      <c r="AO238" s="157"/>
      <c r="AP238" s="157"/>
    </row>
    <row r="239" spans="1:42" ht="14.4" x14ac:dyDescent="0.25">
      <c r="A239" s="225" t="str">
        <f>'Participation Assumptions'!B240</f>
        <v>C&amp;I Curtailment-Enabling Tech-Water Heating Control</v>
      </c>
      <c r="B239" s="225" t="s">
        <v>397</v>
      </c>
      <c r="C239" s="225" t="str">
        <f>'Participation Assumptions'!C240</f>
        <v>Interruptible Rider</v>
      </c>
      <c r="D239" s="225" t="str">
        <f>'Participation Assumptions'!D240</f>
        <v>Manufacturing</v>
      </c>
      <c r="E239" s="330">
        <f t="shared" ref="E239:E253" si="212">E177</f>
        <v>0.5</v>
      </c>
      <c r="F239" s="330">
        <f t="shared" ref="F239:U253" si="213">F177</f>
        <v>0.5</v>
      </c>
      <c r="G239" s="330">
        <f t="shared" si="213"/>
        <v>0.5</v>
      </c>
      <c r="H239" s="330">
        <f t="shared" si="213"/>
        <v>0.5</v>
      </c>
      <c r="I239" s="330">
        <f t="shared" si="213"/>
        <v>0.5</v>
      </c>
      <c r="J239" s="330">
        <f t="shared" si="213"/>
        <v>0.5</v>
      </c>
      <c r="K239" s="330">
        <f t="shared" si="213"/>
        <v>0.5</v>
      </c>
      <c r="L239" s="330">
        <f t="shared" si="213"/>
        <v>0.5</v>
      </c>
      <c r="M239" s="330">
        <f t="shared" si="213"/>
        <v>0.5</v>
      </c>
      <c r="N239" s="330">
        <f t="shared" si="213"/>
        <v>0.5</v>
      </c>
      <c r="O239" s="330">
        <f t="shared" si="213"/>
        <v>0.5</v>
      </c>
      <c r="P239" s="330">
        <f t="shared" si="213"/>
        <v>0.5</v>
      </c>
      <c r="Q239" s="330">
        <f t="shared" si="213"/>
        <v>0.5</v>
      </c>
      <c r="R239" s="330">
        <f t="shared" si="213"/>
        <v>0.5</v>
      </c>
      <c r="S239" s="330">
        <f t="shared" si="213"/>
        <v>0.5</v>
      </c>
      <c r="T239" s="330">
        <f t="shared" si="213"/>
        <v>0.5</v>
      </c>
      <c r="U239" s="330">
        <f t="shared" si="213"/>
        <v>0.5</v>
      </c>
      <c r="V239" s="429"/>
      <c r="W239" s="200" t="str">
        <f t="shared" si="183"/>
        <v>Large</v>
      </c>
      <c r="X239" s="198" t="str">
        <f t="shared" si="182"/>
        <v>C&amp;I Curtailment-Enabling Tech-Water Heating ControlLarge</v>
      </c>
      <c r="Y239" s="157" t="b">
        <f>ISNUMBER(MATCH(X239,'ProCESS CSE'!W:W,0))</f>
        <v>0</v>
      </c>
      <c r="Z239" s="157"/>
      <c r="AA239" s="157"/>
      <c r="AB239" s="157"/>
      <c r="AC239" s="157"/>
      <c r="AD239" s="157"/>
      <c r="AE239" s="157"/>
      <c r="AF239" s="157"/>
      <c r="AG239" s="157"/>
      <c r="AH239" s="157"/>
      <c r="AI239" s="157"/>
      <c r="AJ239" s="157"/>
      <c r="AK239" s="157"/>
      <c r="AL239" s="157"/>
      <c r="AM239" s="157"/>
      <c r="AN239" s="157"/>
      <c r="AO239" s="157"/>
      <c r="AP239" s="157"/>
    </row>
    <row r="240" spans="1:42" ht="14.4" x14ac:dyDescent="0.25">
      <c r="A240" s="225" t="str">
        <f>'Participation Assumptions'!B241</f>
        <v>C&amp;I Curtailment-Enabling Tech-Water Heating Control</v>
      </c>
      <c r="B240" s="225" t="s">
        <v>397</v>
      </c>
      <c r="C240" s="225" t="str">
        <f>'Participation Assumptions'!C241</f>
        <v>Interruptible Rider</v>
      </c>
      <c r="D240" s="225" t="str">
        <f>'Participation Assumptions'!D241</f>
        <v>Miscellaneous</v>
      </c>
      <c r="E240" s="330">
        <f t="shared" si="212"/>
        <v>0.5</v>
      </c>
      <c r="F240" s="330">
        <f t="shared" si="213"/>
        <v>0.5</v>
      </c>
      <c r="G240" s="330">
        <f t="shared" si="213"/>
        <v>0.5</v>
      </c>
      <c r="H240" s="330">
        <f t="shared" si="213"/>
        <v>0.5</v>
      </c>
      <c r="I240" s="330">
        <f t="shared" si="213"/>
        <v>0.5</v>
      </c>
      <c r="J240" s="330">
        <f t="shared" si="213"/>
        <v>0.5</v>
      </c>
      <c r="K240" s="330">
        <f t="shared" si="213"/>
        <v>0.5</v>
      </c>
      <c r="L240" s="330">
        <f t="shared" si="213"/>
        <v>0.5</v>
      </c>
      <c r="M240" s="330">
        <f t="shared" si="213"/>
        <v>0.5</v>
      </c>
      <c r="N240" s="330">
        <f t="shared" si="213"/>
        <v>0.5</v>
      </c>
      <c r="O240" s="330">
        <f t="shared" si="213"/>
        <v>0.5</v>
      </c>
      <c r="P240" s="330">
        <f t="shared" si="213"/>
        <v>0.5</v>
      </c>
      <c r="Q240" s="330">
        <f t="shared" si="213"/>
        <v>0.5</v>
      </c>
      <c r="R240" s="330">
        <f t="shared" si="213"/>
        <v>0.5</v>
      </c>
      <c r="S240" s="330">
        <f t="shared" si="213"/>
        <v>0.5</v>
      </c>
      <c r="T240" s="330">
        <f t="shared" si="213"/>
        <v>0.5</v>
      </c>
      <c r="U240" s="330">
        <f t="shared" si="213"/>
        <v>0.5</v>
      </c>
      <c r="V240" s="429"/>
      <c r="W240" s="200" t="str">
        <f t="shared" si="183"/>
        <v>Large</v>
      </c>
      <c r="X240" s="198" t="str">
        <f t="shared" si="182"/>
        <v>C&amp;I Curtailment-Enabling Tech-Water Heating ControlLarge</v>
      </c>
      <c r="Y240" s="157" t="b">
        <f>ISNUMBER(MATCH(X240,'ProCESS CSE'!W:W,0))</f>
        <v>0</v>
      </c>
      <c r="Z240" s="157"/>
      <c r="AA240" s="157"/>
      <c r="AB240" s="157"/>
      <c r="AC240" s="157"/>
      <c r="AD240" s="157"/>
      <c r="AE240" s="157"/>
      <c r="AF240" s="157"/>
      <c r="AG240" s="157"/>
      <c r="AH240" s="157"/>
      <c r="AI240" s="157"/>
      <c r="AJ240" s="157"/>
      <c r="AK240" s="157"/>
      <c r="AL240" s="157"/>
      <c r="AM240" s="157"/>
      <c r="AN240" s="157"/>
      <c r="AO240" s="157"/>
      <c r="AP240" s="157"/>
    </row>
    <row r="241" spans="1:42" ht="14.4" x14ac:dyDescent="0.25">
      <c r="A241" s="225" t="str">
        <f>'Participation Assumptions'!B242</f>
        <v>C&amp;I Curtailment-Enabling Tech-Water Heating Control</v>
      </c>
      <c r="B241" s="225" t="s">
        <v>397</v>
      </c>
      <c r="C241" s="225" t="str">
        <f>'Participation Assumptions'!C242</f>
        <v>Interruptible Rider</v>
      </c>
      <c r="D241" s="225" t="str">
        <f>'Participation Assumptions'!D242</f>
        <v>Retail Trade</v>
      </c>
      <c r="E241" s="330">
        <f t="shared" si="212"/>
        <v>0.5</v>
      </c>
      <c r="F241" s="330">
        <f t="shared" si="213"/>
        <v>0.5</v>
      </c>
      <c r="G241" s="330">
        <f t="shared" si="213"/>
        <v>0.5</v>
      </c>
      <c r="H241" s="330">
        <f t="shared" si="213"/>
        <v>0.5</v>
      </c>
      <c r="I241" s="330">
        <f t="shared" si="213"/>
        <v>0.5</v>
      </c>
      <c r="J241" s="330">
        <f t="shared" si="213"/>
        <v>0.5</v>
      </c>
      <c r="K241" s="330">
        <f t="shared" si="213"/>
        <v>0.5</v>
      </c>
      <c r="L241" s="330">
        <f t="shared" si="213"/>
        <v>0.5</v>
      </c>
      <c r="M241" s="330">
        <f t="shared" si="213"/>
        <v>0.5</v>
      </c>
      <c r="N241" s="330">
        <f t="shared" si="213"/>
        <v>0.5</v>
      </c>
      <c r="O241" s="330">
        <f t="shared" si="213"/>
        <v>0.5</v>
      </c>
      <c r="P241" s="330">
        <f t="shared" si="213"/>
        <v>0.5</v>
      </c>
      <c r="Q241" s="330">
        <f t="shared" si="213"/>
        <v>0.5</v>
      </c>
      <c r="R241" s="330">
        <f t="shared" si="213"/>
        <v>0.5</v>
      </c>
      <c r="S241" s="330">
        <f t="shared" si="213"/>
        <v>0.5</v>
      </c>
      <c r="T241" s="330">
        <f t="shared" si="213"/>
        <v>0.5</v>
      </c>
      <c r="U241" s="330">
        <f t="shared" si="213"/>
        <v>0.5</v>
      </c>
      <c r="V241" s="429"/>
      <c r="W241" s="200" t="str">
        <f t="shared" si="183"/>
        <v>Large</v>
      </c>
      <c r="X241" s="198" t="str">
        <f t="shared" si="182"/>
        <v>C&amp;I Curtailment-Enabling Tech-Water Heating ControlLarge</v>
      </c>
      <c r="Y241" s="157" t="b">
        <f>ISNUMBER(MATCH(X241,'ProCESS CSE'!W:W,0))</f>
        <v>0</v>
      </c>
      <c r="Z241" s="157"/>
      <c r="AA241" s="157"/>
      <c r="AB241" s="157"/>
      <c r="AC241" s="157"/>
      <c r="AD241" s="157"/>
      <c r="AE241" s="157"/>
      <c r="AF241" s="157"/>
      <c r="AG241" s="157"/>
      <c r="AH241" s="157"/>
      <c r="AI241" s="157"/>
      <c r="AJ241" s="157"/>
      <c r="AK241" s="157"/>
      <c r="AL241" s="157"/>
      <c r="AM241" s="157"/>
      <c r="AN241" s="157"/>
      <c r="AO241" s="157"/>
      <c r="AP241" s="157"/>
    </row>
    <row r="242" spans="1:42" ht="14.4" x14ac:dyDescent="0.25">
      <c r="A242" s="225" t="str">
        <f>'Participation Assumptions'!B243</f>
        <v>C&amp;I Curtailment-Enabling Tech-Other</v>
      </c>
      <c r="B242" s="225" t="s">
        <v>397</v>
      </c>
      <c r="C242" s="225" t="str">
        <f>'Participation Assumptions'!C243</f>
        <v>Large Commercial</v>
      </c>
      <c r="D242" s="225" t="str">
        <f>'Participation Assumptions'!D243</f>
        <v>Offices</v>
      </c>
      <c r="E242" s="330">
        <f t="shared" si="212"/>
        <v>0.5</v>
      </c>
      <c r="F242" s="330">
        <f t="shared" si="213"/>
        <v>0.5</v>
      </c>
      <c r="G242" s="330">
        <f t="shared" si="213"/>
        <v>0.5</v>
      </c>
      <c r="H242" s="330">
        <f t="shared" si="213"/>
        <v>0.5</v>
      </c>
      <c r="I242" s="330">
        <f t="shared" si="213"/>
        <v>0.5</v>
      </c>
      <c r="J242" s="330">
        <f t="shared" si="213"/>
        <v>0.5</v>
      </c>
      <c r="K242" s="330">
        <f t="shared" si="213"/>
        <v>0.5</v>
      </c>
      <c r="L242" s="330">
        <f t="shared" si="213"/>
        <v>0.5</v>
      </c>
      <c r="M242" s="330">
        <f t="shared" si="213"/>
        <v>0.5</v>
      </c>
      <c r="N242" s="330">
        <f t="shared" si="213"/>
        <v>0.5</v>
      </c>
      <c r="O242" s="330">
        <f t="shared" si="213"/>
        <v>0.5</v>
      </c>
      <c r="P242" s="330">
        <f t="shared" si="213"/>
        <v>0.5</v>
      </c>
      <c r="Q242" s="330">
        <f t="shared" si="213"/>
        <v>0.5</v>
      </c>
      <c r="R242" s="330">
        <f t="shared" si="213"/>
        <v>0.5</v>
      </c>
      <c r="S242" s="330">
        <f t="shared" si="213"/>
        <v>0.5</v>
      </c>
      <c r="T242" s="330">
        <f t="shared" si="213"/>
        <v>0.5</v>
      </c>
      <c r="U242" s="330">
        <f t="shared" si="213"/>
        <v>0.5</v>
      </c>
      <c r="V242" s="429"/>
      <c r="W242" s="200" t="str">
        <f t="shared" si="183"/>
        <v>Large</v>
      </c>
      <c r="X242" s="198" t="str">
        <f t="shared" si="182"/>
        <v>C&amp;I Curtailment-Enabling Tech-OtherLarge</v>
      </c>
      <c r="Y242" s="157" t="b">
        <f>ISNUMBER(MATCH(X242,'ProCESS CSE'!W:W,0))</f>
        <v>0</v>
      </c>
      <c r="Z242" s="157"/>
      <c r="AA242" s="157"/>
      <c r="AB242" s="157"/>
      <c r="AC242" s="157"/>
      <c r="AD242" s="157"/>
      <c r="AE242" s="157"/>
      <c r="AF242" s="157"/>
      <c r="AG242" s="157"/>
      <c r="AH242" s="157"/>
      <c r="AI242" s="157"/>
      <c r="AJ242" s="157"/>
      <c r="AK242" s="157"/>
      <c r="AL242" s="157"/>
      <c r="AM242" s="157"/>
      <c r="AN242" s="157"/>
      <c r="AO242" s="157"/>
      <c r="AP242" s="157"/>
    </row>
    <row r="243" spans="1:42" ht="14.4" x14ac:dyDescent="0.25">
      <c r="A243" s="225" t="str">
        <f>'Participation Assumptions'!B244</f>
        <v>C&amp;I Curtailment-Enabling Tech-Other</v>
      </c>
      <c r="B243" s="225" t="s">
        <v>397</v>
      </c>
      <c r="C243" s="225" t="str">
        <f>'Participation Assumptions'!C244</f>
        <v>Large Commercial</v>
      </c>
      <c r="D243" s="225" t="str">
        <f>'Participation Assumptions'!D244</f>
        <v>Services</v>
      </c>
      <c r="E243" s="330">
        <f t="shared" si="212"/>
        <v>0.5</v>
      </c>
      <c r="F243" s="330">
        <f t="shared" si="213"/>
        <v>0.5</v>
      </c>
      <c r="G243" s="330">
        <f t="shared" si="213"/>
        <v>0.5</v>
      </c>
      <c r="H243" s="330">
        <f t="shared" si="213"/>
        <v>0.5</v>
      </c>
      <c r="I243" s="330">
        <f t="shared" si="213"/>
        <v>0.5</v>
      </c>
      <c r="J243" s="330">
        <f t="shared" si="213"/>
        <v>0.5</v>
      </c>
      <c r="K243" s="330">
        <f t="shared" si="213"/>
        <v>0.5</v>
      </c>
      <c r="L243" s="330">
        <f t="shared" si="213"/>
        <v>0.5</v>
      </c>
      <c r="M243" s="330">
        <f t="shared" si="213"/>
        <v>0.5</v>
      </c>
      <c r="N243" s="330">
        <f t="shared" si="213"/>
        <v>0.5</v>
      </c>
      <c r="O243" s="330">
        <f t="shared" si="213"/>
        <v>0.5</v>
      </c>
      <c r="P243" s="330">
        <f t="shared" si="213"/>
        <v>0.5</v>
      </c>
      <c r="Q243" s="330">
        <f t="shared" si="213"/>
        <v>0.5</v>
      </c>
      <c r="R243" s="330">
        <f t="shared" si="213"/>
        <v>0.5</v>
      </c>
      <c r="S243" s="330">
        <f t="shared" si="213"/>
        <v>0.5</v>
      </c>
      <c r="T243" s="330">
        <f t="shared" si="213"/>
        <v>0.5</v>
      </c>
      <c r="U243" s="330">
        <f t="shared" si="213"/>
        <v>0.5</v>
      </c>
      <c r="V243" s="429"/>
      <c r="W243" s="200" t="str">
        <f t="shared" si="183"/>
        <v>Large</v>
      </c>
      <c r="X243" s="198" t="str">
        <f t="shared" si="182"/>
        <v>C&amp;I Curtailment-Enabling Tech-OtherLarge</v>
      </c>
      <c r="Y243" s="157" t="b">
        <f>ISNUMBER(MATCH(X243,'ProCESS CSE'!W:W,0))</f>
        <v>0</v>
      </c>
      <c r="Z243" s="157"/>
      <c r="AA243" s="157"/>
      <c r="AB243" s="157"/>
      <c r="AC243" s="157"/>
      <c r="AD243" s="157"/>
      <c r="AE243" s="157"/>
      <c r="AF243" s="157"/>
      <c r="AG243" s="157"/>
      <c r="AH243" s="157"/>
      <c r="AI243" s="157"/>
      <c r="AJ243" s="157"/>
      <c r="AK243" s="157"/>
      <c r="AL243" s="157"/>
      <c r="AM243" s="157"/>
      <c r="AN243" s="157"/>
      <c r="AO243" s="157"/>
      <c r="AP243" s="157"/>
    </row>
    <row r="244" spans="1:42" ht="14.4" x14ac:dyDescent="0.25">
      <c r="A244" s="225" t="str">
        <f>'Participation Assumptions'!B245</f>
        <v>C&amp;I Curtailment-Enabling Tech-Other</v>
      </c>
      <c r="B244" s="225" t="s">
        <v>397</v>
      </c>
      <c r="C244" s="225" t="str">
        <f>'Participation Assumptions'!C245</f>
        <v>Large Industrial</v>
      </c>
      <c r="D244" s="225" t="str">
        <f>'Participation Assumptions'!D245</f>
        <v>Manufacturing</v>
      </c>
      <c r="E244" s="330">
        <f t="shared" si="212"/>
        <v>0.5</v>
      </c>
      <c r="F244" s="330">
        <f t="shared" si="213"/>
        <v>0.5</v>
      </c>
      <c r="G244" s="330">
        <f t="shared" si="213"/>
        <v>0.5</v>
      </c>
      <c r="H244" s="330">
        <f t="shared" si="213"/>
        <v>0.5</v>
      </c>
      <c r="I244" s="330">
        <f t="shared" si="213"/>
        <v>0.5</v>
      </c>
      <c r="J244" s="330">
        <f t="shared" si="213"/>
        <v>0.5</v>
      </c>
      <c r="K244" s="330">
        <f t="shared" si="213"/>
        <v>0.5</v>
      </c>
      <c r="L244" s="330">
        <f t="shared" si="213"/>
        <v>0.5</v>
      </c>
      <c r="M244" s="330">
        <f t="shared" si="213"/>
        <v>0.5</v>
      </c>
      <c r="N244" s="330">
        <f t="shared" si="213"/>
        <v>0.5</v>
      </c>
      <c r="O244" s="330">
        <f t="shared" si="213"/>
        <v>0.5</v>
      </c>
      <c r="P244" s="330">
        <f t="shared" si="213"/>
        <v>0.5</v>
      </c>
      <c r="Q244" s="330">
        <f t="shared" si="213"/>
        <v>0.5</v>
      </c>
      <c r="R244" s="330">
        <f t="shared" si="213"/>
        <v>0.5</v>
      </c>
      <c r="S244" s="330">
        <f t="shared" si="213"/>
        <v>0.5</v>
      </c>
      <c r="T244" s="330">
        <f t="shared" si="213"/>
        <v>0.5</v>
      </c>
      <c r="U244" s="330">
        <f t="shared" si="213"/>
        <v>0.5</v>
      </c>
      <c r="V244" s="429"/>
      <c r="W244" s="200" t="str">
        <f t="shared" si="183"/>
        <v>Large</v>
      </c>
      <c r="X244" s="198" t="str">
        <f t="shared" si="182"/>
        <v>C&amp;I Curtailment-Enabling Tech-OtherLarge</v>
      </c>
      <c r="Y244" s="157" t="b">
        <f>ISNUMBER(MATCH(X244,'ProCESS CSE'!W:W,0))</f>
        <v>0</v>
      </c>
      <c r="Z244" s="157"/>
      <c r="AA244" s="157"/>
      <c r="AB244" s="157"/>
      <c r="AC244" s="157"/>
      <c r="AD244" s="157"/>
      <c r="AE244" s="157"/>
      <c r="AF244" s="157"/>
      <c r="AG244" s="157"/>
      <c r="AH244" s="157"/>
      <c r="AI244" s="157"/>
      <c r="AJ244" s="157"/>
      <c r="AK244" s="157"/>
      <c r="AL244" s="157"/>
      <c r="AM244" s="157"/>
      <c r="AN244" s="157"/>
      <c r="AO244" s="157"/>
      <c r="AP244" s="157"/>
    </row>
    <row r="245" spans="1:42" ht="14.4" x14ac:dyDescent="0.25">
      <c r="A245" s="225" t="str">
        <f>'Participation Assumptions'!B246</f>
        <v>C&amp;I Curtailment-Enabling Tech-Other</v>
      </c>
      <c r="B245" s="225" t="s">
        <v>397</v>
      </c>
      <c r="C245" s="225" t="str">
        <f>'Participation Assumptions'!C246</f>
        <v>Large Industrial</v>
      </c>
      <c r="D245" s="225" t="str">
        <f>'Participation Assumptions'!D246</f>
        <v>Miscellaneous</v>
      </c>
      <c r="E245" s="330">
        <f t="shared" si="212"/>
        <v>0.5</v>
      </c>
      <c r="F245" s="330">
        <f t="shared" si="213"/>
        <v>0.5</v>
      </c>
      <c r="G245" s="330">
        <f t="shared" si="213"/>
        <v>0.5</v>
      </c>
      <c r="H245" s="330">
        <f t="shared" si="213"/>
        <v>0.5</v>
      </c>
      <c r="I245" s="330">
        <f t="shared" si="213"/>
        <v>0.5</v>
      </c>
      <c r="J245" s="330">
        <f t="shared" si="213"/>
        <v>0.5</v>
      </c>
      <c r="K245" s="330">
        <f t="shared" si="213"/>
        <v>0.5</v>
      </c>
      <c r="L245" s="330">
        <f t="shared" si="213"/>
        <v>0.5</v>
      </c>
      <c r="M245" s="330">
        <f t="shared" si="213"/>
        <v>0.5</v>
      </c>
      <c r="N245" s="330">
        <f t="shared" si="213"/>
        <v>0.5</v>
      </c>
      <c r="O245" s="330">
        <f t="shared" si="213"/>
        <v>0.5</v>
      </c>
      <c r="P245" s="330">
        <f t="shared" si="213"/>
        <v>0.5</v>
      </c>
      <c r="Q245" s="330">
        <f t="shared" si="213"/>
        <v>0.5</v>
      </c>
      <c r="R245" s="330">
        <f t="shared" si="213"/>
        <v>0.5</v>
      </c>
      <c r="S245" s="330">
        <f t="shared" si="213"/>
        <v>0.5</v>
      </c>
      <c r="T245" s="330">
        <f t="shared" si="213"/>
        <v>0.5</v>
      </c>
      <c r="U245" s="330">
        <f t="shared" si="213"/>
        <v>0.5</v>
      </c>
      <c r="V245" s="429"/>
      <c r="W245" s="200" t="str">
        <f t="shared" si="183"/>
        <v>Large</v>
      </c>
      <c r="X245" s="198" t="str">
        <f t="shared" si="182"/>
        <v>C&amp;I Curtailment-Enabling Tech-OtherLarge</v>
      </c>
      <c r="Y245" s="157" t="b">
        <f>ISNUMBER(MATCH(X245,'ProCESS CSE'!W:W,0))</f>
        <v>0</v>
      </c>
      <c r="Z245" s="157"/>
      <c r="AA245" s="157"/>
      <c r="AB245" s="157"/>
      <c r="AC245" s="157"/>
      <c r="AD245" s="157"/>
      <c r="AE245" s="157"/>
      <c r="AF245" s="157"/>
      <c r="AG245" s="157"/>
      <c r="AH245" s="157"/>
      <c r="AI245" s="157"/>
      <c r="AJ245" s="157"/>
      <c r="AK245" s="157"/>
      <c r="AL245" s="157"/>
      <c r="AM245" s="157"/>
      <c r="AN245" s="157"/>
      <c r="AO245" s="157"/>
      <c r="AP245" s="157"/>
    </row>
    <row r="246" spans="1:42" ht="14.4" x14ac:dyDescent="0.25">
      <c r="A246" s="225" t="str">
        <f>'Participation Assumptions'!B247</f>
        <v>C&amp;I Curtailment-Enabling Tech-Other</v>
      </c>
      <c r="B246" s="225" t="s">
        <v>397</v>
      </c>
      <c r="C246" s="225" t="str">
        <f>'Participation Assumptions'!C247</f>
        <v>Large Industrial</v>
      </c>
      <c r="D246" s="225" t="str">
        <f>'Participation Assumptions'!D247</f>
        <v>Offices</v>
      </c>
      <c r="E246" s="330">
        <f t="shared" si="212"/>
        <v>0.5</v>
      </c>
      <c r="F246" s="330">
        <f t="shared" si="213"/>
        <v>0.5</v>
      </c>
      <c r="G246" s="330">
        <f t="shared" si="213"/>
        <v>0.5</v>
      </c>
      <c r="H246" s="330">
        <f t="shared" si="213"/>
        <v>0.5</v>
      </c>
      <c r="I246" s="330">
        <f t="shared" si="213"/>
        <v>0.5</v>
      </c>
      <c r="J246" s="330">
        <f t="shared" si="213"/>
        <v>0.5</v>
      </c>
      <c r="K246" s="330">
        <f t="shared" si="213"/>
        <v>0.5</v>
      </c>
      <c r="L246" s="330">
        <f t="shared" si="213"/>
        <v>0.5</v>
      </c>
      <c r="M246" s="330">
        <f t="shared" si="213"/>
        <v>0.5</v>
      </c>
      <c r="N246" s="330">
        <f t="shared" si="213"/>
        <v>0.5</v>
      </c>
      <c r="O246" s="330">
        <f t="shared" si="213"/>
        <v>0.5</v>
      </c>
      <c r="P246" s="330">
        <f t="shared" si="213"/>
        <v>0.5</v>
      </c>
      <c r="Q246" s="330">
        <f t="shared" si="213"/>
        <v>0.5</v>
      </c>
      <c r="R246" s="330">
        <f t="shared" si="213"/>
        <v>0.5</v>
      </c>
      <c r="S246" s="330">
        <f t="shared" si="213"/>
        <v>0.5</v>
      </c>
      <c r="T246" s="330">
        <f t="shared" si="213"/>
        <v>0.5</v>
      </c>
      <c r="U246" s="330">
        <f t="shared" si="213"/>
        <v>0.5</v>
      </c>
      <c r="V246" s="429"/>
      <c r="W246" s="200" t="str">
        <f t="shared" si="183"/>
        <v>Large</v>
      </c>
      <c r="X246" s="198" t="str">
        <f t="shared" si="182"/>
        <v>C&amp;I Curtailment-Enabling Tech-OtherLarge</v>
      </c>
      <c r="Y246" s="157" t="b">
        <f>ISNUMBER(MATCH(X246,'ProCESS CSE'!W:W,0))</f>
        <v>0</v>
      </c>
      <c r="Z246" s="157"/>
      <c r="AA246" s="157"/>
      <c r="AB246" s="157"/>
      <c r="AC246" s="157"/>
      <c r="AD246" s="157"/>
      <c r="AE246" s="157"/>
      <c r="AF246" s="157"/>
      <c r="AG246" s="157"/>
      <c r="AH246" s="157"/>
      <c r="AI246" s="157"/>
      <c r="AJ246" s="157"/>
      <c r="AK246" s="157"/>
      <c r="AL246" s="157"/>
      <c r="AM246" s="157"/>
      <c r="AN246" s="157"/>
      <c r="AO246" s="157"/>
      <c r="AP246" s="157"/>
    </row>
    <row r="247" spans="1:42" ht="14.4" x14ac:dyDescent="0.25">
      <c r="A247" s="225" t="str">
        <f>'Participation Assumptions'!B248</f>
        <v>C&amp;I Curtailment-Enabling Tech-Other</v>
      </c>
      <c r="B247" s="225" t="s">
        <v>397</v>
      </c>
      <c r="C247" s="225" t="str">
        <f>'Participation Assumptions'!C248</f>
        <v>Large Industrial</v>
      </c>
      <c r="D247" s="225" t="str">
        <f>'Participation Assumptions'!D248</f>
        <v>Retail Trade</v>
      </c>
      <c r="E247" s="330">
        <f t="shared" si="212"/>
        <v>0.5</v>
      </c>
      <c r="F247" s="330">
        <f t="shared" si="213"/>
        <v>0.5</v>
      </c>
      <c r="G247" s="330">
        <f t="shared" si="213"/>
        <v>0.5</v>
      </c>
      <c r="H247" s="330">
        <f t="shared" si="213"/>
        <v>0.5</v>
      </c>
      <c r="I247" s="330">
        <f t="shared" si="213"/>
        <v>0.5</v>
      </c>
      <c r="J247" s="330">
        <f t="shared" si="213"/>
        <v>0.5</v>
      </c>
      <c r="K247" s="330">
        <f t="shared" si="213"/>
        <v>0.5</v>
      </c>
      <c r="L247" s="330">
        <f t="shared" si="213"/>
        <v>0.5</v>
      </c>
      <c r="M247" s="330">
        <f t="shared" si="213"/>
        <v>0.5</v>
      </c>
      <c r="N247" s="330">
        <f t="shared" si="213"/>
        <v>0.5</v>
      </c>
      <c r="O247" s="330">
        <f t="shared" si="213"/>
        <v>0.5</v>
      </c>
      <c r="P247" s="330">
        <f t="shared" si="213"/>
        <v>0.5</v>
      </c>
      <c r="Q247" s="330">
        <f t="shared" si="213"/>
        <v>0.5</v>
      </c>
      <c r="R247" s="330">
        <f t="shared" si="213"/>
        <v>0.5</v>
      </c>
      <c r="S247" s="330">
        <f t="shared" si="213"/>
        <v>0.5</v>
      </c>
      <c r="T247" s="330">
        <f t="shared" si="213"/>
        <v>0.5</v>
      </c>
      <c r="U247" s="330">
        <f t="shared" si="213"/>
        <v>0.5</v>
      </c>
      <c r="V247" s="429"/>
      <c r="W247" s="200" t="str">
        <f t="shared" si="183"/>
        <v>Large</v>
      </c>
      <c r="X247" s="198" t="str">
        <f t="shared" si="182"/>
        <v>C&amp;I Curtailment-Enabling Tech-OtherLarge</v>
      </c>
      <c r="Y247" s="157" t="b">
        <f>ISNUMBER(MATCH(X247,'ProCESS CSE'!W:W,0))</f>
        <v>0</v>
      </c>
      <c r="Z247" s="157"/>
      <c r="AA247" s="157"/>
      <c r="AB247" s="157"/>
      <c r="AC247" s="157"/>
      <c r="AD247" s="157"/>
      <c r="AE247" s="157"/>
      <c r="AF247" s="157"/>
      <c r="AG247" s="157"/>
      <c r="AH247" s="157"/>
      <c r="AI247" s="157"/>
      <c r="AJ247" s="157"/>
      <c r="AK247" s="157"/>
      <c r="AL247" s="157"/>
      <c r="AM247" s="157"/>
      <c r="AN247" s="157"/>
      <c r="AO247" s="157"/>
      <c r="AP247" s="157"/>
    </row>
    <row r="248" spans="1:42" ht="14.4" x14ac:dyDescent="0.25">
      <c r="A248" s="225" t="str">
        <f>'Participation Assumptions'!B249</f>
        <v>C&amp;I Curtailment-Enabling Tech-Other</v>
      </c>
      <c r="B248" s="225" t="s">
        <v>397</v>
      </c>
      <c r="C248" s="225" t="str">
        <f>'Participation Assumptions'!C249</f>
        <v>Large Industrial</v>
      </c>
      <c r="D248" s="225" t="str">
        <f>'Participation Assumptions'!D249</f>
        <v>Services</v>
      </c>
      <c r="E248" s="330">
        <f t="shared" si="212"/>
        <v>0.5</v>
      </c>
      <c r="F248" s="330">
        <f t="shared" si="213"/>
        <v>0.5</v>
      </c>
      <c r="G248" s="330">
        <f t="shared" si="213"/>
        <v>0.5</v>
      </c>
      <c r="H248" s="330">
        <f t="shared" si="213"/>
        <v>0.5</v>
      </c>
      <c r="I248" s="330">
        <f t="shared" si="213"/>
        <v>0.5</v>
      </c>
      <c r="J248" s="330">
        <f t="shared" si="213"/>
        <v>0.5</v>
      </c>
      <c r="K248" s="330">
        <f t="shared" si="213"/>
        <v>0.5</v>
      </c>
      <c r="L248" s="330">
        <f t="shared" si="213"/>
        <v>0.5</v>
      </c>
      <c r="M248" s="330">
        <f t="shared" si="213"/>
        <v>0.5</v>
      </c>
      <c r="N248" s="330">
        <f t="shared" si="213"/>
        <v>0.5</v>
      </c>
      <c r="O248" s="330">
        <f t="shared" si="213"/>
        <v>0.5</v>
      </c>
      <c r="P248" s="330">
        <f t="shared" si="213"/>
        <v>0.5</v>
      </c>
      <c r="Q248" s="330">
        <f t="shared" si="213"/>
        <v>0.5</v>
      </c>
      <c r="R248" s="330">
        <f t="shared" si="213"/>
        <v>0.5</v>
      </c>
      <c r="S248" s="330">
        <f t="shared" si="213"/>
        <v>0.5</v>
      </c>
      <c r="T248" s="330">
        <f t="shared" si="213"/>
        <v>0.5</v>
      </c>
      <c r="U248" s="330">
        <f t="shared" si="213"/>
        <v>0.5</v>
      </c>
      <c r="V248" s="429"/>
      <c r="W248" s="200" t="str">
        <f t="shared" si="183"/>
        <v>Large</v>
      </c>
      <c r="X248" s="198" t="str">
        <f t="shared" si="182"/>
        <v>C&amp;I Curtailment-Enabling Tech-OtherLarge</v>
      </c>
      <c r="Y248" s="157" t="b">
        <f>ISNUMBER(MATCH(X248,'ProCESS CSE'!W:W,0))</f>
        <v>0</v>
      </c>
      <c r="Z248" s="157"/>
      <c r="AA248" s="157"/>
      <c r="AB248" s="157"/>
      <c r="AC248" s="157"/>
      <c r="AD248" s="157"/>
      <c r="AE248" s="157"/>
      <c r="AF248" s="157"/>
      <c r="AG248" s="157"/>
      <c r="AH248" s="157"/>
      <c r="AI248" s="157"/>
      <c r="AJ248" s="157"/>
      <c r="AK248" s="157"/>
      <c r="AL248" s="157"/>
      <c r="AM248" s="157"/>
      <c r="AN248" s="157"/>
      <c r="AO248" s="157"/>
      <c r="AP248" s="157"/>
    </row>
    <row r="249" spans="1:42" ht="14.4" x14ac:dyDescent="0.25">
      <c r="A249" s="225" t="str">
        <f>'Participation Assumptions'!B250</f>
        <v>C&amp;I Curtailment-Enabling Tech-Other</v>
      </c>
      <c r="B249" s="225" t="s">
        <v>397</v>
      </c>
      <c r="C249" s="225" t="str">
        <f>'Participation Assumptions'!C250</f>
        <v>Interruptible Rider</v>
      </c>
      <c r="D249" s="225" t="str">
        <f>'Participation Assumptions'!D250</f>
        <v>Manufacturing</v>
      </c>
      <c r="E249" s="330">
        <f t="shared" si="212"/>
        <v>0.5</v>
      </c>
      <c r="F249" s="330">
        <f t="shared" si="213"/>
        <v>0.5</v>
      </c>
      <c r="G249" s="330">
        <f t="shared" si="213"/>
        <v>0.5</v>
      </c>
      <c r="H249" s="330">
        <f t="shared" si="213"/>
        <v>0.5</v>
      </c>
      <c r="I249" s="330">
        <f t="shared" si="213"/>
        <v>0.5</v>
      </c>
      <c r="J249" s="330">
        <f t="shared" si="213"/>
        <v>0.5</v>
      </c>
      <c r="K249" s="330">
        <f t="shared" si="213"/>
        <v>0.5</v>
      </c>
      <c r="L249" s="330">
        <f t="shared" si="213"/>
        <v>0.5</v>
      </c>
      <c r="M249" s="330">
        <f t="shared" si="213"/>
        <v>0.5</v>
      </c>
      <c r="N249" s="330">
        <f t="shared" si="213"/>
        <v>0.5</v>
      </c>
      <c r="O249" s="330">
        <f t="shared" si="213"/>
        <v>0.5</v>
      </c>
      <c r="P249" s="330">
        <f t="shared" si="213"/>
        <v>0.5</v>
      </c>
      <c r="Q249" s="330">
        <f t="shared" si="213"/>
        <v>0.5</v>
      </c>
      <c r="R249" s="330">
        <f t="shared" si="213"/>
        <v>0.5</v>
      </c>
      <c r="S249" s="330">
        <f t="shared" si="213"/>
        <v>0.5</v>
      </c>
      <c r="T249" s="330">
        <f t="shared" si="213"/>
        <v>0.5</v>
      </c>
      <c r="U249" s="330">
        <f t="shared" si="213"/>
        <v>0.5</v>
      </c>
      <c r="V249" s="429"/>
      <c r="W249" s="200" t="str">
        <f t="shared" si="183"/>
        <v>Large</v>
      </c>
      <c r="X249" s="198" t="str">
        <f t="shared" si="182"/>
        <v>C&amp;I Curtailment-Enabling Tech-OtherLarge</v>
      </c>
      <c r="Y249" s="157" t="b">
        <f>ISNUMBER(MATCH(X249,'ProCESS CSE'!W:W,0))</f>
        <v>0</v>
      </c>
      <c r="Z249" s="157"/>
      <c r="AA249" s="157"/>
      <c r="AB249" s="157"/>
      <c r="AC249" s="157"/>
      <c r="AD249" s="157"/>
      <c r="AE249" s="157"/>
      <c r="AF249" s="157"/>
      <c r="AG249" s="157"/>
      <c r="AH249" s="157"/>
      <c r="AI249" s="157"/>
      <c r="AJ249" s="157"/>
      <c r="AK249" s="157"/>
      <c r="AL249" s="157"/>
      <c r="AM249" s="157"/>
      <c r="AN249" s="157"/>
      <c r="AO249" s="157"/>
      <c r="AP249" s="157"/>
    </row>
    <row r="250" spans="1:42" ht="14.4" x14ac:dyDescent="0.25">
      <c r="A250" s="225" t="str">
        <f>'Participation Assumptions'!B251</f>
        <v>C&amp;I Curtailment-Enabling Tech-Other</v>
      </c>
      <c r="B250" s="225" t="s">
        <v>397</v>
      </c>
      <c r="C250" s="225" t="str">
        <f>'Participation Assumptions'!C251</f>
        <v>Interruptible Rider</v>
      </c>
      <c r="D250" s="225" t="str">
        <f>'Participation Assumptions'!D251</f>
        <v>Miscellaneous</v>
      </c>
      <c r="E250" s="330">
        <f t="shared" si="212"/>
        <v>0.5</v>
      </c>
      <c r="F250" s="330">
        <f t="shared" si="213"/>
        <v>0.5</v>
      </c>
      <c r="G250" s="330">
        <f t="shared" si="213"/>
        <v>0.5</v>
      </c>
      <c r="H250" s="330">
        <f t="shared" si="213"/>
        <v>0.5</v>
      </c>
      <c r="I250" s="330">
        <f t="shared" si="213"/>
        <v>0.5</v>
      </c>
      <c r="J250" s="330">
        <f t="shared" si="213"/>
        <v>0.5</v>
      </c>
      <c r="K250" s="330">
        <f t="shared" si="213"/>
        <v>0.5</v>
      </c>
      <c r="L250" s="330">
        <f t="shared" si="213"/>
        <v>0.5</v>
      </c>
      <c r="M250" s="330">
        <f t="shared" si="213"/>
        <v>0.5</v>
      </c>
      <c r="N250" s="330">
        <f t="shared" si="213"/>
        <v>0.5</v>
      </c>
      <c r="O250" s="330">
        <f t="shared" si="213"/>
        <v>0.5</v>
      </c>
      <c r="P250" s="330">
        <f t="shared" si="213"/>
        <v>0.5</v>
      </c>
      <c r="Q250" s="330">
        <f t="shared" si="213"/>
        <v>0.5</v>
      </c>
      <c r="R250" s="330">
        <f t="shared" si="213"/>
        <v>0.5</v>
      </c>
      <c r="S250" s="330">
        <f t="shared" si="213"/>
        <v>0.5</v>
      </c>
      <c r="T250" s="330">
        <f t="shared" si="213"/>
        <v>0.5</v>
      </c>
      <c r="U250" s="330">
        <f t="shared" si="213"/>
        <v>0.5</v>
      </c>
      <c r="V250" s="429"/>
      <c r="W250" s="200" t="str">
        <f t="shared" si="183"/>
        <v>Large</v>
      </c>
      <c r="X250" s="198" t="str">
        <f t="shared" si="182"/>
        <v>C&amp;I Curtailment-Enabling Tech-OtherLarge</v>
      </c>
      <c r="Y250" s="157" t="b">
        <f>ISNUMBER(MATCH(X250,'ProCESS CSE'!W:W,0))</f>
        <v>0</v>
      </c>
      <c r="Z250" s="157"/>
      <c r="AA250" s="157"/>
      <c r="AB250" s="157"/>
      <c r="AC250" s="157"/>
      <c r="AD250" s="157"/>
      <c r="AE250" s="157"/>
      <c r="AF250" s="157"/>
      <c r="AG250" s="157"/>
      <c r="AH250" s="157"/>
      <c r="AI250" s="157"/>
      <c r="AJ250" s="157"/>
      <c r="AK250" s="157"/>
      <c r="AL250" s="157"/>
      <c r="AM250" s="157"/>
      <c r="AN250" s="157"/>
      <c r="AO250" s="157"/>
      <c r="AP250" s="157"/>
    </row>
    <row r="251" spans="1:42" ht="14.4" x14ac:dyDescent="0.25">
      <c r="A251" s="225" t="str">
        <f>'Participation Assumptions'!B252</f>
        <v>C&amp;I Curtailment-Enabling Tech-Other</v>
      </c>
      <c r="B251" s="225" t="s">
        <v>397</v>
      </c>
      <c r="C251" s="225" t="str">
        <f>'Participation Assumptions'!C252</f>
        <v>Interruptible Rider</v>
      </c>
      <c r="D251" s="225" t="str">
        <f>'Participation Assumptions'!D252</f>
        <v>Retail Trade</v>
      </c>
      <c r="E251" s="330">
        <f t="shared" si="212"/>
        <v>0.5</v>
      </c>
      <c r="F251" s="330">
        <f t="shared" si="213"/>
        <v>0.5</v>
      </c>
      <c r="G251" s="330">
        <f t="shared" si="213"/>
        <v>0.5</v>
      </c>
      <c r="H251" s="330">
        <f t="shared" si="213"/>
        <v>0.5</v>
      </c>
      <c r="I251" s="330">
        <f t="shared" si="213"/>
        <v>0.5</v>
      </c>
      <c r="J251" s="330">
        <f t="shared" si="213"/>
        <v>0.5</v>
      </c>
      <c r="K251" s="330">
        <f t="shared" si="213"/>
        <v>0.5</v>
      </c>
      <c r="L251" s="330">
        <f t="shared" si="213"/>
        <v>0.5</v>
      </c>
      <c r="M251" s="330">
        <f t="shared" si="213"/>
        <v>0.5</v>
      </c>
      <c r="N251" s="330">
        <f t="shared" si="213"/>
        <v>0.5</v>
      </c>
      <c r="O251" s="330">
        <f t="shared" si="213"/>
        <v>0.5</v>
      </c>
      <c r="P251" s="330">
        <f t="shared" si="213"/>
        <v>0.5</v>
      </c>
      <c r="Q251" s="330">
        <f t="shared" si="213"/>
        <v>0.5</v>
      </c>
      <c r="R251" s="330">
        <f t="shared" si="213"/>
        <v>0.5</v>
      </c>
      <c r="S251" s="330">
        <f t="shared" si="213"/>
        <v>0.5</v>
      </c>
      <c r="T251" s="330">
        <f t="shared" si="213"/>
        <v>0.5</v>
      </c>
      <c r="U251" s="330">
        <f t="shared" si="213"/>
        <v>0.5</v>
      </c>
      <c r="V251" s="429"/>
      <c r="W251" s="200" t="str">
        <f t="shared" si="183"/>
        <v>Large</v>
      </c>
      <c r="X251" s="198" t="str">
        <f t="shared" si="182"/>
        <v>C&amp;I Curtailment-Enabling Tech-OtherLarge</v>
      </c>
      <c r="Y251" s="157" t="b">
        <f>ISNUMBER(MATCH(X251,'ProCESS CSE'!W:W,0))</f>
        <v>0</v>
      </c>
      <c r="Z251" s="157"/>
      <c r="AA251" s="157"/>
      <c r="AB251" s="157"/>
      <c r="AC251" s="157"/>
      <c r="AD251" s="157"/>
      <c r="AE251" s="157"/>
      <c r="AF251" s="157"/>
      <c r="AG251" s="157"/>
      <c r="AH251" s="157"/>
      <c r="AI251" s="157"/>
      <c r="AJ251" s="157"/>
      <c r="AK251" s="157"/>
      <c r="AL251" s="157"/>
      <c r="AM251" s="157"/>
      <c r="AN251" s="157"/>
      <c r="AO251" s="157"/>
      <c r="AP251" s="157"/>
    </row>
    <row r="252" spans="1:42" ht="14.4" x14ac:dyDescent="0.25">
      <c r="A252" s="225" t="str">
        <f>'Participation Assumptions'!B253</f>
        <v>C&amp;I Curtailment-Enabling Tech-Industrial</v>
      </c>
      <c r="B252" s="225" t="s">
        <v>397</v>
      </c>
      <c r="C252" s="225" t="str">
        <f>'Participation Assumptions'!C253</f>
        <v>Large Industrial</v>
      </c>
      <c r="D252" s="225" t="str">
        <f>'Participation Assumptions'!D253</f>
        <v>Manufacturing</v>
      </c>
      <c r="E252" s="330">
        <f t="shared" si="212"/>
        <v>0.5</v>
      </c>
      <c r="F252" s="330">
        <f t="shared" si="213"/>
        <v>0.5</v>
      </c>
      <c r="G252" s="330">
        <f t="shared" si="213"/>
        <v>0.5</v>
      </c>
      <c r="H252" s="330">
        <f t="shared" si="213"/>
        <v>0.5</v>
      </c>
      <c r="I252" s="330">
        <f t="shared" si="213"/>
        <v>0.5</v>
      </c>
      <c r="J252" s="330">
        <f t="shared" si="213"/>
        <v>0.5</v>
      </c>
      <c r="K252" s="330">
        <f t="shared" si="213"/>
        <v>0.5</v>
      </c>
      <c r="L252" s="330">
        <f t="shared" si="213"/>
        <v>0.5</v>
      </c>
      <c r="M252" s="330">
        <f t="shared" si="213"/>
        <v>0.5</v>
      </c>
      <c r="N252" s="330">
        <f t="shared" si="213"/>
        <v>0.5</v>
      </c>
      <c r="O252" s="330">
        <f t="shared" si="213"/>
        <v>0.5</v>
      </c>
      <c r="P252" s="330">
        <f t="shared" si="213"/>
        <v>0.5</v>
      </c>
      <c r="Q252" s="330">
        <f t="shared" si="213"/>
        <v>0.5</v>
      </c>
      <c r="R252" s="330">
        <f t="shared" si="213"/>
        <v>0.5</v>
      </c>
      <c r="S252" s="330">
        <f t="shared" si="213"/>
        <v>0.5</v>
      </c>
      <c r="T252" s="330">
        <f t="shared" si="213"/>
        <v>0.5</v>
      </c>
      <c r="U252" s="330">
        <f t="shared" si="213"/>
        <v>0.5</v>
      </c>
      <c r="V252" s="429"/>
      <c r="W252" s="200" t="str">
        <f t="shared" si="183"/>
        <v>Large</v>
      </c>
      <c r="X252" s="198" t="str">
        <f t="shared" si="182"/>
        <v>C&amp;I Curtailment-Enabling Tech-IndustrialLarge</v>
      </c>
      <c r="Y252" s="157" t="b">
        <f>ISNUMBER(MATCH(X252,'ProCESS CSE'!W:W,0))</f>
        <v>0</v>
      </c>
      <c r="Z252" s="157"/>
      <c r="AA252" s="157"/>
      <c r="AB252" s="157"/>
      <c r="AC252" s="157"/>
      <c r="AD252" s="157"/>
      <c r="AE252" s="157"/>
      <c r="AF252" s="157"/>
      <c r="AG252" s="157"/>
      <c r="AH252" s="157"/>
      <c r="AI252" s="157"/>
      <c r="AJ252" s="157"/>
      <c r="AK252" s="157"/>
      <c r="AL252" s="157"/>
      <c r="AM252" s="157"/>
      <c r="AN252" s="157"/>
      <c r="AO252" s="157"/>
      <c r="AP252" s="157"/>
    </row>
    <row r="253" spans="1:42" ht="14.4" x14ac:dyDescent="0.25">
      <c r="A253" s="225" t="str">
        <f>'Participation Assumptions'!B254</f>
        <v>C&amp;I Curtailment-Enabling Tech-Industrial</v>
      </c>
      <c r="B253" s="225" t="s">
        <v>397</v>
      </c>
      <c r="C253" s="225" t="str">
        <f>'Participation Assumptions'!C254</f>
        <v>Interruptible Rider</v>
      </c>
      <c r="D253" s="225" t="str">
        <f>'Participation Assumptions'!D254</f>
        <v>Manufacturing</v>
      </c>
      <c r="E253" s="330">
        <f t="shared" si="212"/>
        <v>0.5</v>
      </c>
      <c r="F253" s="330">
        <f t="shared" si="213"/>
        <v>0.5</v>
      </c>
      <c r="G253" s="330">
        <f t="shared" si="213"/>
        <v>0.5</v>
      </c>
      <c r="H253" s="330">
        <f t="shared" si="213"/>
        <v>0.5</v>
      </c>
      <c r="I253" s="330">
        <f t="shared" si="213"/>
        <v>0.5</v>
      </c>
      <c r="J253" s="330">
        <f t="shared" si="213"/>
        <v>0.5</v>
      </c>
      <c r="K253" s="330">
        <f t="shared" si="213"/>
        <v>0.5</v>
      </c>
      <c r="L253" s="330">
        <f t="shared" si="213"/>
        <v>0.5</v>
      </c>
      <c r="M253" s="330">
        <f t="shared" si="213"/>
        <v>0.5</v>
      </c>
      <c r="N253" s="330">
        <f t="shared" si="213"/>
        <v>0.5</v>
      </c>
      <c r="O253" s="330">
        <f t="shared" si="213"/>
        <v>0.5</v>
      </c>
      <c r="P253" s="330">
        <f t="shared" si="213"/>
        <v>0.5</v>
      </c>
      <c r="Q253" s="330">
        <f t="shared" si="213"/>
        <v>0.5</v>
      </c>
      <c r="R253" s="330">
        <f t="shared" si="213"/>
        <v>0.5</v>
      </c>
      <c r="S253" s="330">
        <f t="shared" si="213"/>
        <v>0.5</v>
      </c>
      <c r="T253" s="330">
        <f t="shared" si="213"/>
        <v>0.5</v>
      </c>
      <c r="U253" s="330">
        <f t="shared" si="213"/>
        <v>0.5</v>
      </c>
      <c r="V253" s="429"/>
      <c r="W253" s="200" t="str">
        <f t="shared" si="183"/>
        <v>Large</v>
      </c>
      <c r="X253" s="198" t="str">
        <f t="shared" si="182"/>
        <v>C&amp;I Curtailment-Enabling Tech-IndustrialLarge</v>
      </c>
      <c r="Y253" s="157" t="b">
        <f>ISNUMBER(MATCH(X253,'ProCESS CSE'!W:W,0))</f>
        <v>0</v>
      </c>
      <c r="Z253" s="157"/>
      <c r="AA253" s="157"/>
      <c r="AB253" s="157"/>
      <c r="AC253" s="157"/>
      <c r="AD253" s="157"/>
      <c r="AE253" s="157"/>
      <c r="AF253" s="157"/>
      <c r="AG253" s="157"/>
      <c r="AH253" s="157"/>
      <c r="AI253" s="157"/>
      <c r="AJ253" s="157"/>
      <c r="AK253" s="157"/>
      <c r="AL253" s="157"/>
      <c r="AM253" s="157"/>
      <c r="AN253" s="157"/>
      <c r="AO253" s="157"/>
      <c r="AP253" s="157"/>
    </row>
    <row r="254" spans="1:42" ht="15" customHeight="1" x14ac:dyDescent="0.25">
      <c r="A254" s="225" t="str">
        <f>'Participation Assumptions'!B255</f>
        <v>Dynamic Pricing with enabling tech.</v>
      </c>
      <c r="B254" s="225" t="s">
        <v>397</v>
      </c>
      <c r="C254" s="225" t="str">
        <f>'Participation Assumptions'!C255</f>
        <v>Interruptible Rider</v>
      </c>
      <c r="D254" s="225" t="str">
        <f>'Participation Assumptions'!D255</f>
        <v>Manufacturing</v>
      </c>
      <c r="E254" s="330">
        <f>1-E276</f>
        <v>0.5</v>
      </c>
      <c r="F254" s="330">
        <f t="shared" ref="F254:U254" si="214">1-F276</f>
        <v>0.5</v>
      </c>
      <c r="G254" s="330">
        <f t="shared" si="214"/>
        <v>0.5</v>
      </c>
      <c r="H254" s="330">
        <f t="shared" si="214"/>
        <v>0.5</v>
      </c>
      <c r="I254" s="330">
        <f t="shared" si="214"/>
        <v>0.5</v>
      </c>
      <c r="J254" s="330">
        <f t="shared" si="214"/>
        <v>0.5</v>
      </c>
      <c r="K254" s="330">
        <f t="shared" si="214"/>
        <v>0.5</v>
      </c>
      <c r="L254" s="330">
        <f t="shared" si="214"/>
        <v>0.5</v>
      </c>
      <c r="M254" s="330">
        <f t="shared" si="214"/>
        <v>0.5</v>
      </c>
      <c r="N254" s="330">
        <f t="shared" si="214"/>
        <v>0.5</v>
      </c>
      <c r="O254" s="330">
        <f t="shared" si="214"/>
        <v>0.5</v>
      </c>
      <c r="P254" s="330">
        <f t="shared" si="214"/>
        <v>0.5</v>
      </c>
      <c r="Q254" s="330">
        <f t="shared" si="214"/>
        <v>0.5</v>
      </c>
      <c r="R254" s="330">
        <f t="shared" si="214"/>
        <v>0.5</v>
      </c>
      <c r="S254" s="330">
        <f t="shared" si="214"/>
        <v>0.5</v>
      </c>
      <c r="T254" s="330">
        <f t="shared" si="214"/>
        <v>0.5</v>
      </c>
      <c r="U254" s="330">
        <f t="shared" si="214"/>
        <v>0.5</v>
      </c>
      <c r="V254" s="430"/>
      <c r="W254" s="200" t="str">
        <f t="shared" si="183"/>
        <v>Large</v>
      </c>
      <c r="X254" s="198" t="str">
        <f t="shared" si="182"/>
        <v>Dynamic Pricing with enabling tech.Large</v>
      </c>
      <c r="Y254" s="157" t="b">
        <f>ISNUMBER(MATCH(X254,'ProCESS CSE'!W:W,0))</f>
        <v>0</v>
      </c>
      <c r="Z254" s="157"/>
      <c r="AA254" s="157"/>
      <c r="AB254" s="157"/>
      <c r="AC254" s="157"/>
      <c r="AD254" s="157"/>
      <c r="AE254" s="157"/>
      <c r="AF254" s="157"/>
      <c r="AG254" s="157"/>
      <c r="AH254" s="157"/>
      <c r="AI254" s="157"/>
      <c r="AJ254" s="157"/>
      <c r="AK254" s="157"/>
      <c r="AL254" s="157"/>
      <c r="AM254" s="157"/>
      <c r="AN254" s="157"/>
      <c r="AO254" s="157"/>
      <c r="AP254" s="157"/>
    </row>
    <row r="255" spans="1:42" ht="14.4" x14ac:dyDescent="0.25">
      <c r="A255" s="225" t="str">
        <f>'Participation Assumptions'!B256</f>
        <v>Dynamic Pricing with enabling tech.</v>
      </c>
      <c r="B255" s="225" t="s">
        <v>397</v>
      </c>
      <c r="C255" s="225" t="str">
        <f>'Participation Assumptions'!C256</f>
        <v>Interruptible Rider</v>
      </c>
      <c r="D255" s="225" t="str">
        <f>'Participation Assumptions'!D256</f>
        <v>Miscellaneous</v>
      </c>
      <c r="E255" s="330">
        <f t="shared" ref="E255:U255" si="215">1-E277</f>
        <v>0.5</v>
      </c>
      <c r="F255" s="330">
        <f t="shared" si="215"/>
        <v>0.5</v>
      </c>
      <c r="G255" s="330">
        <f t="shared" si="215"/>
        <v>0.5</v>
      </c>
      <c r="H255" s="330">
        <f t="shared" si="215"/>
        <v>0.5</v>
      </c>
      <c r="I255" s="330">
        <f t="shared" si="215"/>
        <v>0.5</v>
      </c>
      <c r="J255" s="330">
        <f t="shared" si="215"/>
        <v>0.5</v>
      </c>
      <c r="K255" s="330">
        <f t="shared" si="215"/>
        <v>0.5</v>
      </c>
      <c r="L255" s="330">
        <f t="shared" si="215"/>
        <v>0.5</v>
      </c>
      <c r="M255" s="330">
        <f t="shared" si="215"/>
        <v>0.5</v>
      </c>
      <c r="N255" s="330">
        <f t="shared" si="215"/>
        <v>0.5</v>
      </c>
      <c r="O255" s="330">
        <f t="shared" si="215"/>
        <v>0.5</v>
      </c>
      <c r="P255" s="330">
        <f t="shared" si="215"/>
        <v>0.5</v>
      </c>
      <c r="Q255" s="330">
        <f t="shared" si="215"/>
        <v>0.5</v>
      </c>
      <c r="R255" s="330">
        <f t="shared" si="215"/>
        <v>0.5</v>
      </c>
      <c r="S255" s="330">
        <f t="shared" si="215"/>
        <v>0.5</v>
      </c>
      <c r="T255" s="330">
        <f t="shared" si="215"/>
        <v>0.5</v>
      </c>
      <c r="U255" s="330">
        <f t="shared" si="215"/>
        <v>0.5</v>
      </c>
      <c r="V255" s="430"/>
      <c r="W255" s="200" t="str">
        <f t="shared" si="183"/>
        <v>Large</v>
      </c>
      <c r="X255" s="198" t="str">
        <f t="shared" si="182"/>
        <v>Dynamic Pricing with enabling tech.Large</v>
      </c>
      <c r="Y255" s="157" t="b">
        <f>ISNUMBER(MATCH(X255,'ProCESS CSE'!W:W,0))</f>
        <v>0</v>
      </c>
      <c r="Z255" s="157"/>
      <c r="AA255" s="157"/>
      <c r="AB255" s="157"/>
      <c r="AC255" s="157"/>
      <c r="AD255" s="157"/>
      <c r="AE255" s="157"/>
      <c r="AF255" s="157"/>
      <c r="AG255" s="157"/>
      <c r="AH255" s="157"/>
      <c r="AI255" s="157"/>
      <c r="AJ255" s="157"/>
      <c r="AK255" s="157"/>
      <c r="AL255" s="157"/>
      <c r="AM255" s="157"/>
      <c r="AN255" s="157"/>
      <c r="AO255" s="157"/>
      <c r="AP255" s="157"/>
    </row>
    <row r="256" spans="1:42" ht="14.4" x14ac:dyDescent="0.25">
      <c r="A256" s="225" t="str">
        <f>'Participation Assumptions'!B257</f>
        <v>Dynamic Pricing with enabling tech.</v>
      </c>
      <c r="B256" s="225" t="s">
        <v>397</v>
      </c>
      <c r="C256" s="225" t="str">
        <f>'Participation Assumptions'!C257</f>
        <v>Interruptible Rider</v>
      </c>
      <c r="D256" s="225" t="str">
        <f>'Participation Assumptions'!D257</f>
        <v>Retail Trade</v>
      </c>
      <c r="E256" s="330">
        <f t="shared" ref="E256:U256" si="216">1-E278</f>
        <v>0.5</v>
      </c>
      <c r="F256" s="330">
        <f t="shared" si="216"/>
        <v>0.5</v>
      </c>
      <c r="G256" s="330">
        <f t="shared" si="216"/>
        <v>0.5</v>
      </c>
      <c r="H256" s="330">
        <f t="shared" si="216"/>
        <v>0.5</v>
      </c>
      <c r="I256" s="330">
        <f t="shared" si="216"/>
        <v>0.5</v>
      </c>
      <c r="J256" s="330">
        <f t="shared" si="216"/>
        <v>0.5</v>
      </c>
      <c r="K256" s="330">
        <f t="shared" si="216"/>
        <v>0.5</v>
      </c>
      <c r="L256" s="330">
        <f t="shared" si="216"/>
        <v>0.5</v>
      </c>
      <c r="M256" s="330">
        <f t="shared" si="216"/>
        <v>0.5</v>
      </c>
      <c r="N256" s="330">
        <f t="shared" si="216"/>
        <v>0.5</v>
      </c>
      <c r="O256" s="330">
        <f t="shared" si="216"/>
        <v>0.5</v>
      </c>
      <c r="P256" s="330">
        <f t="shared" si="216"/>
        <v>0.5</v>
      </c>
      <c r="Q256" s="330">
        <f t="shared" si="216"/>
        <v>0.5</v>
      </c>
      <c r="R256" s="330">
        <f t="shared" si="216"/>
        <v>0.5</v>
      </c>
      <c r="S256" s="330">
        <f t="shared" si="216"/>
        <v>0.5</v>
      </c>
      <c r="T256" s="330">
        <f t="shared" si="216"/>
        <v>0.5</v>
      </c>
      <c r="U256" s="330">
        <f t="shared" si="216"/>
        <v>0.5</v>
      </c>
      <c r="V256" s="430"/>
      <c r="W256" s="200" t="str">
        <f t="shared" si="183"/>
        <v>Large</v>
      </c>
      <c r="X256" s="198" t="str">
        <f t="shared" si="182"/>
        <v>Dynamic Pricing with enabling tech.Large</v>
      </c>
      <c r="Y256" s="157" t="b">
        <f>ISNUMBER(MATCH(X256,'ProCESS CSE'!W:W,0))</f>
        <v>0</v>
      </c>
      <c r="Z256" s="157"/>
      <c r="AA256" s="157"/>
      <c r="AB256" s="157"/>
      <c r="AC256" s="157"/>
      <c r="AD256" s="157"/>
      <c r="AE256" s="157"/>
      <c r="AF256" s="157"/>
      <c r="AG256" s="157"/>
      <c r="AH256" s="157"/>
      <c r="AI256" s="157"/>
      <c r="AJ256" s="157"/>
      <c r="AK256" s="157"/>
      <c r="AL256" s="157"/>
      <c r="AM256" s="157"/>
      <c r="AN256" s="157"/>
      <c r="AO256" s="157"/>
      <c r="AP256" s="157"/>
    </row>
    <row r="257" spans="1:42" ht="14.4" x14ac:dyDescent="0.25">
      <c r="A257" s="225" t="str">
        <f>'Participation Assumptions'!B258</f>
        <v>Dynamic Pricing with enabling tech.</v>
      </c>
      <c r="B257" s="225" t="s">
        <v>397</v>
      </c>
      <c r="C257" s="225" t="str">
        <f>'Participation Assumptions'!C258</f>
        <v>Large Commercial</v>
      </c>
      <c r="D257" s="225" t="str">
        <f>'Participation Assumptions'!D258</f>
        <v>Offices</v>
      </c>
      <c r="E257" s="330">
        <f t="shared" ref="E257:U257" si="217">1-E279</f>
        <v>0.5</v>
      </c>
      <c r="F257" s="330">
        <f t="shared" si="217"/>
        <v>0.5</v>
      </c>
      <c r="G257" s="330">
        <f t="shared" si="217"/>
        <v>0.5</v>
      </c>
      <c r="H257" s="330">
        <f t="shared" si="217"/>
        <v>0.5</v>
      </c>
      <c r="I257" s="330">
        <f t="shared" si="217"/>
        <v>0.5</v>
      </c>
      <c r="J257" s="330">
        <f t="shared" si="217"/>
        <v>0.5</v>
      </c>
      <c r="K257" s="330">
        <f t="shared" si="217"/>
        <v>0.5</v>
      </c>
      <c r="L257" s="330">
        <f t="shared" si="217"/>
        <v>0.5</v>
      </c>
      <c r="M257" s="330">
        <f t="shared" si="217"/>
        <v>0.5</v>
      </c>
      <c r="N257" s="330">
        <f t="shared" si="217"/>
        <v>0.5</v>
      </c>
      <c r="O257" s="330">
        <f t="shared" si="217"/>
        <v>0.5</v>
      </c>
      <c r="P257" s="330">
        <f t="shared" si="217"/>
        <v>0.5</v>
      </c>
      <c r="Q257" s="330">
        <f t="shared" si="217"/>
        <v>0.5</v>
      </c>
      <c r="R257" s="330">
        <f t="shared" si="217"/>
        <v>0.5</v>
      </c>
      <c r="S257" s="330">
        <f t="shared" si="217"/>
        <v>0.5</v>
      </c>
      <c r="T257" s="330">
        <f t="shared" si="217"/>
        <v>0.5</v>
      </c>
      <c r="U257" s="330">
        <f t="shared" si="217"/>
        <v>0.5</v>
      </c>
      <c r="V257" s="430"/>
      <c r="W257" s="200" t="str">
        <f t="shared" si="183"/>
        <v>Large</v>
      </c>
      <c r="X257" s="198" t="str">
        <f t="shared" si="182"/>
        <v>Dynamic Pricing with enabling tech.Large</v>
      </c>
      <c r="Y257" s="157" t="b">
        <f>ISNUMBER(MATCH(X257,'ProCESS CSE'!W:W,0))</f>
        <v>0</v>
      </c>
      <c r="Z257" s="157"/>
      <c r="AA257" s="157"/>
      <c r="AB257" s="157"/>
      <c r="AC257" s="157"/>
      <c r="AD257" s="157"/>
      <c r="AE257" s="157"/>
      <c r="AF257" s="157"/>
      <c r="AG257" s="157"/>
      <c r="AH257" s="157"/>
      <c r="AI257" s="157"/>
      <c r="AJ257" s="157"/>
      <c r="AK257" s="157"/>
      <c r="AL257" s="157"/>
      <c r="AM257" s="157"/>
      <c r="AN257" s="157"/>
      <c r="AO257" s="157"/>
      <c r="AP257" s="157"/>
    </row>
    <row r="258" spans="1:42" ht="14.4" x14ac:dyDescent="0.25">
      <c r="A258" s="225" t="str">
        <f>'Participation Assumptions'!B259</f>
        <v>Dynamic Pricing with enabling tech.</v>
      </c>
      <c r="B258" s="225" t="s">
        <v>397</v>
      </c>
      <c r="C258" s="225" t="str">
        <f>'Participation Assumptions'!C259</f>
        <v>Large Commercial</v>
      </c>
      <c r="D258" s="225" t="str">
        <f>'Participation Assumptions'!D259</f>
        <v>Services</v>
      </c>
      <c r="E258" s="330">
        <f t="shared" ref="E258:U258" si="218">1-E280</f>
        <v>0.5</v>
      </c>
      <c r="F258" s="330">
        <f t="shared" si="218"/>
        <v>0.5</v>
      </c>
      <c r="G258" s="330">
        <f t="shared" si="218"/>
        <v>0.5</v>
      </c>
      <c r="H258" s="330">
        <f t="shared" si="218"/>
        <v>0.5</v>
      </c>
      <c r="I258" s="330">
        <f t="shared" si="218"/>
        <v>0.5</v>
      </c>
      <c r="J258" s="330">
        <f t="shared" si="218"/>
        <v>0.5</v>
      </c>
      <c r="K258" s="330">
        <f t="shared" si="218"/>
        <v>0.5</v>
      </c>
      <c r="L258" s="330">
        <f t="shared" si="218"/>
        <v>0.5</v>
      </c>
      <c r="M258" s="330">
        <f t="shared" si="218"/>
        <v>0.5</v>
      </c>
      <c r="N258" s="330">
        <f t="shared" si="218"/>
        <v>0.5</v>
      </c>
      <c r="O258" s="330">
        <f t="shared" si="218"/>
        <v>0.5</v>
      </c>
      <c r="P258" s="330">
        <f t="shared" si="218"/>
        <v>0.5</v>
      </c>
      <c r="Q258" s="330">
        <f t="shared" si="218"/>
        <v>0.5</v>
      </c>
      <c r="R258" s="330">
        <f t="shared" si="218"/>
        <v>0.5</v>
      </c>
      <c r="S258" s="330">
        <f t="shared" si="218"/>
        <v>0.5</v>
      </c>
      <c r="T258" s="330">
        <f t="shared" si="218"/>
        <v>0.5</v>
      </c>
      <c r="U258" s="330">
        <f t="shared" si="218"/>
        <v>0.5</v>
      </c>
      <c r="V258" s="430"/>
      <c r="W258" s="200" t="str">
        <f t="shared" si="183"/>
        <v>Large</v>
      </c>
      <c r="X258" s="198" t="str">
        <f t="shared" si="182"/>
        <v>Dynamic Pricing with enabling tech.Large</v>
      </c>
      <c r="Y258" s="157" t="b">
        <f>ISNUMBER(MATCH(X258,'ProCESS CSE'!W:W,0))</f>
        <v>0</v>
      </c>
      <c r="Z258" s="157"/>
      <c r="AA258" s="157"/>
      <c r="AB258" s="157"/>
      <c r="AC258" s="157"/>
      <c r="AD258" s="157"/>
      <c r="AE258" s="157"/>
      <c r="AF258" s="157"/>
      <c r="AG258" s="157"/>
      <c r="AH258" s="157"/>
      <c r="AI258" s="157"/>
      <c r="AJ258" s="157"/>
      <c r="AK258" s="157"/>
      <c r="AL258" s="157"/>
      <c r="AM258" s="157"/>
      <c r="AN258" s="157"/>
      <c r="AO258" s="157"/>
      <c r="AP258" s="157"/>
    </row>
    <row r="259" spans="1:42" ht="14.4" x14ac:dyDescent="0.25">
      <c r="A259" s="225" t="str">
        <f>'Participation Assumptions'!B260</f>
        <v>Dynamic Pricing with enabling tech.</v>
      </c>
      <c r="B259" s="225" t="s">
        <v>397</v>
      </c>
      <c r="C259" s="225" t="str">
        <f>'Participation Assumptions'!C260</f>
        <v>Large Industrial</v>
      </c>
      <c r="D259" s="225" t="str">
        <f>'Participation Assumptions'!D260</f>
        <v>Manufacturing</v>
      </c>
      <c r="E259" s="330">
        <f t="shared" ref="E259:U259" si="219">1-E281</f>
        <v>0.5</v>
      </c>
      <c r="F259" s="330">
        <f t="shared" si="219"/>
        <v>0.5</v>
      </c>
      <c r="G259" s="330">
        <f t="shared" si="219"/>
        <v>0.5</v>
      </c>
      <c r="H259" s="330">
        <f t="shared" si="219"/>
        <v>0.5</v>
      </c>
      <c r="I259" s="330">
        <f t="shared" si="219"/>
        <v>0.5</v>
      </c>
      <c r="J259" s="330">
        <f t="shared" si="219"/>
        <v>0.5</v>
      </c>
      <c r="K259" s="330">
        <f t="shared" si="219"/>
        <v>0.5</v>
      </c>
      <c r="L259" s="330">
        <f t="shared" si="219"/>
        <v>0.5</v>
      </c>
      <c r="M259" s="330">
        <f t="shared" si="219"/>
        <v>0.5</v>
      </c>
      <c r="N259" s="330">
        <f t="shared" si="219"/>
        <v>0.5</v>
      </c>
      <c r="O259" s="330">
        <f t="shared" si="219"/>
        <v>0.5</v>
      </c>
      <c r="P259" s="330">
        <f t="shared" si="219"/>
        <v>0.5</v>
      </c>
      <c r="Q259" s="330">
        <f t="shared" si="219"/>
        <v>0.5</v>
      </c>
      <c r="R259" s="330">
        <f t="shared" si="219"/>
        <v>0.5</v>
      </c>
      <c r="S259" s="330">
        <f t="shared" si="219"/>
        <v>0.5</v>
      </c>
      <c r="T259" s="330">
        <f t="shared" si="219"/>
        <v>0.5</v>
      </c>
      <c r="U259" s="330">
        <f t="shared" si="219"/>
        <v>0.5</v>
      </c>
      <c r="V259" s="430"/>
      <c r="W259" s="200" t="str">
        <f t="shared" si="183"/>
        <v>Large</v>
      </c>
      <c r="X259" s="198" t="str">
        <f t="shared" si="182"/>
        <v>Dynamic Pricing with enabling tech.Large</v>
      </c>
      <c r="Y259" s="157" t="b">
        <f>ISNUMBER(MATCH(X259,'ProCESS CSE'!W:W,0))</f>
        <v>0</v>
      </c>
      <c r="Z259" s="157"/>
      <c r="AA259" s="157"/>
      <c r="AB259" s="157"/>
      <c r="AC259" s="157"/>
      <c r="AD259" s="157"/>
      <c r="AE259" s="157"/>
      <c r="AF259" s="157"/>
      <c r="AG259" s="157"/>
      <c r="AH259" s="157"/>
      <c r="AI259" s="157"/>
      <c r="AJ259" s="157"/>
      <c r="AK259" s="157"/>
      <c r="AL259" s="157"/>
      <c r="AM259" s="157"/>
      <c r="AN259" s="157"/>
      <c r="AO259" s="157"/>
      <c r="AP259" s="157"/>
    </row>
    <row r="260" spans="1:42" ht="14.4" x14ac:dyDescent="0.25">
      <c r="A260" s="225" t="str">
        <f>'Participation Assumptions'!B261</f>
        <v>Dynamic Pricing with enabling tech.</v>
      </c>
      <c r="B260" s="225" t="s">
        <v>397</v>
      </c>
      <c r="C260" s="225" t="str">
        <f>'Participation Assumptions'!C261</f>
        <v>Large Industrial</v>
      </c>
      <c r="D260" s="225" t="str">
        <f>'Participation Assumptions'!D261</f>
        <v>Miscellaneous</v>
      </c>
      <c r="E260" s="330">
        <f t="shared" ref="E260:U260" si="220">1-E282</f>
        <v>0.5</v>
      </c>
      <c r="F260" s="330">
        <f t="shared" si="220"/>
        <v>0.5</v>
      </c>
      <c r="G260" s="330">
        <f t="shared" si="220"/>
        <v>0.5</v>
      </c>
      <c r="H260" s="330">
        <f t="shared" si="220"/>
        <v>0.5</v>
      </c>
      <c r="I260" s="330">
        <f t="shared" si="220"/>
        <v>0.5</v>
      </c>
      <c r="J260" s="330">
        <f t="shared" si="220"/>
        <v>0.5</v>
      </c>
      <c r="K260" s="330">
        <f t="shared" si="220"/>
        <v>0.5</v>
      </c>
      <c r="L260" s="330">
        <f t="shared" si="220"/>
        <v>0.5</v>
      </c>
      <c r="M260" s="330">
        <f t="shared" si="220"/>
        <v>0.5</v>
      </c>
      <c r="N260" s="330">
        <f t="shared" si="220"/>
        <v>0.5</v>
      </c>
      <c r="O260" s="330">
        <f t="shared" si="220"/>
        <v>0.5</v>
      </c>
      <c r="P260" s="330">
        <f t="shared" si="220"/>
        <v>0.5</v>
      </c>
      <c r="Q260" s="330">
        <f t="shared" si="220"/>
        <v>0.5</v>
      </c>
      <c r="R260" s="330">
        <f t="shared" si="220"/>
        <v>0.5</v>
      </c>
      <c r="S260" s="330">
        <f t="shared" si="220"/>
        <v>0.5</v>
      </c>
      <c r="T260" s="330">
        <f t="shared" si="220"/>
        <v>0.5</v>
      </c>
      <c r="U260" s="330">
        <f t="shared" si="220"/>
        <v>0.5</v>
      </c>
      <c r="V260" s="430"/>
      <c r="W260" s="200" t="str">
        <f t="shared" si="183"/>
        <v>Large</v>
      </c>
      <c r="X260" s="198" t="str">
        <f t="shared" ref="X260:X323" si="221">_xlfn.CONCAT(A260,W260)</f>
        <v>Dynamic Pricing with enabling tech.Large</v>
      </c>
      <c r="Y260" s="157" t="b">
        <f>ISNUMBER(MATCH(X260,'ProCESS CSE'!W:W,0))</f>
        <v>0</v>
      </c>
      <c r="Z260" s="157"/>
      <c r="AA260" s="157"/>
      <c r="AB260" s="157"/>
      <c r="AC260" s="157"/>
      <c r="AD260" s="157"/>
      <c r="AE260" s="157"/>
      <c r="AF260" s="157"/>
      <c r="AG260" s="157"/>
      <c r="AH260" s="157"/>
      <c r="AI260" s="157"/>
      <c r="AJ260" s="157"/>
      <c r="AK260" s="157"/>
      <c r="AL260" s="157"/>
      <c r="AM260" s="157"/>
      <c r="AN260" s="157"/>
      <c r="AO260" s="157"/>
      <c r="AP260" s="157"/>
    </row>
    <row r="261" spans="1:42" ht="14.4" x14ac:dyDescent="0.25">
      <c r="A261" s="225" t="str">
        <f>'Participation Assumptions'!B262</f>
        <v>Dynamic Pricing with enabling tech.</v>
      </c>
      <c r="B261" s="225" t="s">
        <v>397</v>
      </c>
      <c r="C261" s="225" t="str">
        <f>'Participation Assumptions'!C262</f>
        <v>Large Industrial</v>
      </c>
      <c r="D261" s="225" t="str">
        <f>'Participation Assumptions'!D262</f>
        <v>Offices</v>
      </c>
      <c r="E261" s="330">
        <f t="shared" ref="E261:U261" si="222">1-E283</f>
        <v>0.5</v>
      </c>
      <c r="F261" s="330">
        <f t="shared" si="222"/>
        <v>0.5</v>
      </c>
      <c r="G261" s="330">
        <f t="shared" si="222"/>
        <v>0.5</v>
      </c>
      <c r="H261" s="330">
        <f t="shared" si="222"/>
        <v>0.5</v>
      </c>
      <c r="I261" s="330">
        <f t="shared" si="222"/>
        <v>0.5</v>
      </c>
      <c r="J261" s="330">
        <f t="shared" si="222"/>
        <v>0.5</v>
      </c>
      <c r="K261" s="330">
        <f t="shared" si="222"/>
        <v>0.5</v>
      </c>
      <c r="L261" s="330">
        <f t="shared" si="222"/>
        <v>0.5</v>
      </c>
      <c r="M261" s="330">
        <f t="shared" si="222"/>
        <v>0.5</v>
      </c>
      <c r="N261" s="330">
        <f t="shared" si="222"/>
        <v>0.5</v>
      </c>
      <c r="O261" s="330">
        <f t="shared" si="222"/>
        <v>0.5</v>
      </c>
      <c r="P261" s="330">
        <f t="shared" si="222"/>
        <v>0.5</v>
      </c>
      <c r="Q261" s="330">
        <f t="shared" si="222"/>
        <v>0.5</v>
      </c>
      <c r="R261" s="330">
        <f t="shared" si="222"/>
        <v>0.5</v>
      </c>
      <c r="S261" s="330">
        <f t="shared" si="222"/>
        <v>0.5</v>
      </c>
      <c r="T261" s="330">
        <f t="shared" si="222"/>
        <v>0.5</v>
      </c>
      <c r="U261" s="330">
        <f t="shared" si="222"/>
        <v>0.5</v>
      </c>
      <c r="V261" s="430"/>
      <c r="W261" s="200" t="str">
        <f t="shared" ref="W261:W324" si="223">TRIM(IF(ISNUMBER(SEARCH("Interruptible", C261)), "Large", IFERROR(LEFT(C261,SEARCH(" ",C261)), C261)))</f>
        <v>Large</v>
      </c>
      <c r="X261" s="198" t="str">
        <f t="shared" si="221"/>
        <v>Dynamic Pricing with enabling tech.Large</v>
      </c>
      <c r="Y261" s="157" t="b">
        <f>ISNUMBER(MATCH(X261,'ProCESS CSE'!W:W,0))</f>
        <v>0</v>
      </c>
      <c r="Z261" s="157"/>
      <c r="AA261" s="157"/>
      <c r="AB261" s="157"/>
      <c r="AC261" s="157"/>
      <c r="AD261" s="157"/>
      <c r="AE261" s="157"/>
      <c r="AF261" s="157"/>
      <c r="AG261" s="157"/>
      <c r="AH261" s="157"/>
      <c r="AI261" s="157"/>
      <c r="AJ261" s="157"/>
      <c r="AK261" s="157"/>
      <c r="AL261" s="157"/>
      <c r="AM261" s="157"/>
      <c r="AN261" s="157"/>
      <c r="AO261" s="157"/>
      <c r="AP261" s="157"/>
    </row>
    <row r="262" spans="1:42" ht="14.4" x14ac:dyDescent="0.25">
      <c r="A262" s="225" t="str">
        <f>'Participation Assumptions'!B263</f>
        <v>Dynamic Pricing with enabling tech.</v>
      </c>
      <c r="B262" s="225" t="s">
        <v>397</v>
      </c>
      <c r="C262" s="225" t="str">
        <f>'Participation Assumptions'!C263</f>
        <v>Large Industrial</v>
      </c>
      <c r="D262" s="225" t="str">
        <f>'Participation Assumptions'!D263</f>
        <v>Retail Trade</v>
      </c>
      <c r="E262" s="330">
        <f t="shared" ref="E262:U262" si="224">1-E284</f>
        <v>0.5</v>
      </c>
      <c r="F262" s="330">
        <f t="shared" si="224"/>
        <v>0.5</v>
      </c>
      <c r="G262" s="330">
        <f t="shared" si="224"/>
        <v>0.5</v>
      </c>
      <c r="H262" s="330">
        <f t="shared" si="224"/>
        <v>0.5</v>
      </c>
      <c r="I262" s="330">
        <f t="shared" si="224"/>
        <v>0.5</v>
      </c>
      <c r="J262" s="330">
        <f t="shared" si="224"/>
        <v>0.5</v>
      </c>
      <c r="K262" s="330">
        <f t="shared" si="224"/>
        <v>0.5</v>
      </c>
      <c r="L262" s="330">
        <f t="shared" si="224"/>
        <v>0.5</v>
      </c>
      <c r="M262" s="330">
        <f t="shared" si="224"/>
        <v>0.5</v>
      </c>
      <c r="N262" s="330">
        <f t="shared" si="224"/>
        <v>0.5</v>
      </c>
      <c r="O262" s="330">
        <f t="shared" si="224"/>
        <v>0.5</v>
      </c>
      <c r="P262" s="330">
        <f t="shared" si="224"/>
        <v>0.5</v>
      </c>
      <c r="Q262" s="330">
        <f t="shared" si="224"/>
        <v>0.5</v>
      </c>
      <c r="R262" s="330">
        <f t="shared" si="224"/>
        <v>0.5</v>
      </c>
      <c r="S262" s="330">
        <f t="shared" si="224"/>
        <v>0.5</v>
      </c>
      <c r="T262" s="330">
        <f t="shared" si="224"/>
        <v>0.5</v>
      </c>
      <c r="U262" s="330">
        <f t="shared" si="224"/>
        <v>0.5</v>
      </c>
      <c r="V262" s="430"/>
      <c r="W262" s="200" t="str">
        <f t="shared" si="223"/>
        <v>Large</v>
      </c>
      <c r="X262" s="198" t="str">
        <f t="shared" si="221"/>
        <v>Dynamic Pricing with enabling tech.Large</v>
      </c>
      <c r="Y262" s="157" t="b">
        <f>ISNUMBER(MATCH(X262,'ProCESS CSE'!W:W,0))</f>
        <v>0</v>
      </c>
      <c r="Z262" s="157"/>
      <c r="AA262" s="157"/>
      <c r="AB262" s="157"/>
      <c r="AC262" s="157"/>
      <c r="AD262" s="157"/>
      <c r="AE262" s="157"/>
      <c r="AF262" s="157"/>
      <c r="AG262" s="157"/>
      <c r="AH262" s="157"/>
      <c r="AI262" s="157"/>
      <c r="AJ262" s="157"/>
      <c r="AK262" s="157"/>
      <c r="AL262" s="157"/>
      <c r="AM262" s="157"/>
      <c r="AN262" s="157"/>
      <c r="AO262" s="157"/>
      <c r="AP262" s="157"/>
    </row>
    <row r="263" spans="1:42" ht="14.4" x14ac:dyDescent="0.25">
      <c r="A263" s="225" t="str">
        <f>'Participation Assumptions'!B264</f>
        <v>Dynamic Pricing with enabling tech.</v>
      </c>
      <c r="B263" s="225" t="s">
        <v>397</v>
      </c>
      <c r="C263" s="225" t="str">
        <f>'Participation Assumptions'!C264</f>
        <v>Large Industrial</v>
      </c>
      <c r="D263" s="225" t="str">
        <f>'Participation Assumptions'!D264</f>
        <v>Services</v>
      </c>
      <c r="E263" s="330">
        <f t="shared" ref="E263:U263" si="225">1-E285</f>
        <v>0.5</v>
      </c>
      <c r="F263" s="330">
        <f t="shared" si="225"/>
        <v>0.5</v>
      </c>
      <c r="G263" s="330">
        <f t="shared" si="225"/>
        <v>0.5</v>
      </c>
      <c r="H263" s="330">
        <f t="shared" si="225"/>
        <v>0.5</v>
      </c>
      <c r="I263" s="330">
        <f t="shared" si="225"/>
        <v>0.5</v>
      </c>
      <c r="J263" s="330">
        <f t="shared" si="225"/>
        <v>0.5</v>
      </c>
      <c r="K263" s="330">
        <f t="shared" si="225"/>
        <v>0.5</v>
      </c>
      <c r="L263" s="330">
        <f t="shared" si="225"/>
        <v>0.5</v>
      </c>
      <c r="M263" s="330">
        <f t="shared" si="225"/>
        <v>0.5</v>
      </c>
      <c r="N263" s="330">
        <f t="shared" si="225"/>
        <v>0.5</v>
      </c>
      <c r="O263" s="330">
        <f t="shared" si="225"/>
        <v>0.5</v>
      </c>
      <c r="P263" s="330">
        <f t="shared" si="225"/>
        <v>0.5</v>
      </c>
      <c r="Q263" s="330">
        <f t="shared" si="225"/>
        <v>0.5</v>
      </c>
      <c r="R263" s="330">
        <f t="shared" si="225"/>
        <v>0.5</v>
      </c>
      <c r="S263" s="330">
        <f t="shared" si="225"/>
        <v>0.5</v>
      </c>
      <c r="T263" s="330">
        <f t="shared" si="225"/>
        <v>0.5</v>
      </c>
      <c r="U263" s="330">
        <f t="shared" si="225"/>
        <v>0.5</v>
      </c>
      <c r="V263" s="430"/>
      <c r="W263" s="200" t="str">
        <f t="shared" si="223"/>
        <v>Large</v>
      </c>
      <c r="X263" s="198" t="str">
        <f t="shared" si="221"/>
        <v>Dynamic Pricing with enabling tech.Large</v>
      </c>
      <c r="Y263" s="157" t="b">
        <f>ISNUMBER(MATCH(X263,'ProCESS CSE'!W:W,0))</f>
        <v>0</v>
      </c>
      <c r="Z263" s="157"/>
      <c r="AA263" s="157"/>
      <c r="AB263" s="157"/>
      <c r="AC263" s="157"/>
      <c r="AD263" s="157"/>
      <c r="AE263" s="157"/>
      <c r="AF263" s="157"/>
      <c r="AG263" s="157"/>
      <c r="AH263" s="157"/>
      <c r="AI263" s="157"/>
      <c r="AJ263" s="157"/>
      <c r="AK263" s="157"/>
      <c r="AL263" s="157"/>
      <c r="AM263" s="157"/>
      <c r="AN263" s="157"/>
      <c r="AO263" s="157"/>
      <c r="AP263" s="157"/>
    </row>
    <row r="264" spans="1:42" ht="14.4" x14ac:dyDescent="0.25">
      <c r="A264" s="225" t="str">
        <f>'Participation Assumptions'!B265</f>
        <v>Dynamic Pricing with enabling tech.</v>
      </c>
      <c r="B264" s="225" t="s">
        <v>397</v>
      </c>
      <c r="C264" s="225" t="str">
        <f>'Participation Assumptions'!C265</f>
        <v>Residential</v>
      </c>
      <c r="D264" s="225" t="str">
        <f>'Participation Assumptions'!D265</f>
        <v>Residential LI</v>
      </c>
      <c r="E264" s="330">
        <f t="shared" ref="E264:F266" si="226">IFERROR((F264/G264)*F264,0)</f>
        <v>3.3183243261919156E-3</v>
      </c>
      <c r="F264" s="330">
        <f t="shared" si="226"/>
        <v>5.1952084498755394E-3</v>
      </c>
      <c r="G264" s="330">
        <f>AVERAGEIF('ProCESS CSE'!$W:$W,'Control Strategy Eligibility'!$X264,'ProCESS CSE'!P:P)</f>
        <v>8.133680793230947E-3</v>
      </c>
      <c r="H264" s="330">
        <f>AVERAGEIF('ProCESS CSE'!$W:$W,'Control Strategy Eligibility'!$X264,'ProCESS CSE'!Q:Q)</f>
        <v>1.2734188413124965E-2</v>
      </c>
      <c r="I264" s="330">
        <f>AVERAGEIF('ProCESS CSE'!$W:$W,'Control Strategy Eligibility'!$X264,'ProCESS CSE'!R:R)</f>
        <v>2.419153369741478E-2</v>
      </c>
      <c r="J264" s="330">
        <f>IFERROR(MIN(1,(I264/H264)*I264),0)</f>
        <v>4.5957408799603229E-2</v>
      </c>
      <c r="K264" s="330">
        <f t="shared" ref="K264:U264" si="227">IFERROR(MIN(1,(J264/I264)*J264),0)</f>
        <v>8.7306718540112876E-2</v>
      </c>
      <c r="L264" s="330">
        <f t="shared" si="227"/>
        <v>0.16585928800903801</v>
      </c>
      <c r="M264" s="330">
        <f t="shared" si="227"/>
        <v>0.31508804681767916</v>
      </c>
      <c r="N264" s="330">
        <f t="shared" si="227"/>
        <v>0.59858256018782607</v>
      </c>
      <c r="O264" s="330">
        <f t="shared" si="227"/>
        <v>1</v>
      </c>
      <c r="P264" s="330">
        <f t="shared" si="227"/>
        <v>1</v>
      </c>
      <c r="Q264" s="330">
        <f t="shared" si="227"/>
        <v>1</v>
      </c>
      <c r="R264" s="330">
        <f t="shared" si="227"/>
        <v>1</v>
      </c>
      <c r="S264" s="330">
        <f t="shared" si="227"/>
        <v>1</v>
      </c>
      <c r="T264" s="330">
        <f t="shared" si="227"/>
        <v>1</v>
      </c>
      <c r="U264" s="330">
        <f t="shared" si="227"/>
        <v>1</v>
      </c>
      <c r="V264" s="328" t="s">
        <v>312</v>
      </c>
      <c r="W264" s="200" t="str">
        <f t="shared" si="223"/>
        <v>Residential</v>
      </c>
      <c r="X264" s="198" t="str">
        <f t="shared" si="221"/>
        <v>Dynamic Pricing with enabling tech.Residential</v>
      </c>
      <c r="Y264" s="157" t="b">
        <f>ISNUMBER(MATCH(X264,'ProCESS CSE'!W:W,0))</f>
        <v>1</v>
      </c>
      <c r="Z264" s="157"/>
      <c r="AA264" s="157"/>
      <c r="AB264" s="157"/>
      <c r="AC264" s="157"/>
      <c r="AD264" s="157"/>
      <c r="AE264" s="157"/>
      <c r="AF264" s="157"/>
      <c r="AG264" s="157"/>
      <c r="AH264" s="157"/>
      <c r="AI264" s="157"/>
      <c r="AJ264" s="157"/>
      <c r="AK264" s="157"/>
      <c r="AL264" s="157"/>
      <c r="AM264" s="157"/>
      <c r="AN264" s="157"/>
      <c r="AO264" s="157"/>
      <c r="AP264" s="157"/>
    </row>
    <row r="265" spans="1:42" ht="14.4" x14ac:dyDescent="0.25">
      <c r="A265" s="225" t="str">
        <f>'Participation Assumptions'!B266</f>
        <v>Dynamic Pricing with enabling tech.</v>
      </c>
      <c r="B265" s="225" t="s">
        <v>397</v>
      </c>
      <c r="C265" s="225" t="str">
        <f>'Participation Assumptions'!C266</f>
        <v>Residential</v>
      </c>
      <c r="D265" s="225" t="str">
        <f>'Participation Assumptions'!D266</f>
        <v>Residential Market Rate</v>
      </c>
      <c r="E265" s="330">
        <f t="shared" si="226"/>
        <v>3.3183243261919156E-3</v>
      </c>
      <c r="F265" s="330">
        <f t="shared" si="226"/>
        <v>5.1952084498755394E-3</v>
      </c>
      <c r="G265" s="330">
        <f>AVERAGEIF('ProCESS CSE'!$W:$W,'Control Strategy Eligibility'!$X265,'ProCESS CSE'!P:P)</f>
        <v>8.133680793230947E-3</v>
      </c>
      <c r="H265" s="330">
        <f>AVERAGEIF('ProCESS CSE'!$W:$W,'Control Strategy Eligibility'!$X265,'ProCESS CSE'!Q:Q)</f>
        <v>1.2734188413124965E-2</v>
      </c>
      <c r="I265" s="330">
        <f>AVERAGEIF('ProCESS CSE'!$W:$W,'Control Strategy Eligibility'!$X265,'ProCESS CSE'!R:R)</f>
        <v>2.419153369741478E-2</v>
      </c>
      <c r="J265" s="330">
        <f>IFERROR(MIN(1,(I265/H265)*I265),0)</f>
        <v>4.5957408799603229E-2</v>
      </c>
      <c r="K265" s="330">
        <f t="shared" ref="K265:U265" si="228">IFERROR(MIN(1,(J265/I265)*J265),0)</f>
        <v>8.7306718540112876E-2</v>
      </c>
      <c r="L265" s="330">
        <f t="shared" si="228"/>
        <v>0.16585928800903801</v>
      </c>
      <c r="M265" s="330">
        <f t="shared" si="228"/>
        <v>0.31508804681767916</v>
      </c>
      <c r="N265" s="330">
        <f t="shared" si="228"/>
        <v>0.59858256018782607</v>
      </c>
      <c r="O265" s="330">
        <f t="shared" si="228"/>
        <v>1</v>
      </c>
      <c r="P265" s="330">
        <f t="shared" si="228"/>
        <v>1</v>
      </c>
      <c r="Q265" s="330">
        <f t="shared" si="228"/>
        <v>1</v>
      </c>
      <c r="R265" s="330">
        <f t="shared" si="228"/>
        <v>1</v>
      </c>
      <c r="S265" s="330">
        <f t="shared" si="228"/>
        <v>1</v>
      </c>
      <c r="T265" s="330">
        <f t="shared" si="228"/>
        <v>1</v>
      </c>
      <c r="U265" s="330">
        <f t="shared" si="228"/>
        <v>1</v>
      </c>
      <c r="V265" s="328" t="s">
        <v>312</v>
      </c>
      <c r="W265" s="200" t="str">
        <f t="shared" si="223"/>
        <v>Residential</v>
      </c>
      <c r="X265" s="198" t="str">
        <f t="shared" si="221"/>
        <v>Dynamic Pricing with enabling tech.Residential</v>
      </c>
      <c r="Y265" s="157" t="b">
        <f>ISNUMBER(MATCH(X265,'ProCESS CSE'!W:W,0))</f>
        <v>1</v>
      </c>
      <c r="Z265" s="157"/>
      <c r="AA265" s="157"/>
      <c r="AB265" s="157"/>
      <c r="AC265" s="157"/>
      <c r="AD265" s="157"/>
      <c r="AE265" s="157"/>
      <c r="AF265" s="157"/>
      <c r="AG265" s="157"/>
      <c r="AH265" s="157"/>
      <c r="AI265" s="157"/>
      <c r="AJ265" s="157"/>
      <c r="AK265" s="157"/>
      <c r="AL265" s="157"/>
      <c r="AM265" s="157"/>
      <c r="AN265" s="157"/>
      <c r="AO265" s="157"/>
      <c r="AP265" s="157"/>
    </row>
    <row r="266" spans="1:42" ht="14.55" customHeight="1" x14ac:dyDescent="0.25">
      <c r="A266" s="225" t="str">
        <f>'Participation Assumptions'!B267</f>
        <v>Dynamic Pricing with enabling tech.</v>
      </c>
      <c r="B266" s="225" t="s">
        <v>397</v>
      </c>
      <c r="C266" s="225" t="str">
        <f>'Participation Assumptions'!C267</f>
        <v>Small Commercial</v>
      </c>
      <c r="D266" s="225" t="str">
        <f>'Participation Assumptions'!D267</f>
        <v>Manufacturing</v>
      </c>
      <c r="E266" s="330">
        <f t="shared" si="226"/>
        <v>1.4534675041933419E-2</v>
      </c>
      <c r="F266" s="330">
        <f t="shared" si="226"/>
        <v>1.5244854047336337E-2</v>
      </c>
      <c r="G266" s="330">
        <f>AVERAGEIF('ProCESS CSE'!$W:$W,'Control Strategy Eligibility'!$X266,'ProCESS CSE'!P:P)</f>
        <v>1.5989733121248524E-2</v>
      </c>
      <c r="H266" s="330">
        <f>AVERAGEIF('ProCESS CSE'!$W:$W,'Control Strategy Eligibility'!$X266,'ProCESS CSE'!Q:Q)</f>
        <v>1.6771007744309917E-2</v>
      </c>
      <c r="I266" s="330">
        <f>AVERAGEIF('ProCESS CSE'!$W:$W,'Control Strategy Eligibility'!$X266,'ProCESS CSE'!R:R)</f>
        <v>1.8656858652641269E-2</v>
      </c>
      <c r="J266" s="330">
        <f>IFERROR(MIN(1,(I266/H266)*I266),0)</f>
        <v>2.0754767995544678E-2</v>
      </c>
      <c r="K266" s="330">
        <f t="shared" ref="K266:U266" si="229">IFERROR(MIN(1,(J266/I266)*J266),0)</f>
        <v>2.3088581125520962E-2</v>
      </c>
      <c r="L266" s="330">
        <f t="shared" si="229"/>
        <v>2.568482473541487E-2</v>
      </c>
      <c r="M266" s="330">
        <f t="shared" si="229"/>
        <v>2.8573008367316639E-2</v>
      </c>
      <c r="N266" s="330">
        <f t="shared" si="229"/>
        <v>3.178595982526021E-2</v>
      </c>
      <c r="O266" s="330">
        <f t="shared" si="229"/>
        <v>3.5360198304101087E-2</v>
      </c>
      <c r="P266" s="330">
        <f t="shared" si="229"/>
        <v>3.9336349475648333E-2</v>
      </c>
      <c r="Q266" s="330">
        <f t="shared" si="229"/>
        <v>4.3759607250021475E-2</v>
      </c>
      <c r="R266" s="330">
        <f t="shared" si="229"/>
        <v>4.868024746072528E-2</v>
      </c>
      <c r="S266" s="330">
        <f t="shared" si="229"/>
        <v>5.4154199312113044E-2</v>
      </c>
      <c r="T266" s="330">
        <f t="shared" si="229"/>
        <v>6.0243681084450502E-2</v>
      </c>
      <c r="U266" s="330">
        <f t="shared" si="229"/>
        <v>6.701790732216012E-2</v>
      </c>
      <c r="V266" s="430" t="s">
        <v>312</v>
      </c>
      <c r="W266" s="200" t="str">
        <f t="shared" si="223"/>
        <v>Small</v>
      </c>
      <c r="X266" s="198" t="str">
        <f t="shared" si="221"/>
        <v>Dynamic Pricing with enabling tech.Small</v>
      </c>
      <c r="Y266" s="157" t="b">
        <f>ISNUMBER(MATCH(X266,'ProCESS CSE'!W:W,0))</f>
        <v>1</v>
      </c>
      <c r="Z266" s="157"/>
      <c r="AA266" s="157"/>
      <c r="AB266" s="157"/>
      <c r="AC266" s="157"/>
      <c r="AD266" s="157"/>
      <c r="AE266" s="157"/>
      <c r="AF266" s="157"/>
      <c r="AG266" s="157"/>
      <c r="AH266" s="157"/>
      <c r="AI266" s="157"/>
      <c r="AJ266" s="157"/>
      <c r="AK266" s="157"/>
      <c r="AL266" s="157"/>
      <c r="AM266" s="157"/>
      <c r="AN266" s="157"/>
      <c r="AO266" s="157"/>
      <c r="AP266" s="157"/>
    </row>
    <row r="267" spans="1:42" ht="14.4" x14ac:dyDescent="0.25">
      <c r="A267" s="225" t="str">
        <f>'Participation Assumptions'!B268</f>
        <v>Dynamic Pricing with enabling tech.</v>
      </c>
      <c r="B267" s="225" t="s">
        <v>397</v>
      </c>
      <c r="C267" s="225" t="str">
        <f>'Participation Assumptions'!C268</f>
        <v>Small Commercial</v>
      </c>
      <c r="D267" s="225" t="str">
        <f>'Participation Assumptions'!D268</f>
        <v>Miscellaneous</v>
      </c>
      <c r="E267" s="330">
        <f t="shared" ref="E267:E275" si="230">(F267/G267)*F267</f>
        <v>1.4534675041933419E-2</v>
      </c>
      <c r="F267" s="330">
        <f t="shared" ref="F267:F275" si="231">(G267/H267)*G267</f>
        <v>1.5244854047336337E-2</v>
      </c>
      <c r="G267" s="330">
        <f>AVERAGEIF('ProCESS CSE'!$W:$W,'Control Strategy Eligibility'!$X267,'ProCESS CSE'!P:P)</f>
        <v>1.5989733121248524E-2</v>
      </c>
      <c r="H267" s="330">
        <f>AVERAGEIF('ProCESS CSE'!$W:$W,'Control Strategy Eligibility'!$X267,'ProCESS CSE'!Q:Q)</f>
        <v>1.6771007744309917E-2</v>
      </c>
      <c r="I267" s="330">
        <f>AVERAGEIF('ProCESS CSE'!$W:$W,'Control Strategy Eligibility'!$X267,'ProCESS CSE'!R:R)</f>
        <v>1.8656858652641269E-2</v>
      </c>
      <c r="J267" s="330">
        <f t="shared" ref="J267:J275" si="232">MIN(1,(I267/H267)*I267)</f>
        <v>2.0754767995544678E-2</v>
      </c>
      <c r="K267" s="330">
        <f t="shared" ref="K267:K275" si="233">MIN(1,(J267/I267)*J267)</f>
        <v>2.3088581125520962E-2</v>
      </c>
      <c r="L267" s="330">
        <f t="shared" ref="L267:L275" si="234">MIN(1,(K267/J267)*K267)</f>
        <v>2.568482473541487E-2</v>
      </c>
      <c r="M267" s="330">
        <f t="shared" ref="M267:M275" si="235">MIN(1,(L267/K267)*L267)</f>
        <v>2.8573008367316639E-2</v>
      </c>
      <c r="N267" s="330">
        <f t="shared" ref="N267:N275" si="236">MIN(1,(M267/L267)*M267)</f>
        <v>3.178595982526021E-2</v>
      </c>
      <c r="O267" s="330">
        <f t="shared" ref="O267:O275" si="237">MIN(1,(N267/M267)*N267)</f>
        <v>3.5360198304101087E-2</v>
      </c>
      <c r="P267" s="330">
        <f t="shared" ref="P267:P275" si="238">MIN(1,(O267/N267)*O267)</f>
        <v>3.9336349475648333E-2</v>
      </c>
      <c r="Q267" s="330">
        <f t="shared" ref="Q267:Q275" si="239">MIN(1,(P267/O267)*P267)</f>
        <v>4.3759607250021475E-2</v>
      </c>
      <c r="R267" s="330">
        <f t="shared" ref="R267:R275" si="240">MIN(1,(Q267/P267)*Q267)</f>
        <v>4.868024746072528E-2</v>
      </c>
      <c r="S267" s="330">
        <f t="shared" ref="S267:S275" si="241">MIN(1,(R267/Q267)*R267)</f>
        <v>5.4154199312113044E-2</v>
      </c>
      <c r="T267" s="330">
        <f t="shared" ref="T267:T275" si="242">MIN(1,(S267/R267)*S267)</f>
        <v>6.0243681084450502E-2</v>
      </c>
      <c r="U267" s="330">
        <f t="shared" ref="U267:U275" si="243">MIN(1,(T267/S267)*T267)</f>
        <v>6.701790732216012E-2</v>
      </c>
      <c r="V267" s="430"/>
      <c r="W267" s="200" t="str">
        <f t="shared" si="223"/>
        <v>Small</v>
      </c>
      <c r="X267" s="198" t="str">
        <f t="shared" si="221"/>
        <v>Dynamic Pricing with enabling tech.Small</v>
      </c>
      <c r="Y267" s="157" t="b">
        <f>ISNUMBER(MATCH(X267,'ProCESS CSE'!W:W,0))</f>
        <v>1</v>
      </c>
      <c r="Z267" s="157"/>
      <c r="AA267" s="157"/>
      <c r="AB267" s="157"/>
      <c r="AC267" s="157"/>
      <c r="AD267" s="157"/>
      <c r="AE267" s="157"/>
      <c r="AF267" s="157"/>
      <c r="AG267" s="157"/>
      <c r="AH267" s="157"/>
      <c r="AI267" s="157"/>
      <c r="AJ267" s="157"/>
      <c r="AK267" s="157"/>
      <c r="AL267" s="157"/>
      <c r="AM267" s="157"/>
      <c r="AN267" s="157"/>
      <c r="AO267" s="157"/>
      <c r="AP267" s="157"/>
    </row>
    <row r="268" spans="1:42" ht="14.4" x14ac:dyDescent="0.25">
      <c r="A268" s="225" t="str">
        <f>'Participation Assumptions'!B269</f>
        <v>Dynamic Pricing with enabling tech.</v>
      </c>
      <c r="B268" s="225" t="s">
        <v>397</v>
      </c>
      <c r="C268" s="225" t="str">
        <f>'Participation Assumptions'!C269</f>
        <v>Small Commercial</v>
      </c>
      <c r="D268" s="225" t="str">
        <f>'Participation Assumptions'!D269</f>
        <v>Offices</v>
      </c>
      <c r="E268" s="330">
        <f t="shared" si="230"/>
        <v>1.4534675041933419E-2</v>
      </c>
      <c r="F268" s="330">
        <f t="shared" si="231"/>
        <v>1.5244854047336337E-2</v>
      </c>
      <c r="G268" s="330">
        <f>AVERAGEIF('ProCESS CSE'!$W:$W,'Control Strategy Eligibility'!$X268,'ProCESS CSE'!P:P)</f>
        <v>1.5989733121248524E-2</v>
      </c>
      <c r="H268" s="330">
        <f>AVERAGEIF('ProCESS CSE'!$W:$W,'Control Strategy Eligibility'!$X268,'ProCESS CSE'!Q:Q)</f>
        <v>1.6771007744309917E-2</v>
      </c>
      <c r="I268" s="330">
        <f>AVERAGEIF('ProCESS CSE'!$W:$W,'Control Strategy Eligibility'!$X268,'ProCESS CSE'!R:R)</f>
        <v>1.8656858652641269E-2</v>
      </c>
      <c r="J268" s="330">
        <f t="shared" si="232"/>
        <v>2.0754767995544678E-2</v>
      </c>
      <c r="K268" s="330">
        <f t="shared" si="233"/>
        <v>2.3088581125520962E-2</v>
      </c>
      <c r="L268" s="330">
        <f t="shared" si="234"/>
        <v>2.568482473541487E-2</v>
      </c>
      <c r="M268" s="330">
        <f t="shared" si="235"/>
        <v>2.8573008367316639E-2</v>
      </c>
      <c r="N268" s="330">
        <f t="shared" si="236"/>
        <v>3.178595982526021E-2</v>
      </c>
      <c r="O268" s="330">
        <f t="shared" si="237"/>
        <v>3.5360198304101087E-2</v>
      </c>
      <c r="P268" s="330">
        <f t="shared" si="238"/>
        <v>3.9336349475648333E-2</v>
      </c>
      <c r="Q268" s="330">
        <f t="shared" si="239"/>
        <v>4.3759607250021475E-2</v>
      </c>
      <c r="R268" s="330">
        <f t="shared" si="240"/>
        <v>4.868024746072528E-2</v>
      </c>
      <c r="S268" s="330">
        <f t="shared" si="241"/>
        <v>5.4154199312113044E-2</v>
      </c>
      <c r="T268" s="330">
        <f t="shared" si="242"/>
        <v>6.0243681084450502E-2</v>
      </c>
      <c r="U268" s="330">
        <f t="shared" si="243"/>
        <v>6.701790732216012E-2</v>
      </c>
      <c r="V268" s="430"/>
      <c r="W268" s="200" t="str">
        <f t="shared" si="223"/>
        <v>Small</v>
      </c>
      <c r="X268" s="198" t="str">
        <f t="shared" si="221"/>
        <v>Dynamic Pricing with enabling tech.Small</v>
      </c>
      <c r="Y268" s="157" t="b">
        <f>ISNUMBER(MATCH(X268,'ProCESS CSE'!W:W,0))</f>
        <v>1</v>
      </c>
      <c r="Z268" s="157"/>
      <c r="AA268" s="157"/>
      <c r="AB268" s="157"/>
      <c r="AC268" s="157"/>
      <c r="AD268" s="157"/>
      <c r="AE268" s="157"/>
      <c r="AF268" s="157"/>
      <c r="AG268" s="157"/>
      <c r="AH268" s="157"/>
      <c r="AI268" s="157"/>
      <c r="AJ268" s="157"/>
      <c r="AK268" s="157"/>
      <c r="AL268" s="157"/>
      <c r="AM268" s="157"/>
      <c r="AN268" s="157"/>
      <c r="AO268" s="157"/>
      <c r="AP268" s="157"/>
    </row>
    <row r="269" spans="1:42" ht="14.4" x14ac:dyDescent="0.25">
      <c r="A269" s="225" t="str">
        <f>'Participation Assumptions'!B270</f>
        <v>Dynamic Pricing with enabling tech.</v>
      </c>
      <c r="B269" s="225" t="s">
        <v>397</v>
      </c>
      <c r="C269" s="225" t="str">
        <f>'Participation Assumptions'!C270</f>
        <v>Small Commercial</v>
      </c>
      <c r="D269" s="225" t="str">
        <f>'Participation Assumptions'!D270</f>
        <v>Retail Trade</v>
      </c>
      <c r="E269" s="330">
        <f t="shared" si="230"/>
        <v>1.4534675041933419E-2</v>
      </c>
      <c r="F269" s="330">
        <f t="shared" si="231"/>
        <v>1.5244854047336337E-2</v>
      </c>
      <c r="G269" s="330">
        <f>AVERAGEIF('ProCESS CSE'!$W:$W,'Control Strategy Eligibility'!$X269,'ProCESS CSE'!P:P)</f>
        <v>1.5989733121248524E-2</v>
      </c>
      <c r="H269" s="330">
        <f>AVERAGEIF('ProCESS CSE'!$W:$W,'Control Strategy Eligibility'!$X269,'ProCESS CSE'!Q:Q)</f>
        <v>1.6771007744309917E-2</v>
      </c>
      <c r="I269" s="330">
        <f>AVERAGEIF('ProCESS CSE'!$W:$W,'Control Strategy Eligibility'!$X269,'ProCESS CSE'!R:R)</f>
        <v>1.8656858652641269E-2</v>
      </c>
      <c r="J269" s="330">
        <f t="shared" si="232"/>
        <v>2.0754767995544678E-2</v>
      </c>
      <c r="K269" s="330">
        <f t="shared" si="233"/>
        <v>2.3088581125520962E-2</v>
      </c>
      <c r="L269" s="330">
        <f t="shared" si="234"/>
        <v>2.568482473541487E-2</v>
      </c>
      <c r="M269" s="330">
        <f t="shared" si="235"/>
        <v>2.8573008367316639E-2</v>
      </c>
      <c r="N269" s="330">
        <f t="shared" si="236"/>
        <v>3.178595982526021E-2</v>
      </c>
      <c r="O269" s="330">
        <f t="shared" si="237"/>
        <v>3.5360198304101087E-2</v>
      </c>
      <c r="P269" s="330">
        <f t="shared" si="238"/>
        <v>3.9336349475648333E-2</v>
      </c>
      <c r="Q269" s="330">
        <f t="shared" si="239"/>
        <v>4.3759607250021475E-2</v>
      </c>
      <c r="R269" s="330">
        <f t="shared" si="240"/>
        <v>4.868024746072528E-2</v>
      </c>
      <c r="S269" s="330">
        <f t="shared" si="241"/>
        <v>5.4154199312113044E-2</v>
      </c>
      <c r="T269" s="330">
        <f t="shared" si="242"/>
        <v>6.0243681084450502E-2</v>
      </c>
      <c r="U269" s="330">
        <f t="shared" si="243"/>
        <v>6.701790732216012E-2</v>
      </c>
      <c r="V269" s="430"/>
      <c r="W269" s="200" t="str">
        <f t="shared" si="223"/>
        <v>Small</v>
      </c>
      <c r="X269" s="198" t="str">
        <f t="shared" si="221"/>
        <v>Dynamic Pricing with enabling tech.Small</v>
      </c>
      <c r="Y269" s="157" t="b">
        <f>ISNUMBER(MATCH(X269,'ProCESS CSE'!W:W,0))</f>
        <v>1</v>
      </c>
      <c r="Z269" s="157"/>
      <c r="AA269" s="157"/>
      <c r="AB269" s="157"/>
      <c r="AC269" s="157"/>
      <c r="AD269" s="157"/>
      <c r="AE269" s="157"/>
      <c r="AF269" s="157"/>
      <c r="AG269" s="157"/>
      <c r="AH269" s="157"/>
      <c r="AI269" s="157"/>
      <c r="AJ269" s="157"/>
      <c r="AK269" s="157"/>
      <c r="AL269" s="157"/>
      <c r="AM269" s="157"/>
      <c r="AN269" s="157"/>
      <c r="AO269" s="157"/>
      <c r="AP269" s="157"/>
    </row>
    <row r="270" spans="1:42" ht="14.4" x14ac:dyDescent="0.25">
      <c r="A270" s="225" t="str">
        <f>'Participation Assumptions'!B271</f>
        <v>Dynamic Pricing with enabling tech.</v>
      </c>
      <c r="B270" s="225" t="s">
        <v>397</v>
      </c>
      <c r="C270" s="225" t="str">
        <f>'Participation Assumptions'!C271</f>
        <v>Small Commercial</v>
      </c>
      <c r="D270" s="225" t="str">
        <f>'Participation Assumptions'!D271</f>
        <v>Services</v>
      </c>
      <c r="E270" s="330">
        <f t="shared" si="230"/>
        <v>1.4534675041933419E-2</v>
      </c>
      <c r="F270" s="330">
        <f t="shared" si="231"/>
        <v>1.5244854047336337E-2</v>
      </c>
      <c r="G270" s="330">
        <f>AVERAGEIF('ProCESS CSE'!$W:$W,'Control Strategy Eligibility'!$X270,'ProCESS CSE'!P:P)</f>
        <v>1.5989733121248524E-2</v>
      </c>
      <c r="H270" s="330">
        <f>AVERAGEIF('ProCESS CSE'!$W:$W,'Control Strategy Eligibility'!$X270,'ProCESS CSE'!Q:Q)</f>
        <v>1.6771007744309917E-2</v>
      </c>
      <c r="I270" s="330">
        <f>AVERAGEIF('ProCESS CSE'!$W:$W,'Control Strategy Eligibility'!$X270,'ProCESS CSE'!R:R)</f>
        <v>1.8656858652641269E-2</v>
      </c>
      <c r="J270" s="330">
        <f t="shared" si="232"/>
        <v>2.0754767995544678E-2</v>
      </c>
      <c r="K270" s="330">
        <f t="shared" si="233"/>
        <v>2.3088581125520962E-2</v>
      </c>
      <c r="L270" s="330">
        <f t="shared" si="234"/>
        <v>2.568482473541487E-2</v>
      </c>
      <c r="M270" s="330">
        <f t="shared" si="235"/>
        <v>2.8573008367316639E-2</v>
      </c>
      <c r="N270" s="330">
        <f t="shared" si="236"/>
        <v>3.178595982526021E-2</v>
      </c>
      <c r="O270" s="330">
        <f t="shared" si="237"/>
        <v>3.5360198304101087E-2</v>
      </c>
      <c r="P270" s="330">
        <f t="shared" si="238"/>
        <v>3.9336349475648333E-2</v>
      </c>
      <c r="Q270" s="330">
        <f t="shared" si="239"/>
        <v>4.3759607250021475E-2</v>
      </c>
      <c r="R270" s="330">
        <f t="shared" si="240"/>
        <v>4.868024746072528E-2</v>
      </c>
      <c r="S270" s="330">
        <f t="shared" si="241"/>
        <v>5.4154199312113044E-2</v>
      </c>
      <c r="T270" s="330">
        <f t="shared" si="242"/>
        <v>6.0243681084450502E-2</v>
      </c>
      <c r="U270" s="330">
        <f t="shared" si="243"/>
        <v>6.701790732216012E-2</v>
      </c>
      <c r="V270" s="430"/>
      <c r="W270" s="200" t="str">
        <f t="shared" si="223"/>
        <v>Small</v>
      </c>
      <c r="X270" s="198" t="str">
        <f t="shared" si="221"/>
        <v>Dynamic Pricing with enabling tech.Small</v>
      </c>
      <c r="Y270" s="157" t="b">
        <f>ISNUMBER(MATCH(X270,'ProCESS CSE'!W:W,0))</f>
        <v>1</v>
      </c>
      <c r="Z270" s="157"/>
      <c r="AA270" s="157"/>
      <c r="AB270" s="157"/>
      <c r="AC270" s="157"/>
      <c r="AD270" s="157"/>
      <c r="AE270" s="157"/>
      <c r="AF270" s="157"/>
      <c r="AG270" s="157"/>
      <c r="AH270" s="157"/>
      <c r="AI270" s="157"/>
      <c r="AJ270" s="157"/>
      <c r="AK270" s="157"/>
      <c r="AL270" s="157"/>
      <c r="AM270" s="157"/>
      <c r="AN270" s="157"/>
      <c r="AO270" s="157"/>
      <c r="AP270" s="157"/>
    </row>
    <row r="271" spans="1:42" ht="14.4" x14ac:dyDescent="0.25">
      <c r="A271" s="225" t="str">
        <f>'Participation Assumptions'!B272</f>
        <v>Dynamic Pricing with enabling tech.</v>
      </c>
      <c r="B271" s="225" t="s">
        <v>397</v>
      </c>
      <c r="C271" s="225" t="str">
        <f>'Participation Assumptions'!C272</f>
        <v>Small Industrial</v>
      </c>
      <c r="D271" s="225" t="str">
        <f>'Participation Assumptions'!D272</f>
        <v>Manufacturing</v>
      </c>
      <c r="E271" s="330">
        <f t="shared" si="230"/>
        <v>1.4534675041933419E-2</v>
      </c>
      <c r="F271" s="330">
        <f t="shared" si="231"/>
        <v>1.5244854047336337E-2</v>
      </c>
      <c r="G271" s="330">
        <f>AVERAGEIF('ProCESS CSE'!$W:$W,'Control Strategy Eligibility'!$X271,'ProCESS CSE'!P:P)</f>
        <v>1.5989733121248524E-2</v>
      </c>
      <c r="H271" s="330">
        <f>AVERAGEIF('ProCESS CSE'!$W:$W,'Control Strategy Eligibility'!$X271,'ProCESS CSE'!Q:Q)</f>
        <v>1.6771007744309917E-2</v>
      </c>
      <c r="I271" s="330">
        <f>AVERAGEIF('ProCESS CSE'!$W:$W,'Control Strategy Eligibility'!$X271,'ProCESS CSE'!R:R)</f>
        <v>1.8656858652641269E-2</v>
      </c>
      <c r="J271" s="330">
        <f t="shared" si="232"/>
        <v>2.0754767995544678E-2</v>
      </c>
      <c r="K271" s="330">
        <f t="shared" si="233"/>
        <v>2.3088581125520962E-2</v>
      </c>
      <c r="L271" s="330">
        <f t="shared" si="234"/>
        <v>2.568482473541487E-2</v>
      </c>
      <c r="M271" s="330">
        <f t="shared" si="235"/>
        <v>2.8573008367316639E-2</v>
      </c>
      <c r="N271" s="330">
        <f t="shared" si="236"/>
        <v>3.178595982526021E-2</v>
      </c>
      <c r="O271" s="330">
        <f t="shared" si="237"/>
        <v>3.5360198304101087E-2</v>
      </c>
      <c r="P271" s="330">
        <f t="shared" si="238"/>
        <v>3.9336349475648333E-2</v>
      </c>
      <c r="Q271" s="330">
        <f t="shared" si="239"/>
        <v>4.3759607250021475E-2</v>
      </c>
      <c r="R271" s="330">
        <f t="shared" si="240"/>
        <v>4.868024746072528E-2</v>
      </c>
      <c r="S271" s="330">
        <f t="shared" si="241"/>
        <v>5.4154199312113044E-2</v>
      </c>
      <c r="T271" s="330">
        <f t="shared" si="242"/>
        <v>6.0243681084450502E-2</v>
      </c>
      <c r="U271" s="330">
        <f t="shared" si="243"/>
        <v>6.701790732216012E-2</v>
      </c>
      <c r="V271" s="430"/>
      <c r="W271" s="200" t="str">
        <f t="shared" si="223"/>
        <v>Small</v>
      </c>
      <c r="X271" s="198" t="str">
        <f t="shared" si="221"/>
        <v>Dynamic Pricing with enabling tech.Small</v>
      </c>
      <c r="Y271" s="157" t="b">
        <f>ISNUMBER(MATCH(X271,'ProCESS CSE'!W:W,0))</f>
        <v>1</v>
      </c>
      <c r="Z271" s="157"/>
      <c r="AA271" s="157"/>
      <c r="AB271" s="157"/>
      <c r="AC271" s="157"/>
      <c r="AD271" s="157"/>
      <c r="AE271" s="157"/>
      <c r="AF271" s="157"/>
      <c r="AG271" s="157"/>
      <c r="AH271" s="157"/>
      <c r="AI271" s="157"/>
      <c r="AJ271" s="157"/>
      <c r="AK271" s="157"/>
      <c r="AL271" s="157"/>
      <c r="AM271" s="157"/>
      <c r="AN271" s="157"/>
      <c r="AO271" s="157"/>
      <c r="AP271" s="157"/>
    </row>
    <row r="272" spans="1:42" ht="14.4" x14ac:dyDescent="0.25">
      <c r="A272" s="225" t="str">
        <f>'Participation Assumptions'!B273</f>
        <v>Dynamic Pricing with enabling tech.</v>
      </c>
      <c r="B272" s="225" t="s">
        <v>397</v>
      </c>
      <c r="C272" s="225" t="str">
        <f>'Participation Assumptions'!C273</f>
        <v>Small Industrial</v>
      </c>
      <c r="D272" s="225" t="str">
        <f>'Participation Assumptions'!D273</f>
        <v>Miscellaneous</v>
      </c>
      <c r="E272" s="330">
        <f t="shared" si="230"/>
        <v>1.4534675041933419E-2</v>
      </c>
      <c r="F272" s="330">
        <f t="shared" si="231"/>
        <v>1.5244854047336337E-2</v>
      </c>
      <c r="G272" s="330">
        <f>AVERAGEIF('ProCESS CSE'!$W:$W,'Control Strategy Eligibility'!$X272,'ProCESS CSE'!P:P)</f>
        <v>1.5989733121248524E-2</v>
      </c>
      <c r="H272" s="330">
        <f>AVERAGEIF('ProCESS CSE'!$W:$W,'Control Strategy Eligibility'!$X272,'ProCESS CSE'!Q:Q)</f>
        <v>1.6771007744309917E-2</v>
      </c>
      <c r="I272" s="330">
        <f>AVERAGEIF('ProCESS CSE'!$W:$W,'Control Strategy Eligibility'!$X272,'ProCESS CSE'!R:R)</f>
        <v>1.8656858652641269E-2</v>
      </c>
      <c r="J272" s="330">
        <f t="shared" si="232"/>
        <v>2.0754767995544678E-2</v>
      </c>
      <c r="K272" s="330">
        <f t="shared" si="233"/>
        <v>2.3088581125520962E-2</v>
      </c>
      <c r="L272" s="330">
        <f t="shared" si="234"/>
        <v>2.568482473541487E-2</v>
      </c>
      <c r="M272" s="330">
        <f t="shared" si="235"/>
        <v>2.8573008367316639E-2</v>
      </c>
      <c r="N272" s="330">
        <f t="shared" si="236"/>
        <v>3.178595982526021E-2</v>
      </c>
      <c r="O272" s="330">
        <f t="shared" si="237"/>
        <v>3.5360198304101087E-2</v>
      </c>
      <c r="P272" s="330">
        <f t="shared" si="238"/>
        <v>3.9336349475648333E-2</v>
      </c>
      <c r="Q272" s="330">
        <f t="shared" si="239"/>
        <v>4.3759607250021475E-2</v>
      </c>
      <c r="R272" s="330">
        <f t="shared" si="240"/>
        <v>4.868024746072528E-2</v>
      </c>
      <c r="S272" s="330">
        <f t="shared" si="241"/>
        <v>5.4154199312113044E-2</v>
      </c>
      <c r="T272" s="330">
        <f t="shared" si="242"/>
        <v>6.0243681084450502E-2</v>
      </c>
      <c r="U272" s="330">
        <f t="shared" si="243"/>
        <v>6.701790732216012E-2</v>
      </c>
      <c r="V272" s="430"/>
      <c r="W272" s="200" t="str">
        <f t="shared" si="223"/>
        <v>Small</v>
      </c>
      <c r="X272" s="198" t="str">
        <f t="shared" si="221"/>
        <v>Dynamic Pricing with enabling tech.Small</v>
      </c>
      <c r="Y272" s="157" t="b">
        <f>ISNUMBER(MATCH(X272,'ProCESS CSE'!W:W,0))</f>
        <v>1</v>
      </c>
      <c r="Z272" s="157"/>
      <c r="AA272" s="157"/>
      <c r="AB272" s="157"/>
      <c r="AC272" s="157"/>
      <c r="AD272" s="157"/>
      <c r="AE272" s="157"/>
      <c r="AF272" s="157"/>
      <c r="AG272" s="157"/>
      <c r="AH272" s="157"/>
      <c r="AI272" s="157"/>
      <c r="AJ272" s="157"/>
      <c r="AK272" s="157"/>
      <c r="AL272" s="157"/>
      <c r="AM272" s="157"/>
      <c r="AN272" s="157"/>
      <c r="AO272" s="157"/>
      <c r="AP272" s="157"/>
    </row>
    <row r="273" spans="1:42" ht="14.4" x14ac:dyDescent="0.25">
      <c r="A273" s="225" t="str">
        <f>'Participation Assumptions'!B274</f>
        <v>Dynamic Pricing with enabling tech.</v>
      </c>
      <c r="B273" s="225" t="s">
        <v>397</v>
      </c>
      <c r="C273" s="225" t="str">
        <f>'Participation Assumptions'!C274</f>
        <v>Small Industrial</v>
      </c>
      <c r="D273" s="225" t="str">
        <f>'Participation Assumptions'!D274</f>
        <v>Offices</v>
      </c>
      <c r="E273" s="330">
        <f t="shared" si="230"/>
        <v>1.4534675041933419E-2</v>
      </c>
      <c r="F273" s="330">
        <f t="shared" si="231"/>
        <v>1.5244854047336337E-2</v>
      </c>
      <c r="G273" s="330">
        <f>AVERAGEIF('ProCESS CSE'!$W:$W,'Control Strategy Eligibility'!$X273,'ProCESS CSE'!P:P)</f>
        <v>1.5989733121248524E-2</v>
      </c>
      <c r="H273" s="330">
        <f>AVERAGEIF('ProCESS CSE'!$W:$W,'Control Strategy Eligibility'!$X273,'ProCESS CSE'!Q:Q)</f>
        <v>1.6771007744309917E-2</v>
      </c>
      <c r="I273" s="330">
        <f>AVERAGEIF('ProCESS CSE'!$W:$W,'Control Strategy Eligibility'!$X273,'ProCESS CSE'!R:R)</f>
        <v>1.8656858652641269E-2</v>
      </c>
      <c r="J273" s="330">
        <f t="shared" si="232"/>
        <v>2.0754767995544678E-2</v>
      </c>
      <c r="K273" s="330">
        <f t="shared" si="233"/>
        <v>2.3088581125520962E-2</v>
      </c>
      <c r="L273" s="330">
        <f t="shared" si="234"/>
        <v>2.568482473541487E-2</v>
      </c>
      <c r="M273" s="330">
        <f t="shared" si="235"/>
        <v>2.8573008367316639E-2</v>
      </c>
      <c r="N273" s="330">
        <f t="shared" si="236"/>
        <v>3.178595982526021E-2</v>
      </c>
      <c r="O273" s="330">
        <f t="shared" si="237"/>
        <v>3.5360198304101087E-2</v>
      </c>
      <c r="P273" s="330">
        <f t="shared" si="238"/>
        <v>3.9336349475648333E-2</v>
      </c>
      <c r="Q273" s="330">
        <f t="shared" si="239"/>
        <v>4.3759607250021475E-2</v>
      </c>
      <c r="R273" s="330">
        <f t="shared" si="240"/>
        <v>4.868024746072528E-2</v>
      </c>
      <c r="S273" s="330">
        <f t="shared" si="241"/>
        <v>5.4154199312113044E-2</v>
      </c>
      <c r="T273" s="330">
        <f t="shared" si="242"/>
        <v>6.0243681084450502E-2</v>
      </c>
      <c r="U273" s="330">
        <f t="shared" si="243"/>
        <v>6.701790732216012E-2</v>
      </c>
      <c r="V273" s="430"/>
      <c r="W273" s="200" t="str">
        <f t="shared" si="223"/>
        <v>Small</v>
      </c>
      <c r="X273" s="198" t="str">
        <f t="shared" si="221"/>
        <v>Dynamic Pricing with enabling tech.Small</v>
      </c>
      <c r="Y273" s="157" t="b">
        <f>ISNUMBER(MATCH(X273,'ProCESS CSE'!W:W,0))</f>
        <v>1</v>
      </c>
      <c r="Z273" s="157"/>
      <c r="AA273" s="157"/>
      <c r="AB273" s="157"/>
      <c r="AC273" s="157"/>
      <c r="AD273" s="157"/>
      <c r="AE273" s="157"/>
      <c r="AF273" s="157"/>
      <c r="AG273" s="157"/>
      <c r="AH273" s="157"/>
      <c r="AI273" s="157"/>
      <c r="AJ273" s="157"/>
      <c r="AK273" s="157"/>
      <c r="AL273" s="157"/>
      <c r="AM273" s="157"/>
      <c r="AN273" s="157"/>
      <c r="AO273" s="157"/>
      <c r="AP273" s="157"/>
    </row>
    <row r="274" spans="1:42" ht="14.4" x14ac:dyDescent="0.25">
      <c r="A274" s="225" t="str">
        <f>'Participation Assumptions'!B275</f>
        <v>Dynamic Pricing with enabling tech.</v>
      </c>
      <c r="B274" s="225" t="s">
        <v>397</v>
      </c>
      <c r="C274" s="225" t="str">
        <f>'Participation Assumptions'!C275</f>
        <v>Small Industrial</v>
      </c>
      <c r="D274" s="225" t="str">
        <f>'Participation Assumptions'!D275</f>
        <v>Retail Trade</v>
      </c>
      <c r="E274" s="330">
        <f t="shared" si="230"/>
        <v>1.4534675041933419E-2</v>
      </c>
      <c r="F274" s="330">
        <f t="shared" si="231"/>
        <v>1.5244854047336337E-2</v>
      </c>
      <c r="G274" s="330">
        <f>AVERAGEIF('ProCESS CSE'!$W:$W,'Control Strategy Eligibility'!$X274,'ProCESS CSE'!P:P)</f>
        <v>1.5989733121248524E-2</v>
      </c>
      <c r="H274" s="330">
        <f>AVERAGEIF('ProCESS CSE'!$W:$W,'Control Strategy Eligibility'!$X274,'ProCESS CSE'!Q:Q)</f>
        <v>1.6771007744309917E-2</v>
      </c>
      <c r="I274" s="330">
        <f>AVERAGEIF('ProCESS CSE'!$W:$W,'Control Strategy Eligibility'!$X274,'ProCESS CSE'!R:R)</f>
        <v>1.8656858652641269E-2</v>
      </c>
      <c r="J274" s="330">
        <f t="shared" si="232"/>
        <v>2.0754767995544678E-2</v>
      </c>
      <c r="K274" s="330">
        <f t="shared" si="233"/>
        <v>2.3088581125520962E-2</v>
      </c>
      <c r="L274" s="330">
        <f t="shared" si="234"/>
        <v>2.568482473541487E-2</v>
      </c>
      <c r="M274" s="330">
        <f t="shared" si="235"/>
        <v>2.8573008367316639E-2</v>
      </c>
      <c r="N274" s="330">
        <f t="shared" si="236"/>
        <v>3.178595982526021E-2</v>
      </c>
      <c r="O274" s="330">
        <f t="shared" si="237"/>
        <v>3.5360198304101087E-2</v>
      </c>
      <c r="P274" s="330">
        <f t="shared" si="238"/>
        <v>3.9336349475648333E-2</v>
      </c>
      <c r="Q274" s="330">
        <f t="shared" si="239"/>
        <v>4.3759607250021475E-2</v>
      </c>
      <c r="R274" s="330">
        <f t="shared" si="240"/>
        <v>4.868024746072528E-2</v>
      </c>
      <c r="S274" s="330">
        <f t="shared" si="241"/>
        <v>5.4154199312113044E-2</v>
      </c>
      <c r="T274" s="330">
        <f t="shared" si="242"/>
        <v>6.0243681084450502E-2</v>
      </c>
      <c r="U274" s="330">
        <f t="shared" si="243"/>
        <v>6.701790732216012E-2</v>
      </c>
      <c r="V274" s="430"/>
      <c r="W274" s="200" t="str">
        <f t="shared" si="223"/>
        <v>Small</v>
      </c>
      <c r="X274" s="198" t="str">
        <f t="shared" si="221"/>
        <v>Dynamic Pricing with enabling tech.Small</v>
      </c>
      <c r="Y274" s="157" t="b">
        <f>ISNUMBER(MATCH(X274,'ProCESS CSE'!W:W,0))</f>
        <v>1</v>
      </c>
      <c r="Z274" s="157"/>
      <c r="AA274" s="157"/>
      <c r="AB274" s="157"/>
      <c r="AC274" s="157"/>
      <c r="AD274" s="157"/>
      <c r="AE274" s="157"/>
      <c r="AF274" s="157"/>
      <c r="AG274" s="157"/>
      <c r="AH274" s="157"/>
      <c r="AI274" s="157"/>
      <c r="AJ274" s="157"/>
      <c r="AK274" s="157"/>
      <c r="AL274" s="157"/>
      <c r="AM274" s="157"/>
      <c r="AN274" s="157"/>
      <c r="AO274" s="157"/>
      <c r="AP274" s="157"/>
    </row>
    <row r="275" spans="1:42" ht="14.4" x14ac:dyDescent="0.25">
      <c r="A275" s="225" t="str">
        <f>'Participation Assumptions'!B276</f>
        <v>Dynamic Pricing with enabling tech.</v>
      </c>
      <c r="B275" s="225" t="s">
        <v>397</v>
      </c>
      <c r="C275" s="225" t="str">
        <f>'Participation Assumptions'!C276</f>
        <v>Small Industrial</v>
      </c>
      <c r="D275" s="225" t="str">
        <f>'Participation Assumptions'!D276</f>
        <v>Services</v>
      </c>
      <c r="E275" s="330">
        <f t="shared" si="230"/>
        <v>1.4534675041933419E-2</v>
      </c>
      <c r="F275" s="330">
        <f t="shared" si="231"/>
        <v>1.5244854047336337E-2</v>
      </c>
      <c r="G275" s="330">
        <f>AVERAGEIF('ProCESS CSE'!$W:$W,'Control Strategy Eligibility'!$X275,'ProCESS CSE'!P:P)</f>
        <v>1.5989733121248524E-2</v>
      </c>
      <c r="H275" s="330">
        <f>AVERAGEIF('ProCESS CSE'!$W:$W,'Control Strategy Eligibility'!$X275,'ProCESS CSE'!Q:Q)</f>
        <v>1.6771007744309917E-2</v>
      </c>
      <c r="I275" s="330">
        <f>AVERAGEIF('ProCESS CSE'!$W:$W,'Control Strategy Eligibility'!$X275,'ProCESS CSE'!R:R)</f>
        <v>1.8656858652641269E-2</v>
      </c>
      <c r="J275" s="330">
        <f t="shared" si="232"/>
        <v>2.0754767995544678E-2</v>
      </c>
      <c r="K275" s="330">
        <f t="shared" si="233"/>
        <v>2.3088581125520962E-2</v>
      </c>
      <c r="L275" s="330">
        <f t="shared" si="234"/>
        <v>2.568482473541487E-2</v>
      </c>
      <c r="M275" s="330">
        <f t="shared" si="235"/>
        <v>2.8573008367316639E-2</v>
      </c>
      <c r="N275" s="330">
        <f t="shared" si="236"/>
        <v>3.178595982526021E-2</v>
      </c>
      <c r="O275" s="330">
        <f t="shared" si="237"/>
        <v>3.5360198304101087E-2</v>
      </c>
      <c r="P275" s="330">
        <f t="shared" si="238"/>
        <v>3.9336349475648333E-2</v>
      </c>
      <c r="Q275" s="330">
        <f t="shared" si="239"/>
        <v>4.3759607250021475E-2</v>
      </c>
      <c r="R275" s="330">
        <f t="shared" si="240"/>
        <v>4.868024746072528E-2</v>
      </c>
      <c r="S275" s="330">
        <f t="shared" si="241"/>
        <v>5.4154199312113044E-2</v>
      </c>
      <c r="T275" s="330">
        <f t="shared" si="242"/>
        <v>6.0243681084450502E-2</v>
      </c>
      <c r="U275" s="330">
        <f t="shared" si="243"/>
        <v>6.701790732216012E-2</v>
      </c>
      <c r="V275" s="430"/>
      <c r="W275" s="200" t="str">
        <f t="shared" si="223"/>
        <v>Small</v>
      </c>
      <c r="X275" s="198" t="str">
        <f t="shared" si="221"/>
        <v>Dynamic Pricing with enabling tech.Small</v>
      </c>
      <c r="Y275" s="157" t="b">
        <f>ISNUMBER(MATCH(X275,'ProCESS CSE'!W:W,0))</f>
        <v>1</v>
      </c>
      <c r="Z275" s="157"/>
      <c r="AA275" s="157"/>
      <c r="AB275" s="157"/>
      <c r="AC275" s="157"/>
      <c r="AD275" s="157"/>
      <c r="AE275" s="157"/>
      <c r="AF275" s="157"/>
      <c r="AG275" s="157"/>
      <c r="AH275" s="157"/>
      <c r="AI275" s="157"/>
      <c r="AJ275" s="157"/>
      <c r="AK275" s="157"/>
      <c r="AL275" s="157"/>
      <c r="AM275" s="157"/>
      <c r="AN275" s="157"/>
      <c r="AO275" s="157"/>
      <c r="AP275" s="157"/>
    </row>
    <row r="276" spans="1:42" ht="15" customHeight="1" x14ac:dyDescent="0.25">
      <c r="A276" s="225" t="str">
        <f>'Participation Assumptions'!B277</f>
        <v>Dynamic Pricing w/o enabling tech.</v>
      </c>
      <c r="B276" s="225" t="s">
        <v>397</v>
      </c>
      <c r="C276" s="225" t="str">
        <f>'Participation Assumptions'!C277</f>
        <v>Interruptible Rider</v>
      </c>
      <c r="D276" s="225" t="str">
        <f>'Participation Assumptions'!D277</f>
        <v>Manufacturing</v>
      </c>
      <c r="E276" s="330">
        <v>0.5</v>
      </c>
      <c r="F276" s="330">
        <v>0.5</v>
      </c>
      <c r="G276" s="330">
        <v>0.5</v>
      </c>
      <c r="H276" s="330">
        <v>0.5</v>
      </c>
      <c r="I276" s="330">
        <v>0.5</v>
      </c>
      <c r="J276" s="330">
        <v>0.5</v>
      </c>
      <c r="K276" s="330">
        <v>0.5</v>
      </c>
      <c r="L276" s="330">
        <v>0.5</v>
      </c>
      <c r="M276" s="330">
        <v>0.5</v>
      </c>
      <c r="N276" s="330">
        <v>0.5</v>
      </c>
      <c r="O276" s="330">
        <v>0.5</v>
      </c>
      <c r="P276" s="330">
        <v>0.5</v>
      </c>
      <c r="Q276" s="330">
        <v>0.5</v>
      </c>
      <c r="R276" s="330">
        <v>0.5</v>
      </c>
      <c r="S276" s="330">
        <v>0.5</v>
      </c>
      <c r="T276" s="330">
        <v>0.5</v>
      </c>
      <c r="U276" s="330">
        <v>0.5</v>
      </c>
      <c r="V276" s="430"/>
      <c r="W276" s="200" t="str">
        <f t="shared" si="223"/>
        <v>Large</v>
      </c>
      <c r="X276" s="198" t="str">
        <f t="shared" si="221"/>
        <v>Dynamic Pricing w/o enabling tech.Large</v>
      </c>
      <c r="Y276" s="157" t="b">
        <f>ISNUMBER(MATCH(X276,'ProCESS CSE'!W:W,0))</f>
        <v>0</v>
      </c>
      <c r="Z276" s="157"/>
      <c r="AA276" s="157"/>
      <c r="AB276" s="157"/>
      <c r="AC276" s="157"/>
      <c r="AD276" s="157"/>
      <c r="AE276" s="157"/>
      <c r="AF276" s="157"/>
      <c r="AG276" s="157"/>
      <c r="AH276" s="157"/>
      <c r="AI276" s="157"/>
      <c r="AJ276" s="157"/>
      <c r="AK276" s="157"/>
      <c r="AL276" s="157"/>
      <c r="AM276" s="157"/>
      <c r="AN276" s="157"/>
      <c r="AO276" s="157"/>
      <c r="AP276" s="157"/>
    </row>
    <row r="277" spans="1:42" ht="14.4" x14ac:dyDescent="0.25">
      <c r="A277" s="225" t="str">
        <f>'Participation Assumptions'!B278</f>
        <v>Dynamic Pricing w/o enabling tech.</v>
      </c>
      <c r="B277" s="225" t="s">
        <v>397</v>
      </c>
      <c r="C277" s="225" t="str">
        <f>'Participation Assumptions'!C278</f>
        <v>Interruptible Rider</v>
      </c>
      <c r="D277" s="225" t="str">
        <f>'Participation Assumptions'!D278</f>
        <v>Miscellaneous</v>
      </c>
      <c r="E277" s="330">
        <v>0.5</v>
      </c>
      <c r="F277" s="330">
        <v>0.5</v>
      </c>
      <c r="G277" s="330">
        <v>0.5</v>
      </c>
      <c r="H277" s="330">
        <v>0.5</v>
      </c>
      <c r="I277" s="330">
        <v>0.5</v>
      </c>
      <c r="J277" s="330">
        <v>0.5</v>
      </c>
      <c r="K277" s="330">
        <v>0.5</v>
      </c>
      <c r="L277" s="330">
        <v>0.5</v>
      </c>
      <c r="M277" s="330">
        <v>0.5</v>
      </c>
      <c r="N277" s="330">
        <v>0.5</v>
      </c>
      <c r="O277" s="330">
        <v>0.5</v>
      </c>
      <c r="P277" s="330">
        <v>0.5</v>
      </c>
      <c r="Q277" s="330">
        <v>0.5</v>
      </c>
      <c r="R277" s="330">
        <v>0.5</v>
      </c>
      <c r="S277" s="330">
        <v>0.5</v>
      </c>
      <c r="T277" s="330">
        <v>0.5</v>
      </c>
      <c r="U277" s="330">
        <v>0.5</v>
      </c>
      <c r="V277" s="430"/>
      <c r="W277" s="200" t="str">
        <f t="shared" si="223"/>
        <v>Large</v>
      </c>
      <c r="X277" s="198" t="str">
        <f t="shared" si="221"/>
        <v>Dynamic Pricing w/o enabling tech.Large</v>
      </c>
      <c r="Y277" s="157" t="b">
        <f>ISNUMBER(MATCH(X277,'ProCESS CSE'!W:W,0))</f>
        <v>0</v>
      </c>
      <c r="Z277" s="157"/>
      <c r="AA277" s="157"/>
      <c r="AB277" s="157"/>
      <c r="AC277" s="157"/>
      <c r="AD277" s="157"/>
      <c r="AE277" s="157"/>
      <c r="AF277" s="157"/>
      <c r="AG277" s="157"/>
      <c r="AH277" s="157"/>
      <c r="AI277" s="157"/>
      <c r="AJ277" s="157"/>
      <c r="AK277" s="157"/>
      <c r="AL277" s="157"/>
      <c r="AM277" s="157"/>
      <c r="AN277" s="157"/>
      <c r="AO277" s="157"/>
      <c r="AP277" s="157"/>
    </row>
    <row r="278" spans="1:42" ht="14.55" customHeight="1" x14ac:dyDescent="0.25">
      <c r="A278" s="225" t="str">
        <f>'Participation Assumptions'!B279</f>
        <v>Dynamic Pricing w/o enabling tech.</v>
      </c>
      <c r="B278" s="225" t="s">
        <v>397</v>
      </c>
      <c r="C278" s="225" t="str">
        <f>'Participation Assumptions'!C279</f>
        <v>Interruptible Rider</v>
      </c>
      <c r="D278" s="225" t="str">
        <f>'Participation Assumptions'!D279</f>
        <v>Retail Trade</v>
      </c>
      <c r="E278" s="330">
        <v>0.5</v>
      </c>
      <c r="F278" s="330">
        <v>0.5</v>
      </c>
      <c r="G278" s="330">
        <v>0.5</v>
      </c>
      <c r="H278" s="330">
        <v>0.5</v>
      </c>
      <c r="I278" s="330">
        <v>0.5</v>
      </c>
      <c r="J278" s="330">
        <v>0.5</v>
      </c>
      <c r="K278" s="330">
        <v>0.5</v>
      </c>
      <c r="L278" s="330">
        <v>0.5</v>
      </c>
      <c r="M278" s="330">
        <v>0.5</v>
      </c>
      <c r="N278" s="330">
        <v>0.5</v>
      </c>
      <c r="O278" s="330">
        <v>0.5</v>
      </c>
      <c r="P278" s="330">
        <v>0.5</v>
      </c>
      <c r="Q278" s="330">
        <v>0.5</v>
      </c>
      <c r="R278" s="330">
        <v>0.5</v>
      </c>
      <c r="S278" s="330">
        <v>0.5</v>
      </c>
      <c r="T278" s="330">
        <v>0.5</v>
      </c>
      <c r="U278" s="330">
        <v>0.5</v>
      </c>
      <c r="V278" s="430"/>
      <c r="W278" s="200" t="str">
        <f t="shared" si="223"/>
        <v>Large</v>
      </c>
      <c r="X278" s="198" t="str">
        <f t="shared" si="221"/>
        <v>Dynamic Pricing w/o enabling tech.Large</v>
      </c>
      <c r="Y278" s="157" t="b">
        <f>ISNUMBER(MATCH(X278,'ProCESS CSE'!W:W,0))</f>
        <v>0</v>
      </c>
      <c r="Z278" s="157"/>
      <c r="AA278" s="157"/>
      <c r="AB278" s="157"/>
      <c r="AC278" s="157"/>
      <c r="AD278" s="157"/>
      <c r="AE278" s="157"/>
      <c r="AF278" s="157"/>
      <c r="AG278" s="157"/>
      <c r="AH278" s="157"/>
      <c r="AI278" s="157"/>
      <c r="AJ278" s="157"/>
      <c r="AK278" s="157"/>
      <c r="AL278" s="157"/>
      <c r="AM278" s="157"/>
      <c r="AN278" s="157"/>
      <c r="AO278" s="157"/>
      <c r="AP278" s="157"/>
    </row>
    <row r="279" spans="1:42" ht="14.4" x14ac:dyDescent="0.25">
      <c r="A279" s="225" t="str">
        <f>'Participation Assumptions'!B280</f>
        <v>Dynamic Pricing w/o enabling tech.</v>
      </c>
      <c r="B279" s="225" t="s">
        <v>397</v>
      </c>
      <c r="C279" s="225" t="str">
        <f>'Participation Assumptions'!C280</f>
        <v>Large Commercial</v>
      </c>
      <c r="D279" s="225" t="str">
        <f>'Participation Assumptions'!D280</f>
        <v>Offices</v>
      </c>
      <c r="E279" s="330">
        <v>0.5</v>
      </c>
      <c r="F279" s="330">
        <v>0.5</v>
      </c>
      <c r="G279" s="330">
        <v>0.5</v>
      </c>
      <c r="H279" s="330">
        <v>0.5</v>
      </c>
      <c r="I279" s="330">
        <v>0.5</v>
      </c>
      <c r="J279" s="330">
        <v>0.5</v>
      </c>
      <c r="K279" s="330">
        <v>0.5</v>
      </c>
      <c r="L279" s="330">
        <v>0.5</v>
      </c>
      <c r="M279" s="330">
        <v>0.5</v>
      </c>
      <c r="N279" s="330">
        <v>0.5</v>
      </c>
      <c r="O279" s="330">
        <v>0.5</v>
      </c>
      <c r="P279" s="330">
        <v>0.5</v>
      </c>
      <c r="Q279" s="330">
        <v>0.5</v>
      </c>
      <c r="R279" s="330">
        <v>0.5</v>
      </c>
      <c r="S279" s="330">
        <v>0.5</v>
      </c>
      <c r="T279" s="330">
        <v>0.5</v>
      </c>
      <c r="U279" s="330">
        <v>0.5</v>
      </c>
      <c r="V279" s="430"/>
      <c r="W279" s="200" t="str">
        <f t="shared" si="223"/>
        <v>Large</v>
      </c>
      <c r="X279" s="198" t="str">
        <f t="shared" si="221"/>
        <v>Dynamic Pricing w/o enabling tech.Large</v>
      </c>
      <c r="Y279" s="157" t="b">
        <f>ISNUMBER(MATCH(X279,'ProCESS CSE'!W:W,0))</f>
        <v>0</v>
      </c>
      <c r="Z279" s="157"/>
      <c r="AA279" s="157"/>
      <c r="AB279" s="157"/>
      <c r="AC279" s="157"/>
      <c r="AD279" s="157"/>
      <c r="AE279" s="157"/>
      <c r="AF279" s="157"/>
      <c r="AG279" s="157"/>
      <c r="AH279" s="157"/>
      <c r="AI279" s="157"/>
      <c r="AJ279" s="157"/>
      <c r="AK279" s="157"/>
      <c r="AL279" s="157"/>
      <c r="AM279" s="157"/>
      <c r="AN279" s="157"/>
      <c r="AO279" s="157"/>
      <c r="AP279" s="157"/>
    </row>
    <row r="280" spans="1:42" ht="14.4" x14ac:dyDescent="0.25">
      <c r="A280" s="225" t="str">
        <f>'Participation Assumptions'!B281</f>
        <v>Dynamic Pricing w/o enabling tech.</v>
      </c>
      <c r="B280" s="225" t="s">
        <v>397</v>
      </c>
      <c r="C280" s="225" t="str">
        <f>'Participation Assumptions'!C281</f>
        <v>Large Commercial</v>
      </c>
      <c r="D280" s="225" t="str">
        <f>'Participation Assumptions'!D281</f>
        <v>Services</v>
      </c>
      <c r="E280" s="330">
        <v>0.5</v>
      </c>
      <c r="F280" s="330">
        <v>0.5</v>
      </c>
      <c r="G280" s="330">
        <v>0.5</v>
      </c>
      <c r="H280" s="330">
        <v>0.5</v>
      </c>
      <c r="I280" s="330">
        <v>0.5</v>
      </c>
      <c r="J280" s="330">
        <v>0.5</v>
      </c>
      <c r="K280" s="330">
        <v>0.5</v>
      </c>
      <c r="L280" s="330">
        <v>0.5</v>
      </c>
      <c r="M280" s="330">
        <v>0.5</v>
      </c>
      <c r="N280" s="330">
        <v>0.5</v>
      </c>
      <c r="O280" s="330">
        <v>0.5</v>
      </c>
      <c r="P280" s="330">
        <v>0.5</v>
      </c>
      <c r="Q280" s="330">
        <v>0.5</v>
      </c>
      <c r="R280" s="330">
        <v>0.5</v>
      </c>
      <c r="S280" s="330">
        <v>0.5</v>
      </c>
      <c r="T280" s="330">
        <v>0.5</v>
      </c>
      <c r="U280" s="330">
        <v>0.5</v>
      </c>
      <c r="V280" s="430"/>
      <c r="W280" s="200" t="str">
        <f t="shared" si="223"/>
        <v>Large</v>
      </c>
      <c r="X280" s="198" t="str">
        <f t="shared" si="221"/>
        <v>Dynamic Pricing w/o enabling tech.Large</v>
      </c>
      <c r="Y280" s="157" t="b">
        <f>ISNUMBER(MATCH(X280,'ProCESS CSE'!W:W,0))</f>
        <v>0</v>
      </c>
      <c r="Z280" s="157"/>
      <c r="AA280" s="157"/>
      <c r="AB280" s="157"/>
      <c r="AC280" s="157"/>
      <c r="AD280" s="157"/>
      <c r="AE280" s="157"/>
      <c r="AF280" s="157"/>
      <c r="AG280" s="157"/>
      <c r="AH280" s="157"/>
      <c r="AI280" s="157"/>
      <c r="AJ280" s="157"/>
      <c r="AK280" s="157"/>
      <c r="AL280" s="157"/>
      <c r="AM280" s="157"/>
      <c r="AN280" s="157"/>
      <c r="AO280" s="157"/>
      <c r="AP280" s="157"/>
    </row>
    <row r="281" spans="1:42" ht="14.4" x14ac:dyDescent="0.25">
      <c r="A281" s="225" t="str">
        <f>'Participation Assumptions'!B282</f>
        <v>Dynamic Pricing w/o enabling tech.</v>
      </c>
      <c r="B281" s="225" t="s">
        <v>397</v>
      </c>
      <c r="C281" s="225" t="str">
        <f>'Participation Assumptions'!C282</f>
        <v>Large Industrial</v>
      </c>
      <c r="D281" s="225" t="str">
        <f>'Participation Assumptions'!D282</f>
        <v>Manufacturing</v>
      </c>
      <c r="E281" s="330">
        <v>0.5</v>
      </c>
      <c r="F281" s="330">
        <v>0.5</v>
      </c>
      <c r="G281" s="330">
        <v>0.5</v>
      </c>
      <c r="H281" s="330">
        <v>0.5</v>
      </c>
      <c r="I281" s="330">
        <v>0.5</v>
      </c>
      <c r="J281" s="330">
        <v>0.5</v>
      </c>
      <c r="K281" s="330">
        <v>0.5</v>
      </c>
      <c r="L281" s="330">
        <v>0.5</v>
      </c>
      <c r="M281" s="330">
        <v>0.5</v>
      </c>
      <c r="N281" s="330">
        <v>0.5</v>
      </c>
      <c r="O281" s="330">
        <v>0.5</v>
      </c>
      <c r="P281" s="330">
        <v>0.5</v>
      </c>
      <c r="Q281" s="330">
        <v>0.5</v>
      </c>
      <c r="R281" s="330">
        <v>0.5</v>
      </c>
      <c r="S281" s="330">
        <v>0.5</v>
      </c>
      <c r="T281" s="330">
        <v>0.5</v>
      </c>
      <c r="U281" s="330">
        <v>0.5</v>
      </c>
      <c r="V281" s="430"/>
      <c r="W281" s="200" t="str">
        <f t="shared" si="223"/>
        <v>Large</v>
      </c>
      <c r="X281" s="198" t="str">
        <f t="shared" si="221"/>
        <v>Dynamic Pricing w/o enabling tech.Large</v>
      </c>
      <c r="Y281" s="157" t="b">
        <f>ISNUMBER(MATCH(X281,'ProCESS CSE'!W:W,0))</f>
        <v>0</v>
      </c>
      <c r="Z281" s="157"/>
      <c r="AA281" s="157"/>
      <c r="AB281" s="157"/>
      <c r="AC281" s="157"/>
      <c r="AD281" s="157"/>
      <c r="AE281" s="157"/>
      <c r="AF281" s="157"/>
      <c r="AG281" s="157"/>
      <c r="AH281" s="157"/>
      <c r="AI281" s="157"/>
      <c r="AJ281" s="157"/>
      <c r="AK281" s="157"/>
      <c r="AL281" s="157"/>
      <c r="AM281" s="157"/>
      <c r="AN281" s="157"/>
      <c r="AO281" s="157"/>
      <c r="AP281" s="157"/>
    </row>
    <row r="282" spans="1:42" ht="14.4" x14ac:dyDescent="0.25">
      <c r="A282" s="225" t="str">
        <f>'Participation Assumptions'!B283</f>
        <v>Dynamic Pricing w/o enabling tech.</v>
      </c>
      <c r="B282" s="225" t="s">
        <v>397</v>
      </c>
      <c r="C282" s="225" t="str">
        <f>'Participation Assumptions'!C283</f>
        <v>Large Industrial</v>
      </c>
      <c r="D282" s="225" t="str">
        <f>'Participation Assumptions'!D283</f>
        <v>Miscellaneous</v>
      </c>
      <c r="E282" s="330">
        <v>0.5</v>
      </c>
      <c r="F282" s="330">
        <v>0.5</v>
      </c>
      <c r="G282" s="330">
        <v>0.5</v>
      </c>
      <c r="H282" s="330">
        <v>0.5</v>
      </c>
      <c r="I282" s="330">
        <v>0.5</v>
      </c>
      <c r="J282" s="330">
        <v>0.5</v>
      </c>
      <c r="K282" s="330">
        <v>0.5</v>
      </c>
      <c r="L282" s="330">
        <v>0.5</v>
      </c>
      <c r="M282" s="330">
        <v>0.5</v>
      </c>
      <c r="N282" s="330">
        <v>0.5</v>
      </c>
      <c r="O282" s="330">
        <v>0.5</v>
      </c>
      <c r="P282" s="330">
        <v>0.5</v>
      </c>
      <c r="Q282" s="330">
        <v>0.5</v>
      </c>
      <c r="R282" s="330">
        <v>0.5</v>
      </c>
      <c r="S282" s="330">
        <v>0.5</v>
      </c>
      <c r="T282" s="330">
        <v>0.5</v>
      </c>
      <c r="U282" s="330">
        <v>0.5</v>
      </c>
      <c r="V282" s="430"/>
      <c r="W282" s="200" t="str">
        <f t="shared" si="223"/>
        <v>Large</v>
      </c>
      <c r="X282" s="198" t="str">
        <f t="shared" si="221"/>
        <v>Dynamic Pricing w/o enabling tech.Large</v>
      </c>
      <c r="Y282" s="157" t="b">
        <f>ISNUMBER(MATCH(X282,'ProCESS CSE'!W:W,0))</f>
        <v>0</v>
      </c>
      <c r="Z282" s="157"/>
      <c r="AA282" s="157"/>
      <c r="AB282" s="157"/>
      <c r="AC282" s="157"/>
      <c r="AD282" s="157"/>
      <c r="AE282" s="157"/>
      <c r="AF282" s="157"/>
      <c r="AG282" s="157"/>
      <c r="AH282" s="157"/>
      <c r="AI282" s="157"/>
      <c r="AJ282" s="157"/>
      <c r="AK282" s="157"/>
      <c r="AL282" s="157"/>
      <c r="AM282" s="157"/>
      <c r="AN282" s="157"/>
      <c r="AO282" s="157"/>
      <c r="AP282" s="157"/>
    </row>
    <row r="283" spans="1:42" ht="14.4" x14ac:dyDescent="0.25">
      <c r="A283" s="225" t="str">
        <f>'Participation Assumptions'!B284</f>
        <v>Dynamic Pricing w/o enabling tech.</v>
      </c>
      <c r="B283" s="225" t="s">
        <v>397</v>
      </c>
      <c r="C283" s="225" t="str">
        <f>'Participation Assumptions'!C284</f>
        <v>Large Industrial</v>
      </c>
      <c r="D283" s="225" t="str">
        <f>'Participation Assumptions'!D284</f>
        <v>Offices</v>
      </c>
      <c r="E283" s="330">
        <v>0.5</v>
      </c>
      <c r="F283" s="330">
        <v>0.5</v>
      </c>
      <c r="G283" s="330">
        <v>0.5</v>
      </c>
      <c r="H283" s="330">
        <v>0.5</v>
      </c>
      <c r="I283" s="330">
        <v>0.5</v>
      </c>
      <c r="J283" s="330">
        <v>0.5</v>
      </c>
      <c r="K283" s="330">
        <v>0.5</v>
      </c>
      <c r="L283" s="330">
        <v>0.5</v>
      </c>
      <c r="M283" s="330">
        <v>0.5</v>
      </c>
      <c r="N283" s="330">
        <v>0.5</v>
      </c>
      <c r="O283" s="330">
        <v>0.5</v>
      </c>
      <c r="P283" s="330">
        <v>0.5</v>
      </c>
      <c r="Q283" s="330">
        <v>0.5</v>
      </c>
      <c r="R283" s="330">
        <v>0.5</v>
      </c>
      <c r="S283" s="330">
        <v>0.5</v>
      </c>
      <c r="T283" s="330">
        <v>0.5</v>
      </c>
      <c r="U283" s="330">
        <v>0.5</v>
      </c>
      <c r="V283" s="430"/>
      <c r="W283" s="200" t="str">
        <f t="shared" si="223"/>
        <v>Large</v>
      </c>
      <c r="X283" s="198" t="str">
        <f t="shared" si="221"/>
        <v>Dynamic Pricing w/o enabling tech.Large</v>
      </c>
      <c r="Y283" s="157" t="b">
        <f>ISNUMBER(MATCH(X283,'ProCESS CSE'!W:W,0))</f>
        <v>0</v>
      </c>
      <c r="Z283" s="157"/>
      <c r="AA283" s="157"/>
      <c r="AB283" s="157"/>
      <c r="AC283" s="157"/>
      <c r="AD283" s="157"/>
      <c r="AE283" s="157"/>
      <c r="AF283" s="157"/>
      <c r="AG283" s="157"/>
      <c r="AH283" s="157"/>
      <c r="AI283" s="157"/>
      <c r="AJ283" s="157"/>
      <c r="AK283" s="157"/>
      <c r="AL283" s="157"/>
      <c r="AM283" s="157"/>
      <c r="AN283" s="157"/>
      <c r="AO283" s="157"/>
      <c r="AP283" s="157"/>
    </row>
    <row r="284" spans="1:42" ht="14.4" x14ac:dyDescent="0.25">
      <c r="A284" s="225" t="str">
        <f>'Participation Assumptions'!B285</f>
        <v>Dynamic Pricing w/o enabling tech.</v>
      </c>
      <c r="B284" s="225" t="s">
        <v>397</v>
      </c>
      <c r="C284" s="225" t="str">
        <f>'Participation Assumptions'!C285</f>
        <v>Large Industrial</v>
      </c>
      <c r="D284" s="225" t="str">
        <f>'Participation Assumptions'!D285</f>
        <v>Retail Trade</v>
      </c>
      <c r="E284" s="330">
        <v>0.5</v>
      </c>
      <c r="F284" s="330">
        <v>0.5</v>
      </c>
      <c r="G284" s="330">
        <v>0.5</v>
      </c>
      <c r="H284" s="330">
        <v>0.5</v>
      </c>
      <c r="I284" s="330">
        <v>0.5</v>
      </c>
      <c r="J284" s="330">
        <v>0.5</v>
      </c>
      <c r="K284" s="330">
        <v>0.5</v>
      </c>
      <c r="L284" s="330">
        <v>0.5</v>
      </c>
      <c r="M284" s="330">
        <v>0.5</v>
      </c>
      <c r="N284" s="330">
        <v>0.5</v>
      </c>
      <c r="O284" s="330">
        <v>0.5</v>
      </c>
      <c r="P284" s="330">
        <v>0.5</v>
      </c>
      <c r="Q284" s="330">
        <v>0.5</v>
      </c>
      <c r="R284" s="330">
        <v>0.5</v>
      </c>
      <c r="S284" s="330">
        <v>0.5</v>
      </c>
      <c r="T284" s="330">
        <v>0.5</v>
      </c>
      <c r="U284" s="330">
        <v>0.5</v>
      </c>
      <c r="V284" s="430"/>
      <c r="W284" s="200" t="str">
        <f t="shared" si="223"/>
        <v>Large</v>
      </c>
      <c r="X284" s="198" t="str">
        <f t="shared" si="221"/>
        <v>Dynamic Pricing w/o enabling tech.Large</v>
      </c>
      <c r="Y284" s="157" t="b">
        <f>ISNUMBER(MATCH(X284,'ProCESS CSE'!W:W,0))</f>
        <v>0</v>
      </c>
      <c r="Z284" s="157"/>
      <c r="AA284" s="157"/>
      <c r="AB284" s="157"/>
      <c r="AC284" s="157"/>
      <c r="AD284" s="157"/>
      <c r="AE284" s="157"/>
      <c r="AF284" s="157"/>
      <c r="AG284" s="157"/>
      <c r="AH284" s="157"/>
      <c r="AI284" s="157"/>
      <c r="AJ284" s="157"/>
      <c r="AK284" s="157"/>
      <c r="AL284" s="157"/>
      <c r="AM284" s="157"/>
      <c r="AN284" s="157"/>
      <c r="AO284" s="157"/>
      <c r="AP284" s="157"/>
    </row>
    <row r="285" spans="1:42" ht="14.4" x14ac:dyDescent="0.25">
      <c r="A285" s="225" t="str">
        <f>'Participation Assumptions'!B286</f>
        <v>Dynamic Pricing w/o enabling tech.</v>
      </c>
      <c r="B285" s="225" t="s">
        <v>397</v>
      </c>
      <c r="C285" s="225" t="str">
        <f>'Participation Assumptions'!C286</f>
        <v>Large Industrial</v>
      </c>
      <c r="D285" s="225" t="str">
        <f>'Participation Assumptions'!D286</f>
        <v>Services</v>
      </c>
      <c r="E285" s="330">
        <v>0.5</v>
      </c>
      <c r="F285" s="330">
        <v>0.5</v>
      </c>
      <c r="G285" s="330">
        <v>0.5</v>
      </c>
      <c r="H285" s="330">
        <v>0.5</v>
      </c>
      <c r="I285" s="330">
        <v>0.5</v>
      </c>
      <c r="J285" s="330">
        <v>0.5</v>
      </c>
      <c r="K285" s="330">
        <v>0.5</v>
      </c>
      <c r="L285" s="330">
        <v>0.5</v>
      </c>
      <c r="M285" s="330">
        <v>0.5</v>
      </c>
      <c r="N285" s="330">
        <v>0.5</v>
      </c>
      <c r="O285" s="330">
        <v>0.5</v>
      </c>
      <c r="P285" s="330">
        <v>0.5</v>
      </c>
      <c r="Q285" s="330">
        <v>0.5</v>
      </c>
      <c r="R285" s="330">
        <v>0.5</v>
      </c>
      <c r="S285" s="330">
        <v>0.5</v>
      </c>
      <c r="T285" s="330">
        <v>0.5</v>
      </c>
      <c r="U285" s="330">
        <v>0.5</v>
      </c>
      <c r="V285" s="430"/>
      <c r="W285" s="200" t="str">
        <f t="shared" si="223"/>
        <v>Large</v>
      </c>
      <c r="X285" s="198" t="str">
        <f t="shared" si="221"/>
        <v>Dynamic Pricing w/o enabling tech.Large</v>
      </c>
      <c r="Y285" s="157" t="b">
        <f>ISNUMBER(MATCH(X285,'ProCESS CSE'!W:W,0))</f>
        <v>0</v>
      </c>
      <c r="Z285" s="157"/>
      <c r="AA285" s="157"/>
      <c r="AB285" s="157"/>
      <c r="AC285" s="157"/>
      <c r="AD285" s="157"/>
      <c r="AE285" s="157"/>
      <c r="AF285" s="157"/>
      <c r="AG285" s="157"/>
      <c r="AH285" s="157"/>
      <c r="AI285" s="157"/>
      <c r="AJ285" s="157"/>
      <c r="AK285" s="157"/>
      <c r="AL285" s="157"/>
      <c r="AM285" s="157"/>
      <c r="AN285" s="157"/>
      <c r="AO285" s="157"/>
      <c r="AP285" s="157"/>
    </row>
    <row r="286" spans="1:42" ht="29.1" customHeight="1" x14ac:dyDescent="0.25">
      <c r="A286" s="225" t="str">
        <f>'Participation Assumptions'!B287</f>
        <v>Dynamic Pricing w/o enabling tech.</v>
      </c>
      <c r="B286" s="225" t="s">
        <v>397</v>
      </c>
      <c r="C286" s="225" t="str">
        <f>'Participation Assumptions'!C287</f>
        <v>Residential</v>
      </c>
      <c r="D286" s="225" t="str">
        <f>'Participation Assumptions'!D287</f>
        <v>Residential LI</v>
      </c>
      <c r="E286" s="330">
        <f>1-E264</f>
        <v>0.99668167567380805</v>
      </c>
      <c r="F286" s="330">
        <f t="shared" ref="F286:U286" si="244">1-F264</f>
        <v>0.99480479155012447</v>
      </c>
      <c r="G286" s="330">
        <f t="shared" si="244"/>
        <v>0.99186631920676904</v>
      </c>
      <c r="H286" s="330">
        <f t="shared" si="244"/>
        <v>0.98726581158687499</v>
      </c>
      <c r="I286" s="330">
        <f t="shared" si="244"/>
        <v>0.97580846630258522</v>
      </c>
      <c r="J286" s="330">
        <f t="shared" si="244"/>
        <v>0.95404259120039681</v>
      </c>
      <c r="K286" s="330">
        <f t="shared" si="244"/>
        <v>0.91269328145988715</v>
      </c>
      <c r="L286" s="330">
        <f t="shared" si="244"/>
        <v>0.83414071199096196</v>
      </c>
      <c r="M286" s="330">
        <f t="shared" si="244"/>
        <v>0.6849119531823209</v>
      </c>
      <c r="N286" s="330">
        <f t="shared" si="244"/>
        <v>0.40141743981217393</v>
      </c>
      <c r="O286" s="330">
        <f t="shared" si="244"/>
        <v>0</v>
      </c>
      <c r="P286" s="330">
        <f t="shared" si="244"/>
        <v>0</v>
      </c>
      <c r="Q286" s="330">
        <f t="shared" si="244"/>
        <v>0</v>
      </c>
      <c r="R286" s="330">
        <f t="shared" si="244"/>
        <v>0</v>
      </c>
      <c r="S286" s="330">
        <f t="shared" si="244"/>
        <v>0</v>
      </c>
      <c r="T286" s="330">
        <f t="shared" si="244"/>
        <v>0</v>
      </c>
      <c r="U286" s="330">
        <f t="shared" si="244"/>
        <v>0</v>
      </c>
      <c r="V286" s="429" t="s">
        <v>313</v>
      </c>
      <c r="W286" s="200" t="str">
        <f t="shared" si="223"/>
        <v>Residential</v>
      </c>
      <c r="X286" s="198" t="str">
        <f t="shared" si="221"/>
        <v>Dynamic Pricing w/o enabling tech.Residential</v>
      </c>
      <c r="Y286" s="157" t="b">
        <f>ISNUMBER(MATCH(X286,'ProCESS CSE'!W:W,0))</f>
        <v>0</v>
      </c>
      <c r="Z286" s="157"/>
      <c r="AA286" s="157"/>
      <c r="AB286" s="157"/>
      <c r="AC286" s="157"/>
      <c r="AD286" s="157"/>
      <c r="AE286" s="157"/>
      <c r="AF286" s="157"/>
      <c r="AG286" s="157"/>
      <c r="AH286" s="157"/>
      <c r="AI286" s="157"/>
      <c r="AJ286" s="157"/>
      <c r="AK286" s="157"/>
      <c r="AL286" s="157"/>
      <c r="AM286" s="157"/>
      <c r="AN286" s="157"/>
      <c r="AO286" s="157"/>
      <c r="AP286" s="157"/>
    </row>
    <row r="287" spans="1:42" ht="29.1" customHeight="1" x14ac:dyDescent="0.25">
      <c r="A287" s="225" t="str">
        <f>'Participation Assumptions'!B288</f>
        <v>Dynamic Pricing w/o enabling tech.</v>
      </c>
      <c r="B287" s="225" t="s">
        <v>397</v>
      </c>
      <c r="C287" s="225" t="str">
        <f>'Participation Assumptions'!C288</f>
        <v>Residential</v>
      </c>
      <c r="D287" s="225" t="str">
        <f>'Participation Assumptions'!D288</f>
        <v>Residential Market Rate</v>
      </c>
      <c r="E287" s="330">
        <f>1-E265</f>
        <v>0.99668167567380805</v>
      </c>
      <c r="F287" s="330">
        <f t="shared" ref="F287:U287" si="245">1-F265</f>
        <v>0.99480479155012447</v>
      </c>
      <c r="G287" s="330">
        <f t="shared" si="245"/>
        <v>0.99186631920676904</v>
      </c>
      <c r="H287" s="330">
        <f t="shared" si="245"/>
        <v>0.98726581158687499</v>
      </c>
      <c r="I287" s="330">
        <f t="shared" si="245"/>
        <v>0.97580846630258522</v>
      </c>
      <c r="J287" s="330">
        <f t="shared" si="245"/>
        <v>0.95404259120039681</v>
      </c>
      <c r="K287" s="330">
        <f t="shared" si="245"/>
        <v>0.91269328145988715</v>
      </c>
      <c r="L287" s="330">
        <f t="shared" si="245"/>
        <v>0.83414071199096196</v>
      </c>
      <c r="M287" s="330">
        <f t="shared" si="245"/>
        <v>0.6849119531823209</v>
      </c>
      <c r="N287" s="330">
        <f t="shared" si="245"/>
        <v>0.40141743981217393</v>
      </c>
      <c r="O287" s="330">
        <f t="shared" si="245"/>
        <v>0</v>
      </c>
      <c r="P287" s="330">
        <f t="shared" si="245"/>
        <v>0</v>
      </c>
      <c r="Q287" s="330">
        <f t="shared" si="245"/>
        <v>0</v>
      </c>
      <c r="R287" s="330">
        <f t="shared" si="245"/>
        <v>0</v>
      </c>
      <c r="S287" s="330">
        <f t="shared" si="245"/>
        <v>0</v>
      </c>
      <c r="T287" s="330">
        <f t="shared" si="245"/>
        <v>0</v>
      </c>
      <c r="U287" s="330">
        <f t="shared" si="245"/>
        <v>0</v>
      </c>
      <c r="V287" s="429"/>
      <c r="W287" s="200" t="str">
        <f t="shared" si="223"/>
        <v>Residential</v>
      </c>
      <c r="X287" s="198" t="str">
        <f t="shared" si="221"/>
        <v>Dynamic Pricing w/o enabling tech.Residential</v>
      </c>
      <c r="Y287" s="157" t="b">
        <f>ISNUMBER(MATCH(X287,'ProCESS CSE'!W:W,0))</f>
        <v>0</v>
      </c>
      <c r="Z287" s="157"/>
      <c r="AA287" s="157"/>
      <c r="AB287" s="157"/>
      <c r="AC287" s="157"/>
      <c r="AD287" s="157"/>
      <c r="AE287" s="157"/>
      <c r="AF287" s="157"/>
      <c r="AG287" s="157"/>
      <c r="AH287" s="157"/>
      <c r="AI287" s="157"/>
      <c r="AJ287" s="157"/>
      <c r="AK287" s="157"/>
      <c r="AL287" s="157"/>
      <c r="AM287" s="157"/>
      <c r="AN287" s="157"/>
      <c r="AO287" s="157"/>
      <c r="AP287" s="157"/>
    </row>
    <row r="288" spans="1:42" ht="15" customHeight="1" x14ac:dyDescent="0.25">
      <c r="A288" s="225" t="str">
        <f>'Participation Assumptions'!B289</f>
        <v>Dynamic Pricing w/o enabling tech.</v>
      </c>
      <c r="B288" s="225" t="s">
        <v>397</v>
      </c>
      <c r="C288" s="225" t="str">
        <f>'Participation Assumptions'!C289</f>
        <v>Small Commercial</v>
      </c>
      <c r="D288" s="225" t="str">
        <f>'Participation Assumptions'!D289</f>
        <v>Manufacturing</v>
      </c>
      <c r="E288" s="330">
        <f t="shared" ref="E288:U288" si="246">1-E266</f>
        <v>0.9854653249580666</v>
      </c>
      <c r="F288" s="330">
        <f t="shared" si="246"/>
        <v>0.98475514595266367</v>
      </c>
      <c r="G288" s="330">
        <f t="shared" si="246"/>
        <v>0.98401026687875148</v>
      </c>
      <c r="H288" s="330">
        <f t="shared" si="246"/>
        <v>0.98322899225569005</v>
      </c>
      <c r="I288" s="330">
        <f t="shared" si="246"/>
        <v>0.98134314134735878</v>
      </c>
      <c r="J288" s="330">
        <f t="shared" si="246"/>
        <v>0.97924523200445535</v>
      </c>
      <c r="K288" s="330">
        <f t="shared" si="246"/>
        <v>0.97691141887447908</v>
      </c>
      <c r="L288" s="330">
        <f t="shared" si="246"/>
        <v>0.97431517526458511</v>
      </c>
      <c r="M288" s="330">
        <f t="shared" si="246"/>
        <v>0.97142699163268331</v>
      </c>
      <c r="N288" s="330">
        <f t="shared" si="246"/>
        <v>0.96821404017473978</v>
      </c>
      <c r="O288" s="330">
        <f t="shared" si="246"/>
        <v>0.96463980169589891</v>
      </c>
      <c r="P288" s="330">
        <f t="shared" si="246"/>
        <v>0.96066365052435165</v>
      </c>
      <c r="Q288" s="330">
        <f t="shared" si="246"/>
        <v>0.95624039274997852</v>
      </c>
      <c r="R288" s="330">
        <f t="shared" si="246"/>
        <v>0.9513197525392747</v>
      </c>
      <c r="S288" s="330">
        <f t="shared" si="246"/>
        <v>0.94584580068788693</v>
      </c>
      <c r="T288" s="330">
        <f t="shared" si="246"/>
        <v>0.93975631891554945</v>
      </c>
      <c r="U288" s="330">
        <f t="shared" si="246"/>
        <v>0.93298209267783982</v>
      </c>
      <c r="V288" s="429"/>
      <c r="W288" s="200" t="str">
        <f t="shared" si="223"/>
        <v>Small</v>
      </c>
      <c r="X288" s="198" t="str">
        <f t="shared" si="221"/>
        <v>Dynamic Pricing w/o enabling tech.Small</v>
      </c>
      <c r="Y288" s="157" t="b">
        <f>ISNUMBER(MATCH(X288,'ProCESS CSE'!W:W,0))</f>
        <v>0</v>
      </c>
      <c r="Z288" s="157"/>
      <c r="AA288" s="157"/>
      <c r="AB288" s="157"/>
      <c r="AC288" s="157"/>
      <c r="AD288" s="157"/>
      <c r="AE288" s="157"/>
      <c r="AF288" s="157"/>
      <c r="AG288" s="157"/>
      <c r="AH288" s="157"/>
      <c r="AI288" s="157"/>
      <c r="AJ288" s="157"/>
      <c r="AK288" s="157"/>
      <c r="AL288" s="157"/>
      <c r="AM288" s="157"/>
      <c r="AN288" s="157"/>
      <c r="AO288" s="157"/>
      <c r="AP288" s="157"/>
    </row>
    <row r="289" spans="1:42" ht="29.1" customHeight="1" x14ac:dyDescent="0.25">
      <c r="A289" s="225" t="str">
        <f>'Participation Assumptions'!B290</f>
        <v>Dynamic Pricing w/o enabling tech.</v>
      </c>
      <c r="B289" s="225" t="s">
        <v>397</v>
      </c>
      <c r="C289" s="225" t="str">
        <f>'Participation Assumptions'!C290</f>
        <v>Small Commercial</v>
      </c>
      <c r="D289" s="225" t="str">
        <f>'Participation Assumptions'!D290</f>
        <v>Miscellaneous</v>
      </c>
      <c r="E289" s="330">
        <f t="shared" ref="E289:U289" si="247">1-E267</f>
        <v>0.9854653249580666</v>
      </c>
      <c r="F289" s="330">
        <f t="shared" si="247"/>
        <v>0.98475514595266367</v>
      </c>
      <c r="G289" s="330">
        <f t="shared" si="247"/>
        <v>0.98401026687875148</v>
      </c>
      <c r="H289" s="330">
        <f t="shared" si="247"/>
        <v>0.98322899225569005</v>
      </c>
      <c r="I289" s="330">
        <f t="shared" si="247"/>
        <v>0.98134314134735878</v>
      </c>
      <c r="J289" s="330">
        <f t="shared" si="247"/>
        <v>0.97924523200445535</v>
      </c>
      <c r="K289" s="330">
        <f t="shared" si="247"/>
        <v>0.97691141887447908</v>
      </c>
      <c r="L289" s="330">
        <f t="shared" si="247"/>
        <v>0.97431517526458511</v>
      </c>
      <c r="M289" s="330">
        <f t="shared" si="247"/>
        <v>0.97142699163268331</v>
      </c>
      <c r="N289" s="330">
        <f t="shared" si="247"/>
        <v>0.96821404017473978</v>
      </c>
      <c r="O289" s="330">
        <f t="shared" si="247"/>
        <v>0.96463980169589891</v>
      </c>
      <c r="P289" s="330">
        <f t="shared" si="247"/>
        <v>0.96066365052435165</v>
      </c>
      <c r="Q289" s="330">
        <f t="shared" si="247"/>
        <v>0.95624039274997852</v>
      </c>
      <c r="R289" s="330">
        <f t="shared" si="247"/>
        <v>0.9513197525392747</v>
      </c>
      <c r="S289" s="330">
        <f t="shared" si="247"/>
        <v>0.94584580068788693</v>
      </c>
      <c r="T289" s="330">
        <f t="shared" si="247"/>
        <v>0.93975631891554945</v>
      </c>
      <c r="U289" s="330">
        <f t="shared" si="247"/>
        <v>0.93298209267783982</v>
      </c>
      <c r="V289" s="429"/>
      <c r="W289" s="200" t="str">
        <f t="shared" si="223"/>
        <v>Small</v>
      </c>
      <c r="X289" s="198" t="str">
        <f t="shared" si="221"/>
        <v>Dynamic Pricing w/o enabling tech.Small</v>
      </c>
      <c r="Y289" s="157" t="b">
        <f>ISNUMBER(MATCH(X289,'ProCESS CSE'!W:W,0))</f>
        <v>0</v>
      </c>
      <c r="Z289" s="157"/>
      <c r="AA289" s="157"/>
      <c r="AB289" s="157"/>
      <c r="AC289" s="157"/>
      <c r="AD289" s="157"/>
      <c r="AE289" s="157"/>
      <c r="AF289" s="157"/>
      <c r="AG289" s="157"/>
      <c r="AH289" s="157"/>
      <c r="AI289" s="157"/>
      <c r="AJ289" s="157"/>
      <c r="AK289" s="157"/>
      <c r="AL289" s="157"/>
      <c r="AM289" s="157"/>
      <c r="AN289" s="157"/>
      <c r="AO289" s="157"/>
      <c r="AP289" s="157"/>
    </row>
    <row r="290" spans="1:42" ht="29.1" customHeight="1" x14ac:dyDescent="0.25">
      <c r="A290" s="225" t="str">
        <f>'Participation Assumptions'!B291</f>
        <v>Dynamic Pricing w/o enabling tech.</v>
      </c>
      <c r="B290" s="225" t="s">
        <v>397</v>
      </c>
      <c r="C290" s="225" t="str">
        <f>'Participation Assumptions'!C291</f>
        <v>Small Commercial</v>
      </c>
      <c r="D290" s="225" t="str">
        <f>'Participation Assumptions'!D291</f>
        <v>Offices</v>
      </c>
      <c r="E290" s="330">
        <f t="shared" ref="E290:U290" si="248">1-E268</f>
        <v>0.9854653249580666</v>
      </c>
      <c r="F290" s="330">
        <f t="shared" si="248"/>
        <v>0.98475514595266367</v>
      </c>
      <c r="G290" s="330">
        <f t="shared" si="248"/>
        <v>0.98401026687875148</v>
      </c>
      <c r="H290" s="330">
        <f t="shared" si="248"/>
        <v>0.98322899225569005</v>
      </c>
      <c r="I290" s="330">
        <f t="shared" si="248"/>
        <v>0.98134314134735878</v>
      </c>
      <c r="J290" s="330">
        <f t="shared" si="248"/>
        <v>0.97924523200445535</v>
      </c>
      <c r="K290" s="330">
        <f t="shared" si="248"/>
        <v>0.97691141887447908</v>
      </c>
      <c r="L290" s="330">
        <f t="shared" si="248"/>
        <v>0.97431517526458511</v>
      </c>
      <c r="M290" s="330">
        <f t="shared" si="248"/>
        <v>0.97142699163268331</v>
      </c>
      <c r="N290" s="330">
        <f t="shared" si="248"/>
        <v>0.96821404017473978</v>
      </c>
      <c r="O290" s="330">
        <f t="shared" si="248"/>
        <v>0.96463980169589891</v>
      </c>
      <c r="P290" s="330">
        <f t="shared" si="248"/>
        <v>0.96066365052435165</v>
      </c>
      <c r="Q290" s="330">
        <f t="shared" si="248"/>
        <v>0.95624039274997852</v>
      </c>
      <c r="R290" s="330">
        <f t="shared" si="248"/>
        <v>0.9513197525392747</v>
      </c>
      <c r="S290" s="330">
        <f t="shared" si="248"/>
        <v>0.94584580068788693</v>
      </c>
      <c r="T290" s="330">
        <f t="shared" si="248"/>
        <v>0.93975631891554945</v>
      </c>
      <c r="U290" s="330">
        <f t="shared" si="248"/>
        <v>0.93298209267783982</v>
      </c>
      <c r="V290" s="429"/>
      <c r="W290" s="200" t="str">
        <f t="shared" si="223"/>
        <v>Small</v>
      </c>
      <c r="X290" s="198" t="str">
        <f t="shared" si="221"/>
        <v>Dynamic Pricing w/o enabling tech.Small</v>
      </c>
      <c r="Y290" s="157" t="b">
        <f>ISNUMBER(MATCH(X290,'ProCESS CSE'!W:W,0))</f>
        <v>0</v>
      </c>
      <c r="Z290" s="157"/>
      <c r="AA290" s="157"/>
      <c r="AB290" s="157"/>
      <c r="AC290" s="157"/>
      <c r="AD290" s="157"/>
      <c r="AE290" s="157"/>
      <c r="AF290" s="157"/>
      <c r="AG290" s="157"/>
      <c r="AH290" s="157"/>
      <c r="AI290" s="157"/>
      <c r="AJ290" s="157"/>
      <c r="AK290" s="157"/>
      <c r="AL290" s="157"/>
      <c r="AM290" s="157"/>
      <c r="AN290" s="157"/>
      <c r="AO290" s="157"/>
      <c r="AP290" s="157"/>
    </row>
    <row r="291" spans="1:42" ht="29.1" customHeight="1" x14ac:dyDescent="0.25">
      <c r="A291" s="225" t="str">
        <f>'Participation Assumptions'!B292</f>
        <v>Dynamic Pricing w/o enabling tech.</v>
      </c>
      <c r="B291" s="225" t="s">
        <v>397</v>
      </c>
      <c r="C291" s="225" t="str">
        <f>'Participation Assumptions'!C292</f>
        <v>Small Commercial</v>
      </c>
      <c r="D291" s="225" t="str">
        <f>'Participation Assumptions'!D292</f>
        <v>Retail Trade</v>
      </c>
      <c r="E291" s="330">
        <f t="shared" ref="E291:U291" si="249">1-E269</f>
        <v>0.9854653249580666</v>
      </c>
      <c r="F291" s="330">
        <f t="shared" si="249"/>
        <v>0.98475514595266367</v>
      </c>
      <c r="G291" s="330">
        <f t="shared" si="249"/>
        <v>0.98401026687875148</v>
      </c>
      <c r="H291" s="330">
        <f t="shared" si="249"/>
        <v>0.98322899225569005</v>
      </c>
      <c r="I291" s="330">
        <f t="shared" si="249"/>
        <v>0.98134314134735878</v>
      </c>
      <c r="J291" s="330">
        <f t="shared" si="249"/>
        <v>0.97924523200445535</v>
      </c>
      <c r="K291" s="330">
        <f t="shared" si="249"/>
        <v>0.97691141887447908</v>
      </c>
      <c r="L291" s="330">
        <f t="shared" si="249"/>
        <v>0.97431517526458511</v>
      </c>
      <c r="M291" s="330">
        <f t="shared" si="249"/>
        <v>0.97142699163268331</v>
      </c>
      <c r="N291" s="330">
        <f t="shared" si="249"/>
        <v>0.96821404017473978</v>
      </c>
      <c r="O291" s="330">
        <f t="shared" si="249"/>
        <v>0.96463980169589891</v>
      </c>
      <c r="P291" s="330">
        <f t="shared" si="249"/>
        <v>0.96066365052435165</v>
      </c>
      <c r="Q291" s="330">
        <f t="shared" si="249"/>
        <v>0.95624039274997852</v>
      </c>
      <c r="R291" s="330">
        <f t="shared" si="249"/>
        <v>0.9513197525392747</v>
      </c>
      <c r="S291" s="330">
        <f t="shared" si="249"/>
        <v>0.94584580068788693</v>
      </c>
      <c r="T291" s="330">
        <f t="shared" si="249"/>
        <v>0.93975631891554945</v>
      </c>
      <c r="U291" s="330">
        <f t="shared" si="249"/>
        <v>0.93298209267783982</v>
      </c>
      <c r="V291" s="429"/>
      <c r="W291" s="200" t="str">
        <f t="shared" si="223"/>
        <v>Small</v>
      </c>
      <c r="X291" s="198" t="str">
        <f t="shared" si="221"/>
        <v>Dynamic Pricing w/o enabling tech.Small</v>
      </c>
      <c r="Y291" s="157" t="b">
        <f>ISNUMBER(MATCH(X291,'ProCESS CSE'!W:W,0))</f>
        <v>0</v>
      </c>
      <c r="Z291" s="157"/>
      <c r="AA291" s="157"/>
      <c r="AB291" s="157"/>
      <c r="AC291" s="157"/>
      <c r="AD291" s="157"/>
      <c r="AE291" s="157"/>
      <c r="AF291" s="157"/>
      <c r="AG291" s="157"/>
      <c r="AH291" s="157"/>
      <c r="AI291" s="157"/>
      <c r="AJ291" s="157"/>
      <c r="AK291" s="157"/>
      <c r="AL291" s="157"/>
      <c r="AM291" s="157"/>
      <c r="AN291" s="157"/>
      <c r="AO291" s="157"/>
      <c r="AP291" s="157"/>
    </row>
    <row r="292" spans="1:42" ht="29.1" customHeight="1" x14ac:dyDescent="0.25">
      <c r="A292" s="225" t="str">
        <f>'Participation Assumptions'!B293</f>
        <v>Dynamic Pricing w/o enabling tech.</v>
      </c>
      <c r="B292" s="225" t="s">
        <v>397</v>
      </c>
      <c r="C292" s="225" t="str">
        <f>'Participation Assumptions'!C293</f>
        <v>Small Commercial</v>
      </c>
      <c r="D292" s="225" t="str">
        <f>'Participation Assumptions'!D293</f>
        <v>Services</v>
      </c>
      <c r="E292" s="330">
        <f t="shared" ref="E292:U292" si="250">1-E270</f>
        <v>0.9854653249580666</v>
      </c>
      <c r="F292" s="330">
        <f t="shared" si="250"/>
        <v>0.98475514595266367</v>
      </c>
      <c r="G292" s="330">
        <f t="shared" si="250"/>
        <v>0.98401026687875148</v>
      </c>
      <c r="H292" s="330">
        <f t="shared" si="250"/>
        <v>0.98322899225569005</v>
      </c>
      <c r="I292" s="330">
        <f t="shared" si="250"/>
        <v>0.98134314134735878</v>
      </c>
      <c r="J292" s="330">
        <f t="shared" si="250"/>
        <v>0.97924523200445535</v>
      </c>
      <c r="K292" s="330">
        <f t="shared" si="250"/>
        <v>0.97691141887447908</v>
      </c>
      <c r="L292" s="330">
        <f t="shared" si="250"/>
        <v>0.97431517526458511</v>
      </c>
      <c r="M292" s="330">
        <f t="shared" si="250"/>
        <v>0.97142699163268331</v>
      </c>
      <c r="N292" s="330">
        <f t="shared" si="250"/>
        <v>0.96821404017473978</v>
      </c>
      <c r="O292" s="330">
        <f t="shared" si="250"/>
        <v>0.96463980169589891</v>
      </c>
      <c r="P292" s="330">
        <f t="shared" si="250"/>
        <v>0.96066365052435165</v>
      </c>
      <c r="Q292" s="330">
        <f t="shared" si="250"/>
        <v>0.95624039274997852</v>
      </c>
      <c r="R292" s="330">
        <f t="shared" si="250"/>
        <v>0.9513197525392747</v>
      </c>
      <c r="S292" s="330">
        <f t="shared" si="250"/>
        <v>0.94584580068788693</v>
      </c>
      <c r="T292" s="330">
        <f t="shared" si="250"/>
        <v>0.93975631891554945</v>
      </c>
      <c r="U292" s="330">
        <f t="shared" si="250"/>
        <v>0.93298209267783982</v>
      </c>
      <c r="V292" s="429"/>
      <c r="W292" s="200" t="str">
        <f t="shared" si="223"/>
        <v>Small</v>
      </c>
      <c r="X292" s="198" t="str">
        <f t="shared" si="221"/>
        <v>Dynamic Pricing w/o enabling tech.Small</v>
      </c>
      <c r="Y292" s="157" t="b">
        <f>ISNUMBER(MATCH(X292,'ProCESS CSE'!W:W,0))</f>
        <v>0</v>
      </c>
      <c r="Z292" s="157"/>
      <c r="AA292" s="157"/>
      <c r="AB292" s="157"/>
      <c r="AC292" s="157"/>
      <c r="AD292" s="157"/>
      <c r="AE292" s="157"/>
      <c r="AF292" s="157"/>
      <c r="AG292" s="157"/>
      <c r="AH292" s="157"/>
      <c r="AI292" s="157"/>
      <c r="AJ292" s="157"/>
      <c r="AK292" s="157"/>
      <c r="AL292" s="157"/>
      <c r="AM292" s="157"/>
      <c r="AN292" s="157"/>
      <c r="AO292" s="157"/>
      <c r="AP292" s="157"/>
    </row>
    <row r="293" spans="1:42" ht="29.1" customHeight="1" x14ac:dyDescent="0.25">
      <c r="A293" s="225" t="str">
        <f>'Participation Assumptions'!B294</f>
        <v>Dynamic Pricing w/o enabling tech.</v>
      </c>
      <c r="B293" s="225" t="s">
        <v>397</v>
      </c>
      <c r="C293" s="225" t="str">
        <f>'Participation Assumptions'!C294</f>
        <v>Small Industrial</v>
      </c>
      <c r="D293" s="225" t="str">
        <f>'Participation Assumptions'!D294</f>
        <v>Manufacturing</v>
      </c>
      <c r="E293" s="330">
        <f t="shared" ref="E293:U293" si="251">1-E271</f>
        <v>0.9854653249580666</v>
      </c>
      <c r="F293" s="330">
        <f t="shared" si="251"/>
        <v>0.98475514595266367</v>
      </c>
      <c r="G293" s="330">
        <f t="shared" si="251"/>
        <v>0.98401026687875148</v>
      </c>
      <c r="H293" s="330">
        <f t="shared" si="251"/>
        <v>0.98322899225569005</v>
      </c>
      <c r="I293" s="330">
        <f t="shared" si="251"/>
        <v>0.98134314134735878</v>
      </c>
      <c r="J293" s="330">
        <f t="shared" si="251"/>
        <v>0.97924523200445535</v>
      </c>
      <c r="K293" s="330">
        <f t="shared" si="251"/>
        <v>0.97691141887447908</v>
      </c>
      <c r="L293" s="330">
        <f t="shared" si="251"/>
        <v>0.97431517526458511</v>
      </c>
      <c r="M293" s="330">
        <f t="shared" si="251"/>
        <v>0.97142699163268331</v>
      </c>
      <c r="N293" s="330">
        <f t="shared" si="251"/>
        <v>0.96821404017473978</v>
      </c>
      <c r="O293" s="330">
        <f t="shared" si="251"/>
        <v>0.96463980169589891</v>
      </c>
      <c r="P293" s="330">
        <f t="shared" si="251"/>
        <v>0.96066365052435165</v>
      </c>
      <c r="Q293" s="330">
        <f t="shared" si="251"/>
        <v>0.95624039274997852</v>
      </c>
      <c r="R293" s="330">
        <f t="shared" si="251"/>
        <v>0.9513197525392747</v>
      </c>
      <c r="S293" s="330">
        <f t="shared" si="251"/>
        <v>0.94584580068788693</v>
      </c>
      <c r="T293" s="330">
        <f t="shared" si="251"/>
        <v>0.93975631891554945</v>
      </c>
      <c r="U293" s="330">
        <f t="shared" si="251"/>
        <v>0.93298209267783982</v>
      </c>
      <c r="V293" s="429"/>
      <c r="W293" s="200" t="str">
        <f t="shared" si="223"/>
        <v>Small</v>
      </c>
      <c r="X293" s="198" t="str">
        <f t="shared" si="221"/>
        <v>Dynamic Pricing w/o enabling tech.Small</v>
      </c>
      <c r="Y293" s="157" t="b">
        <f>ISNUMBER(MATCH(X293,'ProCESS CSE'!W:W,0))</f>
        <v>0</v>
      </c>
      <c r="Z293" s="157"/>
      <c r="AA293" s="157"/>
      <c r="AB293" s="157"/>
      <c r="AC293" s="157"/>
      <c r="AD293" s="157"/>
      <c r="AE293" s="157"/>
      <c r="AF293" s="157"/>
      <c r="AG293" s="157"/>
      <c r="AH293" s="157"/>
      <c r="AI293" s="157"/>
      <c r="AJ293" s="157"/>
      <c r="AK293" s="157"/>
      <c r="AL293" s="157"/>
      <c r="AM293" s="157"/>
      <c r="AN293" s="157"/>
      <c r="AO293" s="157"/>
      <c r="AP293" s="157"/>
    </row>
    <row r="294" spans="1:42" ht="29.1" customHeight="1" x14ac:dyDescent="0.25">
      <c r="A294" s="225" t="str">
        <f>'Participation Assumptions'!B295</f>
        <v>Dynamic Pricing w/o enabling tech.</v>
      </c>
      <c r="B294" s="225" t="s">
        <v>397</v>
      </c>
      <c r="C294" s="225" t="str">
        <f>'Participation Assumptions'!C295</f>
        <v>Small Industrial</v>
      </c>
      <c r="D294" s="225" t="str">
        <f>'Participation Assumptions'!D295</f>
        <v>Miscellaneous</v>
      </c>
      <c r="E294" s="330">
        <f t="shared" ref="E294:U294" si="252">1-E272</f>
        <v>0.9854653249580666</v>
      </c>
      <c r="F294" s="330">
        <f t="shared" si="252"/>
        <v>0.98475514595266367</v>
      </c>
      <c r="G294" s="330">
        <f t="shared" si="252"/>
        <v>0.98401026687875148</v>
      </c>
      <c r="H294" s="330">
        <f t="shared" si="252"/>
        <v>0.98322899225569005</v>
      </c>
      <c r="I294" s="330">
        <f t="shared" si="252"/>
        <v>0.98134314134735878</v>
      </c>
      <c r="J294" s="330">
        <f t="shared" si="252"/>
        <v>0.97924523200445535</v>
      </c>
      <c r="K294" s="330">
        <f t="shared" si="252"/>
        <v>0.97691141887447908</v>
      </c>
      <c r="L294" s="330">
        <f t="shared" si="252"/>
        <v>0.97431517526458511</v>
      </c>
      <c r="M294" s="330">
        <f t="shared" si="252"/>
        <v>0.97142699163268331</v>
      </c>
      <c r="N294" s="330">
        <f t="shared" si="252"/>
        <v>0.96821404017473978</v>
      </c>
      <c r="O294" s="330">
        <f t="shared" si="252"/>
        <v>0.96463980169589891</v>
      </c>
      <c r="P294" s="330">
        <f t="shared" si="252"/>
        <v>0.96066365052435165</v>
      </c>
      <c r="Q294" s="330">
        <f t="shared" si="252"/>
        <v>0.95624039274997852</v>
      </c>
      <c r="R294" s="330">
        <f t="shared" si="252"/>
        <v>0.9513197525392747</v>
      </c>
      <c r="S294" s="330">
        <f t="shared" si="252"/>
        <v>0.94584580068788693</v>
      </c>
      <c r="T294" s="330">
        <f t="shared" si="252"/>
        <v>0.93975631891554945</v>
      </c>
      <c r="U294" s="330">
        <f t="shared" si="252"/>
        <v>0.93298209267783982</v>
      </c>
      <c r="V294" s="429"/>
      <c r="W294" s="200" t="str">
        <f t="shared" si="223"/>
        <v>Small</v>
      </c>
      <c r="X294" s="198" t="str">
        <f t="shared" si="221"/>
        <v>Dynamic Pricing w/o enabling tech.Small</v>
      </c>
      <c r="Y294" s="157" t="b">
        <f>ISNUMBER(MATCH(X294,'ProCESS CSE'!W:W,0))</f>
        <v>0</v>
      </c>
      <c r="Z294" s="157"/>
      <c r="AA294" s="157"/>
      <c r="AB294" s="157"/>
      <c r="AC294" s="157"/>
      <c r="AD294" s="157"/>
      <c r="AE294" s="157"/>
      <c r="AF294" s="157"/>
      <c r="AG294" s="157"/>
      <c r="AH294" s="157"/>
      <c r="AI294" s="157"/>
      <c r="AJ294" s="157"/>
      <c r="AK294" s="157"/>
      <c r="AL294" s="157"/>
      <c r="AM294" s="157"/>
      <c r="AN294" s="157"/>
      <c r="AO294" s="157"/>
      <c r="AP294" s="157"/>
    </row>
    <row r="295" spans="1:42" ht="29.1" customHeight="1" x14ac:dyDescent="0.25">
      <c r="A295" s="225" t="str">
        <f>'Participation Assumptions'!B296</f>
        <v>Dynamic Pricing w/o enabling tech.</v>
      </c>
      <c r="B295" s="225" t="s">
        <v>397</v>
      </c>
      <c r="C295" s="225" t="str">
        <f>'Participation Assumptions'!C296</f>
        <v>Small Industrial</v>
      </c>
      <c r="D295" s="225" t="str">
        <f>'Participation Assumptions'!D296</f>
        <v>Offices</v>
      </c>
      <c r="E295" s="330">
        <f t="shared" ref="E295:U295" si="253">1-E273</f>
        <v>0.9854653249580666</v>
      </c>
      <c r="F295" s="330">
        <f t="shared" si="253"/>
        <v>0.98475514595266367</v>
      </c>
      <c r="G295" s="330">
        <f t="shared" si="253"/>
        <v>0.98401026687875148</v>
      </c>
      <c r="H295" s="330">
        <f t="shared" si="253"/>
        <v>0.98322899225569005</v>
      </c>
      <c r="I295" s="330">
        <f t="shared" si="253"/>
        <v>0.98134314134735878</v>
      </c>
      <c r="J295" s="330">
        <f t="shared" si="253"/>
        <v>0.97924523200445535</v>
      </c>
      <c r="K295" s="330">
        <f t="shared" si="253"/>
        <v>0.97691141887447908</v>
      </c>
      <c r="L295" s="330">
        <f t="shared" si="253"/>
        <v>0.97431517526458511</v>
      </c>
      <c r="M295" s="330">
        <f t="shared" si="253"/>
        <v>0.97142699163268331</v>
      </c>
      <c r="N295" s="330">
        <f t="shared" si="253"/>
        <v>0.96821404017473978</v>
      </c>
      <c r="O295" s="330">
        <f t="shared" si="253"/>
        <v>0.96463980169589891</v>
      </c>
      <c r="P295" s="330">
        <f t="shared" si="253"/>
        <v>0.96066365052435165</v>
      </c>
      <c r="Q295" s="330">
        <f t="shared" si="253"/>
        <v>0.95624039274997852</v>
      </c>
      <c r="R295" s="330">
        <f t="shared" si="253"/>
        <v>0.9513197525392747</v>
      </c>
      <c r="S295" s="330">
        <f t="shared" si="253"/>
        <v>0.94584580068788693</v>
      </c>
      <c r="T295" s="330">
        <f t="shared" si="253"/>
        <v>0.93975631891554945</v>
      </c>
      <c r="U295" s="330">
        <f t="shared" si="253"/>
        <v>0.93298209267783982</v>
      </c>
      <c r="V295" s="429"/>
      <c r="W295" s="200" t="str">
        <f t="shared" si="223"/>
        <v>Small</v>
      </c>
      <c r="X295" s="198" t="str">
        <f t="shared" si="221"/>
        <v>Dynamic Pricing w/o enabling tech.Small</v>
      </c>
      <c r="Y295" s="157" t="b">
        <f>ISNUMBER(MATCH(X295,'ProCESS CSE'!W:W,0))</f>
        <v>0</v>
      </c>
      <c r="Z295" s="157"/>
      <c r="AA295" s="157"/>
      <c r="AB295" s="157"/>
      <c r="AC295" s="157"/>
      <c r="AD295" s="157"/>
      <c r="AE295" s="157"/>
      <c r="AF295" s="157"/>
      <c r="AG295" s="157"/>
      <c r="AH295" s="157"/>
      <c r="AI295" s="157"/>
      <c r="AJ295" s="157"/>
      <c r="AK295" s="157"/>
      <c r="AL295" s="157"/>
      <c r="AM295" s="157"/>
      <c r="AN295" s="157"/>
      <c r="AO295" s="157"/>
      <c r="AP295" s="157"/>
    </row>
    <row r="296" spans="1:42" ht="29.1" customHeight="1" x14ac:dyDescent="0.25">
      <c r="A296" s="225" t="str">
        <f>'Participation Assumptions'!B297</f>
        <v>Dynamic Pricing w/o enabling tech.</v>
      </c>
      <c r="B296" s="225" t="s">
        <v>397</v>
      </c>
      <c r="C296" s="225" t="str">
        <f>'Participation Assumptions'!C297</f>
        <v>Small Industrial</v>
      </c>
      <c r="D296" s="225" t="str">
        <f>'Participation Assumptions'!D297</f>
        <v>Retail Trade</v>
      </c>
      <c r="E296" s="330">
        <f t="shared" ref="E296:U296" si="254">1-E274</f>
        <v>0.9854653249580666</v>
      </c>
      <c r="F296" s="330">
        <f t="shared" si="254"/>
        <v>0.98475514595266367</v>
      </c>
      <c r="G296" s="330">
        <f t="shared" si="254"/>
        <v>0.98401026687875148</v>
      </c>
      <c r="H296" s="330">
        <f t="shared" si="254"/>
        <v>0.98322899225569005</v>
      </c>
      <c r="I296" s="330">
        <f t="shared" si="254"/>
        <v>0.98134314134735878</v>
      </c>
      <c r="J296" s="330">
        <f t="shared" si="254"/>
        <v>0.97924523200445535</v>
      </c>
      <c r="K296" s="330">
        <f t="shared" si="254"/>
        <v>0.97691141887447908</v>
      </c>
      <c r="L296" s="330">
        <f t="shared" si="254"/>
        <v>0.97431517526458511</v>
      </c>
      <c r="M296" s="330">
        <f t="shared" si="254"/>
        <v>0.97142699163268331</v>
      </c>
      <c r="N296" s="330">
        <f t="shared" si="254"/>
        <v>0.96821404017473978</v>
      </c>
      <c r="O296" s="330">
        <f t="shared" si="254"/>
        <v>0.96463980169589891</v>
      </c>
      <c r="P296" s="330">
        <f t="shared" si="254"/>
        <v>0.96066365052435165</v>
      </c>
      <c r="Q296" s="330">
        <f t="shared" si="254"/>
        <v>0.95624039274997852</v>
      </c>
      <c r="R296" s="330">
        <f t="shared" si="254"/>
        <v>0.9513197525392747</v>
      </c>
      <c r="S296" s="330">
        <f t="shared" si="254"/>
        <v>0.94584580068788693</v>
      </c>
      <c r="T296" s="330">
        <f t="shared" si="254"/>
        <v>0.93975631891554945</v>
      </c>
      <c r="U296" s="330">
        <f t="shared" si="254"/>
        <v>0.93298209267783982</v>
      </c>
      <c r="V296" s="429"/>
      <c r="W296" s="200" t="str">
        <f t="shared" si="223"/>
        <v>Small</v>
      </c>
      <c r="X296" s="198" t="str">
        <f t="shared" si="221"/>
        <v>Dynamic Pricing w/o enabling tech.Small</v>
      </c>
      <c r="Y296" s="157" t="b">
        <f>ISNUMBER(MATCH(X296,'ProCESS CSE'!W:W,0))</f>
        <v>0</v>
      </c>
      <c r="Z296" s="157"/>
      <c r="AA296" s="157"/>
      <c r="AB296" s="157"/>
      <c r="AC296" s="157"/>
      <c r="AD296" s="157"/>
      <c r="AE296" s="157"/>
      <c r="AF296" s="157"/>
      <c r="AG296" s="157"/>
      <c r="AH296" s="157"/>
      <c r="AI296" s="157"/>
      <c r="AJ296" s="157"/>
      <c r="AK296" s="157"/>
      <c r="AL296" s="157"/>
      <c r="AM296" s="157"/>
      <c r="AN296" s="157"/>
      <c r="AO296" s="157"/>
      <c r="AP296" s="157"/>
    </row>
    <row r="297" spans="1:42" ht="29.1" customHeight="1" x14ac:dyDescent="0.25">
      <c r="A297" s="225" t="str">
        <f>'Participation Assumptions'!B298</f>
        <v>Dynamic Pricing w/o enabling tech.</v>
      </c>
      <c r="B297" s="225" t="s">
        <v>397</v>
      </c>
      <c r="C297" s="225" t="str">
        <f>'Participation Assumptions'!C298</f>
        <v>Small Industrial</v>
      </c>
      <c r="D297" s="225" t="str">
        <f>'Participation Assumptions'!D298</f>
        <v>Services</v>
      </c>
      <c r="E297" s="330">
        <f t="shared" ref="E297:U297" si="255">1-E275</f>
        <v>0.9854653249580666</v>
      </c>
      <c r="F297" s="330">
        <f t="shared" si="255"/>
        <v>0.98475514595266367</v>
      </c>
      <c r="G297" s="330">
        <f t="shared" si="255"/>
        <v>0.98401026687875148</v>
      </c>
      <c r="H297" s="330">
        <f t="shared" si="255"/>
        <v>0.98322899225569005</v>
      </c>
      <c r="I297" s="330">
        <f t="shared" si="255"/>
        <v>0.98134314134735878</v>
      </c>
      <c r="J297" s="330">
        <f t="shared" si="255"/>
        <v>0.97924523200445535</v>
      </c>
      <c r="K297" s="330">
        <f t="shared" si="255"/>
        <v>0.97691141887447908</v>
      </c>
      <c r="L297" s="330">
        <f t="shared" si="255"/>
        <v>0.97431517526458511</v>
      </c>
      <c r="M297" s="330">
        <f t="shared" si="255"/>
        <v>0.97142699163268331</v>
      </c>
      <c r="N297" s="330">
        <f t="shared" si="255"/>
        <v>0.96821404017473978</v>
      </c>
      <c r="O297" s="330">
        <f t="shared" si="255"/>
        <v>0.96463980169589891</v>
      </c>
      <c r="P297" s="330">
        <f t="shared" si="255"/>
        <v>0.96066365052435165</v>
      </c>
      <c r="Q297" s="330">
        <f t="shared" si="255"/>
        <v>0.95624039274997852</v>
      </c>
      <c r="R297" s="330">
        <f t="shared" si="255"/>
        <v>0.9513197525392747</v>
      </c>
      <c r="S297" s="330">
        <f t="shared" si="255"/>
        <v>0.94584580068788693</v>
      </c>
      <c r="T297" s="330">
        <f t="shared" si="255"/>
        <v>0.93975631891554945</v>
      </c>
      <c r="U297" s="330">
        <f t="shared" si="255"/>
        <v>0.93298209267783982</v>
      </c>
      <c r="V297" s="429"/>
      <c r="W297" s="200" t="str">
        <f t="shared" si="223"/>
        <v>Small</v>
      </c>
      <c r="X297" s="198" t="str">
        <f t="shared" si="221"/>
        <v>Dynamic Pricing w/o enabling tech.Small</v>
      </c>
      <c r="Y297" s="157" t="b">
        <f>ISNUMBER(MATCH(X297,'ProCESS CSE'!W:W,0))</f>
        <v>0</v>
      </c>
      <c r="Z297" s="157"/>
      <c r="AA297" s="157"/>
      <c r="AB297" s="157"/>
      <c r="AC297" s="157"/>
      <c r="AD297" s="157"/>
      <c r="AE297" s="157"/>
      <c r="AF297" s="157"/>
      <c r="AG297" s="157"/>
      <c r="AH297" s="157"/>
      <c r="AI297" s="157"/>
      <c r="AJ297" s="157"/>
      <c r="AK297" s="157"/>
      <c r="AL297" s="157"/>
      <c r="AM297" s="157"/>
      <c r="AN297" s="157"/>
      <c r="AO297" s="157"/>
      <c r="AP297" s="157"/>
    </row>
    <row r="298" spans="1:42" x14ac:dyDescent="0.25">
      <c r="A298" s="225" t="str">
        <f>'Participation Assumptions'!B299</f>
        <v>EV Charging Control</v>
      </c>
      <c r="B298" s="225" t="s">
        <v>397</v>
      </c>
      <c r="C298" s="225" t="str">
        <f>'Participation Assumptions'!C299</f>
        <v>EV</v>
      </c>
      <c r="D298" s="225" t="str">
        <f>'Participation Assumptions'!D299</f>
        <v>EV</v>
      </c>
      <c r="E298" s="329">
        <v>1</v>
      </c>
      <c r="F298" s="329">
        <v>1</v>
      </c>
      <c r="G298" s="329">
        <v>1</v>
      </c>
      <c r="H298" s="329">
        <v>1</v>
      </c>
      <c r="I298" s="329">
        <v>1</v>
      </c>
      <c r="J298" s="329">
        <v>1</v>
      </c>
      <c r="K298" s="329">
        <v>1</v>
      </c>
      <c r="L298" s="329">
        <v>1</v>
      </c>
      <c r="M298" s="329">
        <v>1</v>
      </c>
      <c r="N298" s="329">
        <v>1</v>
      </c>
      <c r="O298" s="329">
        <v>1</v>
      </c>
      <c r="P298" s="329">
        <v>1</v>
      </c>
      <c r="Q298" s="329">
        <v>1</v>
      </c>
      <c r="R298" s="329">
        <v>1</v>
      </c>
      <c r="S298" s="329">
        <v>1</v>
      </c>
      <c r="T298" s="329">
        <v>1</v>
      </c>
      <c r="U298" s="329">
        <v>1</v>
      </c>
      <c r="V298" s="328"/>
      <c r="W298" s="200" t="str">
        <f t="shared" si="223"/>
        <v>EV</v>
      </c>
      <c r="X298" s="198" t="str">
        <f t="shared" si="221"/>
        <v>EV Charging ControlEV</v>
      </c>
      <c r="Y298" s="157" t="b">
        <f>ISNUMBER(MATCH(X298,'ProCESS CSE'!W:W,0))</f>
        <v>0</v>
      </c>
      <c r="Z298" s="157"/>
      <c r="AA298" s="157"/>
      <c r="AB298" s="157"/>
      <c r="AC298" s="157"/>
      <c r="AD298" s="157"/>
      <c r="AE298" s="157"/>
      <c r="AF298" s="157"/>
      <c r="AG298" s="157"/>
      <c r="AH298" s="157"/>
      <c r="AI298" s="157"/>
      <c r="AJ298" s="157"/>
      <c r="AK298" s="157"/>
      <c r="AL298" s="157"/>
      <c r="AM298" s="157"/>
      <c r="AN298" s="157"/>
      <c r="AO298" s="157"/>
      <c r="AP298" s="157"/>
    </row>
    <row r="299" spans="1:42" x14ac:dyDescent="0.25">
      <c r="A299" s="225" t="str">
        <f>'Participation Assumptions'!B300</f>
        <v>BTM Battery Control</v>
      </c>
      <c r="B299" s="225" t="s">
        <v>397</v>
      </c>
      <c r="C299" s="225" t="str">
        <f>'Participation Assumptions'!C300</f>
        <v>Residential</v>
      </c>
      <c r="D299" s="225" t="str">
        <f>'Participation Assumptions'!D300</f>
        <v>Residential LI</v>
      </c>
      <c r="E299" s="329">
        <v>1</v>
      </c>
      <c r="F299" s="329">
        <v>1</v>
      </c>
      <c r="G299" s="329">
        <v>1</v>
      </c>
      <c r="H299" s="329">
        <v>1</v>
      </c>
      <c r="I299" s="329">
        <v>1</v>
      </c>
      <c r="J299" s="329">
        <v>1</v>
      </c>
      <c r="K299" s="329">
        <v>1</v>
      </c>
      <c r="L299" s="329">
        <v>1</v>
      </c>
      <c r="M299" s="329">
        <v>1</v>
      </c>
      <c r="N299" s="329">
        <v>1</v>
      </c>
      <c r="O299" s="329">
        <v>1</v>
      </c>
      <c r="P299" s="329">
        <v>1</v>
      </c>
      <c r="Q299" s="329">
        <v>1</v>
      </c>
      <c r="R299" s="329">
        <v>1</v>
      </c>
      <c r="S299" s="329">
        <v>1</v>
      </c>
      <c r="T299" s="329">
        <v>1</v>
      </c>
      <c r="U299" s="329">
        <v>1</v>
      </c>
      <c r="V299" s="328"/>
      <c r="W299" s="200" t="str">
        <f t="shared" si="223"/>
        <v>Residential</v>
      </c>
      <c r="X299" s="198" t="str">
        <f t="shared" si="221"/>
        <v>BTM Battery ControlResidential</v>
      </c>
      <c r="Y299" s="157" t="b">
        <f>ISNUMBER(MATCH(X299,'ProCESS CSE'!W:W,0))</f>
        <v>0</v>
      </c>
      <c r="Z299" s="157"/>
      <c r="AA299" s="157"/>
      <c r="AB299" s="157"/>
      <c r="AC299" s="157"/>
      <c r="AD299" s="157"/>
      <c r="AE299" s="157"/>
      <c r="AF299" s="157"/>
      <c r="AG299" s="157"/>
      <c r="AH299" s="157"/>
      <c r="AI299" s="157"/>
      <c r="AJ299" s="157"/>
      <c r="AK299" s="157"/>
      <c r="AL299" s="157"/>
      <c r="AM299" s="157"/>
      <c r="AN299" s="157"/>
      <c r="AO299" s="157"/>
      <c r="AP299" s="157"/>
    </row>
    <row r="300" spans="1:42" x14ac:dyDescent="0.25">
      <c r="A300" s="225" t="str">
        <f>'Participation Assumptions'!B301</f>
        <v>BTM Battery Control</v>
      </c>
      <c r="B300" s="225" t="s">
        <v>397</v>
      </c>
      <c r="C300" s="225" t="str">
        <f>'Participation Assumptions'!C301</f>
        <v>Residential</v>
      </c>
      <c r="D300" s="225" t="str">
        <f>'Participation Assumptions'!D301</f>
        <v>Residential Market Rate</v>
      </c>
      <c r="E300" s="329">
        <v>1</v>
      </c>
      <c r="F300" s="329">
        <v>1</v>
      </c>
      <c r="G300" s="329">
        <v>1</v>
      </c>
      <c r="H300" s="329">
        <v>1</v>
      </c>
      <c r="I300" s="329">
        <v>1</v>
      </c>
      <c r="J300" s="329">
        <v>1</v>
      </c>
      <c r="K300" s="329">
        <v>1</v>
      </c>
      <c r="L300" s="329">
        <v>1</v>
      </c>
      <c r="M300" s="329">
        <v>1</v>
      </c>
      <c r="N300" s="329">
        <v>1</v>
      </c>
      <c r="O300" s="329">
        <v>1</v>
      </c>
      <c r="P300" s="329">
        <v>1</v>
      </c>
      <c r="Q300" s="329">
        <v>1</v>
      </c>
      <c r="R300" s="329">
        <v>1</v>
      </c>
      <c r="S300" s="329">
        <v>1</v>
      </c>
      <c r="T300" s="329">
        <v>1</v>
      </c>
      <c r="U300" s="329">
        <v>1</v>
      </c>
      <c r="V300" s="328"/>
      <c r="W300" s="200" t="str">
        <f t="shared" si="223"/>
        <v>Residential</v>
      </c>
      <c r="X300" s="198" t="str">
        <f t="shared" si="221"/>
        <v>BTM Battery ControlResidential</v>
      </c>
      <c r="Y300" s="157" t="b">
        <f>ISNUMBER(MATCH(X300,'ProCESS CSE'!W:W,0))</f>
        <v>0</v>
      </c>
      <c r="Z300" s="157"/>
      <c r="AA300" s="157"/>
      <c r="AB300" s="157"/>
      <c r="AC300" s="157"/>
      <c r="AD300" s="157"/>
      <c r="AE300" s="157"/>
      <c r="AF300" s="157"/>
      <c r="AG300" s="157"/>
      <c r="AH300" s="157"/>
      <c r="AI300" s="157"/>
      <c r="AJ300" s="157"/>
      <c r="AK300" s="157"/>
      <c r="AL300" s="157"/>
      <c r="AM300" s="157"/>
      <c r="AN300" s="157"/>
      <c r="AO300" s="157"/>
      <c r="AP300" s="157"/>
    </row>
    <row r="301" spans="1:42" x14ac:dyDescent="0.25">
      <c r="A301" s="225" t="str">
        <f>'Participation Assumptions'!B302</f>
        <v>Behavioral DR</v>
      </c>
      <c r="B301" s="225" t="s">
        <v>397</v>
      </c>
      <c r="C301" s="225" t="str">
        <f>'Participation Assumptions'!C302</f>
        <v>Residential</v>
      </c>
      <c r="D301" s="225" t="str">
        <f>'Participation Assumptions'!D302</f>
        <v>Residential LI</v>
      </c>
      <c r="E301" s="329">
        <v>1</v>
      </c>
      <c r="F301" s="329">
        <v>1</v>
      </c>
      <c r="G301" s="329">
        <v>1</v>
      </c>
      <c r="H301" s="329">
        <v>1</v>
      </c>
      <c r="I301" s="329">
        <v>1</v>
      </c>
      <c r="J301" s="329">
        <v>1</v>
      </c>
      <c r="K301" s="329">
        <v>1</v>
      </c>
      <c r="L301" s="329">
        <v>1</v>
      </c>
      <c r="M301" s="329">
        <v>1</v>
      </c>
      <c r="N301" s="329">
        <v>1</v>
      </c>
      <c r="O301" s="329">
        <v>1</v>
      </c>
      <c r="P301" s="329">
        <v>1</v>
      </c>
      <c r="Q301" s="329">
        <v>1</v>
      </c>
      <c r="R301" s="329">
        <v>1</v>
      </c>
      <c r="S301" s="329">
        <v>1</v>
      </c>
      <c r="T301" s="329">
        <v>1</v>
      </c>
      <c r="U301" s="329">
        <v>1</v>
      </c>
      <c r="V301" s="328"/>
      <c r="W301" s="200" t="str">
        <f t="shared" si="223"/>
        <v>Residential</v>
      </c>
      <c r="X301" s="198" t="str">
        <f t="shared" si="221"/>
        <v>Behavioral DRResidential</v>
      </c>
      <c r="Y301" s="157" t="b">
        <f>ISNUMBER(MATCH(X301,'ProCESS CSE'!W:W,0))</f>
        <v>0</v>
      </c>
      <c r="Z301" s="157"/>
      <c r="AA301" s="157"/>
      <c r="AB301" s="157"/>
      <c r="AC301" s="157"/>
      <c r="AD301" s="157"/>
      <c r="AE301" s="157"/>
      <c r="AF301" s="157"/>
      <c r="AG301" s="157"/>
      <c r="AH301" s="157"/>
      <c r="AI301" s="157"/>
      <c r="AJ301" s="157"/>
      <c r="AK301" s="157"/>
      <c r="AL301" s="157"/>
      <c r="AM301" s="157"/>
      <c r="AN301" s="157"/>
      <c r="AO301" s="157"/>
      <c r="AP301" s="157"/>
    </row>
    <row r="302" spans="1:42" x14ac:dyDescent="0.25">
      <c r="A302" s="225" t="str">
        <f>'Participation Assumptions'!B303</f>
        <v>Behavioral DR</v>
      </c>
      <c r="B302" s="225" t="s">
        <v>397</v>
      </c>
      <c r="C302" s="225" t="str">
        <f>'Participation Assumptions'!C303</f>
        <v>Residential</v>
      </c>
      <c r="D302" s="225" t="str">
        <f>'Participation Assumptions'!D303</f>
        <v>Residential Market Rate</v>
      </c>
      <c r="E302" s="329">
        <v>1</v>
      </c>
      <c r="F302" s="329">
        <v>1</v>
      </c>
      <c r="G302" s="329">
        <v>1</v>
      </c>
      <c r="H302" s="329">
        <v>1</v>
      </c>
      <c r="I302" s="329">
        <v>1</v>
      </c>
      <c r="J302" s="329">
        <v>1</v>
      </c>
      <c r="K302" s="329">
        <v>1</v>
      </c>
      <c r="L302" s="329">
        <v>1</v>
      </c>
      <c r="M302" s="329">
        <v>1</v>
      </c>
      <c r="N302" s="329">
        <v>1</v>
      </c>
      <c r="O302" s="329">
        <v>1</v>
      </c>
      <c r="P302" s="329">
        <v>1</v>
      </c>
      <c r="Q302" s="329">
        <v>1</v>
      </c>
      <c r="R302" s="329">
        <v>1</v>
      </c>
      <c r="S302" s="329">
        <v>1</v>
      </c>
      <c r="T302" s="329">
        <v>1</v>
      </c>
      <c r="U302" s="329">
        <v>1</v>
      </c>
      <c r="V302" s="328"/>
      <c r="W302" s="200" t="str">
        <f t="shared" si="223"/>
        <v>Residential</v>
      </c>
      <c r="X302" s="198" t="str">
        <f t="shared" si="221"/>
        <v>Behavioral DRResidential</v>
      </c>
      <c r="Y302" s="157" t="b">
        <f>ISNUMBER(MATCH(X302,'ProCESS CSE'!W:W,0))</f>
        <v>0</v>
      </c>
      <c r="Z302" s="157"/>
      <c r="AA302" s="157"/>
      <c r="AB302" s="157"/>
      <c r="AC302" s="157"/>
      <c r="AD302" s="157"/>
      <c r="AE302" s="157"/>
      <c r="AF302" s="157"/>
      <c r="AG302" s="157"/>
      <c r="AH302" s="157"/>
      <c r="AI302" s="157"/>
      <c r="AJ302" s="157"/>
      <c r="AK302" s="157"/>
      <c r="AL302" s="157"/>
      <c r="AM302" s="157"/>
      <c r="AN302" s="157"/>
      <c r="AO302" s="157"/>
      <c r="AP302" s="157"/>
    </row>
    <row r="303" spans="1:42" x14ac:dyDescent="0.25">
      <c r="A303" s="225" t="str">
        <f>'Participation Assumptions'!B304</f>
        <v>Time-of-Use Rates (TOU)</v>
      </c>
      <c r="B303" s="225" t="s">
        <v>397</v>
      </c>
      <c r="C303" s="225" t="str">
        <f>'Participation Assumptions'!C304</f>
        <v>Interruptible Rider</v>
      </c>
      <c r="D303" s="225" t="str">
        <f>'Participation Assumptions'!D304</f>
        <v>Manufacturing</v>
      </c>
      <c r="E303" s="329">
        <v>0</v>
      </c>
      <c r="F303" s="329">
        <v>0</v>
      </c>
      <c r="G303" s="329">
        <v>0</v>
      </c>
      <c r="H303" s="329">
        <v>0</v>
      </c>
      <c r="I303" s="329">
        <v>0</v>
      </c>
      <c r="J303" s="329">
        <v>0</v>
      </c>
      <c r="K303" s="329">
        <v>0</v>
      </c>
      <c r="L303" s="329">
        <v>0</v>
      </c>
      <c r="M303" s="329">
        <v>0</v>
      </c>
      <c r="N303" s="329">
        <v>0</v>
      </c>
      <c r="O303" s="329">
        <v>0</v>
      </c>
      <c r="P303" s="329">
        <v>0</v>
      </c>
      <c r="Q303" s="329">
        <v>0</v>
      </c>
      <c r="R303" s="329">
        <v>0</v>
      </c>
      <c r="S303" s="329">
        <v>0</v>
      </c>
      <c r="T303" s="329">
        <v>0</v>
      </c>
      <c r="U303" s="329">
        <v>0</v>
      </c>
      <c r="V303" s="328"/>
      <c r="W303" s="200" t="str">
        <f t="shared" si="223"/>
        <v>Large</v>
      </c>
      <c r="X303" s="198" t="str">
        <f t="shared" si="221"/>
        <v>Time-of-Use Rates (TOU)Large</v>
      </c>
      <c r="Y303" s="157" t="b">
        <f>ISNUMBER(MATCH(X303,'ProCESS CSE'!W:W,0))</f>
        <v>0</v>
      </c>
      <c r="Z303" s="157"/>
      <c r="AA303" s="157"/>
      <c r="AB303" s="157"/>
      <c r="AC303" s="157"/>
      <c r="AD303" s="157"/>
      <c r="AE303" s="157"/>
      <c r="AF303" s="157"/>
      <c r="AG303" s="157"/>
      <c r="AH303" s="157"/>
      <c r="AI303" s="157"/>
      <c r="AJ303" s="157"/>
      <c r="AK303" s="157"/>
      <c r="AL303" s="157"/>
      <c r="AM303" s="157"/>
      <c r="AN303" s="157"/>
      <c r="AO303" s="157"/>
      <c r="AP303" s="157"/>
    </row>
    <row r="304" spans="1:42" x14ac:dyDescent="0.25">
      <c r="A304" s="225" t="str">
        <f>'Participation Assumptions'!B305</f>
        <v>Time-of-Use Rates (TOU)</v>
      </c>
      <c r="B304" s="225" t="s">
        <v>397</v>
      </c>
      <c r="C304" s="225" t="str">
        <f>'Participation Assumptions'!C305</f>
        <v>Interruptible Rider</v>
      </c>
      <c r="D304" s="225" t="str">
        <f>'Participation Assumptions'!D305</f>
        <v>Miscellaneous</v>
      </c>
      <c r="E304" s="329">
        <v>0</v>
      </c>
      <c r="F304" s="329">
        <v>0</v>
      </c>
      <c r="G304" s="329">
        <v>0</v>
      </c>
      <c r="H304" s="329">
        <v>0</v>
      </c>
      <c r="I304" s="329">
        <v>0</v>
      </c>
      <c r="J304" s="329">
        <v>0</v>
      </c>
      <c r="K304" s="329">
        <v>0</v>
      </c>
      <c r="L304" s="329">
        <v>0</v>
      </c>
      <c r="M304" s="329">
        <v>0</v>
      </c>
      <c r="N304" s="329">
        <v>0</v>
      </c>
      <c r="O304" s="329">
        <v>0</v>
      </c>
      <c r="P304" s="329">
        <v>0</v>
      </c>
      <c r="Q304" s="329">
        <v>0</v>
      </c>
      <c r="R304" s="329">
        <v>0</v>
      </c>
      <c r="S304" s="329">
        <v>0</v>
      </c>
      <c r="T304" s="329">
        <v>0</v>
      </c>
      <c r="U304" s="329">
        <v>0</v>
      </c>
      <c r="V304" s="328"/>
      <c r="W304" s="200" t="str">
        <f t="shared" si="223"/>
        <v>Large</v>
      </c>
      <c r="X304" s="198" t="str">
        <f t="shared" si="221"/>
        <v>Time-of-Use Rates (TOU)Large</v>
      </c>
      <c r="Y304" s="157" t="b">
        <f>ISNUMBER(MATCH(X304,'ProCESS CSE'!W:W,0))</f>
        <v>0</v>
      </c>
      <c r="Z304" s="157"/>
      <c r="AA304" s="157"/>
      <c r="AB304" s="157"/>
      <c r="AC304" s="157"/>
      <c r="AD304" s="157"/>
      <c r="AE304" s="157"/>
      <c r="AF304" s="157"/>
      <c r="AG304" s="157"/>
      <c r="AH304" s="157"/>
      <c r="AI304" s="157"/>
      <c r="AJ304" s="157"/>
      <c r="AK304" s="157"/>
      <c r="AL304" s="157"/>
      <c r="AM304" s="157"/>
      <c r="AN304" s="157"/>
      <c r="AO304" s="157"/>
      <c r="AP304" s="157"/>
    </row>
    <row r="305" spans="1:42" x14ac:dyDescent="0.25">
      <c r="A305" s="225" t="str">
        <f>'Participation Assumptions'!B306</f>
        <v>Time-of-Use Rates (TOU)</v>
      </c>
      <c r="B305" s="225" t="s">
        <v>397</v>
      </c>
      <c r="C305" s="225" t="str">
        <f>'Participation Assumptions'!C306</f>
        <v>Interruptible Rider</v>
      </c>
      <c r="D305" s="225" t="str">
        <f>'Participation Assumptions'!D306</f>
        <v>Retail Trade</v>
      </c>
      <c r="E305" s="329">
        <v>0</v>
      </c>
      <c r="F305" s="329">
        <v>0</v>
      </c>
      <c r="G305" s="329">
        <v>0</v>
      </c>
      <c r="H305" s="329">
        <v>0</v>
      </c>
      <c r="I305" s="329">
        <v>0</v>
      </c>
      <c r="J305" s="329">
        <v>0</v>
      </c>
      <c r="K305" s="329">
        <v>0</v>
      </c>
      <c r="L305" s="329">
        <v>0</v>
      </c>
      <c r="M305" s="329">
        <v>0</v>
      </c>
      <c r="N305" s="329">
        <v>0</v>
      </c>
      <c r="O305" s="329">
        <v>0</v>
      </c>
      <c r="P305" s="329">
        <v>0</v>
      </c>
      <c r="Q305" s="329">
        <v>0</v>
      </c>
      <c r="R305" s="329">
        <v>0</v>
      </c>
      <c r="S305" s="329">
        <v>0</v>
      </c>
      <c r="T305" s="329">
        <v>0</v>
      </c>
      <c r="U305" s="329">
        <v>0</v>
      </c>
      <c r="V305" s="328"/>
      <c r="W305" s="200" t="str">
        <f t="shared" si="223"/>
        <v>Large</v>
      </c>
      <c r="X305" s="198" t="str">
        <f t="shared" si="221"/>
        <v>Time-of-Use Rates (TOU)Large</v>
      </c>
      <c r="Y305" s="157" t="b">
        <f>ISNUMBER(MATCH(X305,'ProCESS CSE'!W:W,0))</f>
        <v>0</v>
      </c>
      <c r="Z305" s="157"/>
      <c r="AA305" s="157"/>
      <c r="AB305" s="157"/>
      <c r="AC305" s="157"/>
      <c r="AD305" s="157"/>
      <c r="AE305" s="157"/>
      <c r="AF305" s="157"/>
      <c r="AG305" s="157"/>
      <c r="AH305" s="157"/>
      <c r="AI305" s="157"/>
      <c r="AJ305" s="157"/>
      <c r="AK305" s="157"/>
      <c r="AL305" s="157"/>
      <c r="AM305" s="157"/>
      <c r="AN305" s="157"/>
      <c r="AO305" s="157"/>
      <c r="AP305" s="157"/>
    </row>
    <row r="306" spans="1:42" x14ac:dyDescent="0.25">
      <c r="A306" s="225" t="str">
        <f>'Participation Assumptions'!B307</f>
        <v>Time-of-Use Rates (TOU)</v>
      </c>
      <c r="B306" s="225" t="s">
        <v>397</v>
      </c>
      <c r="C306" s="225" t="str">
        <f>'Participation Assumptions'!C307</f>
        <v>Large Commercial</v>
      </c>
      <c r="D306" s="225" t="str">
        <f>'Participation Assumptions'!D307</f>
        <v>Offices</v>
      </c>
      <c r="E306" s="329">
        <v>0</v>
      </c>
      <c r="F306" s="329">
        <v>0</v>
      </c>
      <c r="G306" s="329">
        <v>0</v>
      </c>
      <c r="H306" s="329">
        <v>0</v>
      </c>
      <c r="I306" s="329">
        <v>0</v>
      </c>
      <c r="J306" s="329">
        <v>0</v>
      </c>
      <c r="K306" s="329">
        <v>0</v>
      </c>
      <c r="L306" s="329">
        <v>0</v>
      </c>
      <c r="M306" s="329">
        <v>0</v>
      </c>
      <c r="N306" s="329">
        <v>0</v>
      </c>
      <c r="O306" s="329">
        <v>0</v>
      </c>
      <c r="P306" s="329">
        <v>0</v>
      </c>
      <c r="Q306" s="329">
        <v>0</v>
      </c>
      <c r="R306" s="329">
        <v>0</v>
      </c>
      <c r="S306" s="329">
        <v>0</v>
      </c>
      <c r="T306" s="329">
        <v>0</v>
      </c>
      <c r="U306" s="329">
        <v>0</v>
      </c>
      <c r="V306" s="328"/>
      <c r="W306" s="200" t="str">
        <f t="shared" si="223"/>
        <v>Large</v>
      </c>
      <c r="X306" s="198" t="str">
        <f t="shared" si="221"/>
        <v>Time-of-Use Rates (TOU)Large</v>
      </c>
      <c r="Y306" s="157" t="b">
        <f>ISNUMBER(MATCH(X306,'ProCESS CSE'!W:W,0))</f>
        <v>0</v>
      </c>
      <c r="Z306" s="157"/>
      <c r="AA306" s="157"/>
      <c r="AB306" s="157"/>
      <c r="AC306" s="157"/>
      <c r="AD306" s="157"/>
      <c r="AE306" s="157"/>
      <c r="AF306" s="157"/>
      <c r="AG306" s="157"/>
      <c r="AH306" s="157"/>
      <c r="AI306" s="157"/>
      <c r="AJ306" s="157"/>
      <c r="AK306" s="157"/>
      <c r="AL306" s="157"/>
      <c r="AM306" s="157"/>
      <c r="AN306" s="157"/>
      <c r="AO306" s="157"/>
      <c r="AP306" s="157"/>
    </row>
    <row r="307" spans="1:42" x14ac:dyDescent="0.25">
      <c r="A307" s="225" t="str">
        <f>'Participation Assumptions'!B308</f>
        <v>Time-of-Use Rates (TOU)</v>
      </c>
      <c r="B307" s="225" t="s">
        <v>397</v>
      </c>
      <c r="C307" s="225" t="str">
        <f>'Participation Assumptions'!C308</f>
        <v>Large Commercial</v>
      </c>
      <c r="D307" s="225" t="str">
        <f>'Participation Assumptions'!D308</f>
        <v>Services</v>
      </c>
      <c r="E307" s="329">
        <v>0</v>
      </c>
      <c r="F307" s="329">
        <v>0</v>
      </c>
      <c r="G307" s="329">
        <v>0</v>
      </c>
      <c r="H307" s="329">
        <v>0</v>
      </c>
      <c r="I307" s="329">
        <v>0</v>
      </c>
      <c r="J307" s="329">
        <v>0</v>
      </c>
      <c r="K307" s="329">
        <v>0</v>
      </c>
      <c r="L307" s="329">
        <v>0</v>
      </c>
      <c r="M307" s="329">
        <v>0</v>
      </c>
      <c r="N307" s="329">
        <v>0</v>
      </c>
      <c r="O307" s="329">
        <v>0</v>
      </c>
      <c r="P307" s="329">
        <v>0</v>
      </c>
      <c r="Q307" s="329">
        <v>0</v>
      </c>
      <c r="R307" s="329">
        <v>0</v>
      </c>
      <c r="S307" s="329">
        <v>0</v>
      </c>
      <c r="T307" s="329">
        <v>0</v>
      </c>
      <c r="U307" s="329">
        <v>0</v>
      </c>
      <c r="V307" s="328"/>
      <c r="W307" s="200" t="str">
        <f t="shared" si="223"/>
        <v>Large</v>
      </c>
      <c r="X307" s="198" t="str">
        <f t="shared" si="221"/>
        <v>Time-of-Use Rates (TOU)Large</v>
      </c>
      <c r="Y307" s="157" t="b">
        <f>ISNUMBER(MATCH(X307,'ProCESS CSE'!W:W,0))</f>
        <v>0</v>
      </c>
      <c r="Z307" s="157"/>
      <c r="AA307" s="157"/>
      <c r="AB307" s="157"/>
      <c r="AC307" s="157"/>
      <c r="AD307" s="157"/>
      <c r="AE307" s="157"/>
      <c r="AF307" s="157"/>
      <c r="AG307" s="157"/>
      <c r="AH307" s="157"/>
      <c r="AI307" s="157"/>
      <c r="AJ307" s="157"/>
      <c r="AK307" s="157"/>
      <c r="AL307" s="157"/>
      <c r="AM307" s="157"/>
      <c r="AN307" s="157"/>
      <c r="AO307" s="157"/>
      <c r="AP307" s="157"/>
    </row>
    <row r="308" spans="1:42" x14ac:dyDescent="0.25">
      <c r="A308" s="225" t="str">
        <f>'Participation Assumptions'!B309</f>
        <v>Time-of-Use Rates (TOU)</v>
      </c>
      <c r="B308" s="225" t="s">
        <v>397</v>
      </c>
      <c r="C308" s="225" t="str">
        <f>'Participation Assumptions'!C309</f>
        <v>Large Industrial</v>
      </c>
      <c r="D308" s="225" t="str">
        <f>'Participation Assumptions'!D309</f>
        <v>Manufacturing</v>
      </c>
      <c r="E308" s="329">
        <v>0</v>
      </c>
      <c r="F308" s="329">
        <v>0</v>
      </c>
      <c r="G308" s="329">
        <v>0</v>
      </c>
      <c r="H308" s="329">
        <v>0</v>
      </c>
      <c r="I308" s="329">
        <v>0</v>
      </c>
      <c r="J308" s="329">
        <v>0</v>
      </c>
      <c r="K308" s="329">
        <v>0</v>
      </c>
      <c r="L308" s="329">
        <v>0</v>
      </c>
      <c r="M308" s="329">
        <v>0</v>
      </c>
      <c r="N308" s="329">
        <v>0</v>
      </c>
      <c r="O308" s="329">
        <v>0</v>
      </c>
      <c r="P308" s="329">
        <v>0</v>
      </c>
      <c r="Q308" s="329">
        <v>0</v>
      </c>
      <c r="R308" s="329">
        <v>0</v>
      </c>
      <c r="S308" s="329">
        <v>0</v>
      </c>
      <c r="T308" s="329">
        <v>0</v>
      </c>
      <c r="U308" s="329">
        <v>0</v>
      </c>
      <c r="V308" s="328"/>
      <c r="W308" s="200" t="str">
        <f t="shared" si="223"/>
        <v>Large</v>
      </c>
      <c r="X308" s="198" t="str">
        <f t="shared" si="221"/>
        <v>Time-of-Use Rates (TOU)Large</v>
      </c>
      <c r="Y308" s="157" t="b">
        <f>ISNUMBER(MATCH(X308,'ProCESS CSE'!W:W,0))</f>
        <v>0</v>
      </c>
      <c r="Z308" s="157"/>
      <c r="AA308" s="157"/>
      <c r="AB308" s="157"/>
      <c r="AC308" s="157"/>
      <c r="AD308" s="157"/>
      <c r="AE308" s="157"/>
      <c r="AF308" s="157"/>
      <c r="AG308" s="157"/>
      <c r="AH308" s="157"/>
      <c r="AI308" s="157"/>
      <c r="AJ308" s="157"/>
      <c r="AK308" s="157"/>
      <c r="AL308" s="157"/>
      <c r="AM308" s="157"/>
      <c r="AN308" s="157"/>
      <c r="AO308" s="157"/>
      <c r="AP308" s="157"/>
    </row>
    <row r="309" spans="1:42" x14ac:dyDescent="0.25">
      <c r="A309" s="225" t="str">
        <f>'Participation Assumptions'!B310</f>
        <v>Time-of-Use Rates (TOU)</v>
      </c>
      <c r="B309" s="225" t="s">
        <v>397</v>
      </c>
      <c r="C309" s="225" t="str">
        <f>'Participation Assumptions'!C310</f>
        <v>Large Industrial</v>
      </c>
      <c r="D309" s="225" t="str">
        <f>'Participation Assumptions'!D310</f>
        <v>Miscellaneous</v>
      </c>
      <c r="E309" s="329">
        <v>0</v>
      </c>
      <c r="F309" s="329">
        <v>0</v>
      </c>
      <c r="G309" s="329">
        <v>0</v>
      </c>
      <c r="H309" s="329">
        <v>0</v>
      </c>
      <c r="I309" s="329">
        <v>0</v>
      </c>
      <c r="J309" s="329">
        <v>0</v>
      </c>
      <c r="K309" s="329">
        <v>0</v>
      </c>
      <c r="L309" s="329">
        <v>0</v>
      </c>
      <c r="M309" s="329">
        <v>0</v>
      </c>
      <c r="N309" s="329">
        <v>0</v>
      </c>
      <c r="O309" s="329">
        <v>0</v>
      </c>
      <c r="P309" s="329">
        <v>0</v>
      </c>
      <c r="Q309" s="329">
        <v>0</v>
      </c>
      <c r="R309" s="329">
        <v>0</v>
      </c>
      <c r="S309" s="329">
        <v>0</v>
      </c>
      <c r="T309" s="329">
        <v>0</v>
      </c>
      <c r="U309" s="329">
        <v>0</v>
      </c>
      <c r="V309" s="328"/>
      <c r="W309" s="200" t="str">
        <f t="shared" si="223"/>
        <v>Large</v>
      </c>
      <c r="X309" s="198" t="str">
        <f t="shared" si="221"/>
        <v>Time-of-Use Rates (TOU)Large</v>
      </c>
      <c r="Y309" s="157" t="b">
        <f>ISNUMBER(MATCH(X309,'ProCESS CSE'!W:W,0))</f>
        <v>0</v>
      </c>
      <c r="Z309" s="157"/>
      <c r="AA309" s="157"/>
      <c r="AB309" s="157"/>
      <c r="AC309" s="157"/>
      <c r="AD309" s="157"/>
      <c r="AE309" s="157"/>
      <c r="AF309" s="157"/>
      <c r="AG309" s="157"/>
      <c r="AH309" s="157"/>
      <c r="AI309" s="157"/>
      <c r="AJ309" s="157"/>
      <c r="AK309" s="157"/>
      <c r="AL309" s="157"/>
      <c r="AM309" s="157"/>
      <c r="AN309" s="157"/>
      <c r="AO309" s="157"/>
      <c r="AP309" s="157"/>
    </row>
    <row r="310" spans="1:42" x14ac:dyDescent="0.25">
      <c r="A310" s="225" t="str">
        <f>'Participation Assumptions'!B311</f>
        <v>Time-of-Use Rates (TOU)</v>
      </c>
      <c r="B310" s="225" t="s">
        <v>397</v>
      </c>
      <c r="C310" s="225" t="str">
        <f>'Participation Assumptions'!C311</f>
        <v>Large Industrial</v>
      </c>
      <c r="D310" s="225" t="str">
        <f>'Participation Assumptions'!D311</f>
        <v>Offices</v>
      </c>
      <c r="E310" s="329">
        <v>0</v>
      </c>
      <c r="F310" s="329">
        <v>0</v>
      </c>
      <c r="G310" s="329">
        <v>0</v>
      </c>
      <c r="H310" s="329">
        <v>0</v>
      </c>
      <c r="I310" s="329">
        <v>0</v>
      </c>
      <c r="J310" s="329">
        <v>0</v>
      </c>
      <c r="K310" s="329">
        <v>0</v>
      </c>
      <c r="L310" s="329">
        <v>0</v>
      </c>
      <c r="M310" s="329">
        <v>0</v>
      </c>
      <c r="N310" s="329">
        <v>0</v>
      </c>
      <c r="O310" s="329">
        <v>0</v>
      </c>
      <c r="P310" s="329">
        <v>0</v>
      </c>
      <c r="Q310" s="329">
        <v>0</v>
      </c>
      <c r="R310" s="329">
        <v>0</v>
      </c>
      <c r="S310" s="329">
        <v>0</v>
      </c>
      <c r="T310" s="329">
        <v>0</v>
      </c>
      <c r="U310" s="329">
        <v>0</v>
      </c>
      <c r="V310" s="328"/>
      <c r="W310" s="200" t="str">
        <f t="shared" si="223"/>
        <v>Large</v>
      </c>
      <c r="X310" s="198" t="str">
        <f t="shared" si="221"/>
        <v>Time-of-Use Rates (TOU)Large</v>
      </c>
      <c r="Y310" s="157" t="b">
        <f>ISNUMBER(MATCH(X310,'ProCESS CSE'!W:W,0))</f>
        <v>0</v>
      </c>
      <c r="Z310" s="157"/>
      <c r="AA310" s="157"/>
      <c r="AB310" s="157"/>
      <c r="AC310" s="157"/>
      <c r="AD310" s="157"/>
      <c r="AE310" s="157"/>
      <c r="AF310" s="157"/>
      <c r="AG310" s="157"/>
      <c r="AH310" s="157"/>
      <c r="AI310" s="157"/>
      <c r="AJ310" s="157"/>
      <c r="AK310" s="157"/>
      <c r="AL310" s="157"/>
      <c r="AM310" s="157"/>
      <c r="AN310" s="157"/>
      <c r="AO310" s="157"/>
      <c r="AP310" s="157"/>
    </row>
    <row r="311" spans="1:42" x14ac:dyDescent="0.25">
      <c r="A311" s="225" t="str">
        <f>'Participation Assumptions'!B312</f>
        <v>Time-of-Use Rates (TOU)</v>
      </c>
      <c r="B311" s="225" t="s">
        <v>397</v>
      </c>
      <c r="C311" s="225" t="str">
        <f>'Participation Assumptions'!C312</f>
        <v>Large Industrial</v>
      </c>
      <c r="D311" s="225" t="str">
        <f>'Participation Assumptions'!D312</f>
        <v>Retail Trade</v>
      </c>
      <c r="E311" s="329">
        <v>0</v>
      </c>
      <c r="F311" s="329">
        <v>0</v>
      </c>
      <c r="G311" s="329">
        <v>0</v>
      </c>
      <c r="H311" s="329">
        <v>0</v>
      </c>
      <c r="I311" s="329">
        <v>0</v>
      </c>
      <c r="J311" s="329">
        <v>0</v>
      </c>
      <c r="K311" s="329">
        <v>0</v>
      </c>
      <c r="L311" s="329">
        <v>0</v>
      </c>
      <c r="M311" s="329">
        <v>0</v>
      </c>
      <c r="N311" s="329">
        <v>0</v>
      </c>
      <c r="O311" s="329">
        <v>0</v>
      </c>
      <c r="P311" s="329">
        <v>0</v>
      </c>
      <c r="Q311" s="329">
        <v>0</v>
      </c>
      <c r="R311" s="329">
        <v>0</v>
      </c>
      <c r="S311" s="329">
        <v>0</v>
      </c>
      <c r="T311" s="329">
        <v>0</v>
      </c>
      <c r="U311" s="329">
        <v>0</v>
      </c>
      <c r="V311" s="328"/>
      <c r="W311" s="200" t="str">
        <f t="shared" si="223"/>
        <v>Large</v>
      </c>
      <c r="X311" s="198" t="str">
        <f t="shared" si="221"/>
        <v>Time-of-Use Rates (TOU)Large</v>
      </c>
      <c r="Y311" s="157" t="b">
        <f>ISNUMBER(MATCH(X311,'ProCESS CSE'!W:W,0))</f>
        <v>0</v>
      </c>
      <c r="Z311" s="157"/>
      <c r="AA311" s="157"/>
      <c r="AB311" s="157"/>
      <c r="AC311" s="157"/>
      <c r="AD311" s="157"/>
      <c r="AE311" s="157"/>
      <c r="AF311" s="157"/>
      <c r="AG311" s="157"/>
      <c r="AH311" s="157"/>
      <c r="AI311" s="157"/>
      <c r="AJ311" s="157"/>
      <c r="AK311" s="157"/>
      <c r="AL311" s="157"/>
      <c r="AM311" s="157"/>
      <c r="AN311" s="157"/>
      <c r="AO311" s="157"/>
      <c r="AP311" s="157"/>
    </row>
    <row r="312" spans="1:42" x14ac:dyDescent="0.25">
      <c r="A312" s="225" t="str">
        <f>'Participation Assumptions'!B313</f>
        <v>Time-of-Use Rates (TOU)</v>
      </c>
      <c r="B312" s="225" t="s">
        <v>397</v>
      </c>
      <c r="C312" s="225" t="str">
        <f>'Participation Assumptions'!C313</f>
        <v>Large Industrial</v>
      </c>
      <c r="D312" s="225" t="str">
        <f>'Participation Assumptions'!D313</f>
        <v>Services</v>
      </c>
      <c r="E312" s="329">
        <v>0</v>
      </c>
      <c r="F312" s="329">
        <v>0</v>
      </c>
      <c r="G312" s="329">
        <v>0</v>
      </c>
      <c r="H312" s="329">
        <v>0</v>
      </c>
      <c r="I312" s="329">
        <v>0</v>
      </c>
      <c r="J312" s="329">
        <v>0</v>
      </c>
      <c r="K312" s="329">
        <v>0</v>
      </c>
      <c r="L312" s="329">
        <v>0</v>
      </c>
      <c r="M312" s="329">
        <v>0</v>
      </c>
      <c r="N312" s="329">
        <v>0</v>
      </c>
      <c r="O312" s="329">
        <v>0</v>
      </c>
      <c r="P312" s="329">
        <v>0</v>
      </c>
      <c r="Q312" s="329">
        <v>0</v>
      </c>
      <c r="R312" s="329">
        <v>0</v>
      </c>
      <c r="S312" s="329">
        <v>0</v>
      </c>
      <c r="T312" s="329">
        <v>0</v>
      </c>
      <c r="U312" s="329">
        <v>0</v>
      </c>
      <c r="V312" s="328"/>
      <c r="W312" s="200" t="str">
        <f t="shared" si="223"/>
        <v>Large</v>
      </c>
      <c r="X312" s="198" t="str">
        <f t="shared" si="221"/>
        <v>Time-of-Use Rates (TOU)Large</v>
      </c>
      <c r="Y312" s="157" t="b">
        <f>ISNUMBER(MATCH(X312,'ProCESS CSE'!W:W,0))</f>
        <v>0</v>
      </c>
      <c r="Z312" s="157"/>
      <c r="AA312" s="157"/>
      <c r="AB312" s="157"/>
      <c r="AC312" s="157"/>
      <c r="AD312" s="157"/>
      <c r="AE312" s="157"/>
      <c r="AF312" s="157"/>
      <c r="AG312" s="157"/>
      <c r="AH312" s="157"/>
      <c r="AI312" s="157"/>
      <c r="AJ312" s="157"/>
      <c r="AK312" s="157"/>
      <c r="AL312" s="157"/>
      <c r="AM312" s="157"/>
      <c r="AN312" s="157"/>
      <c r="AO312" s="157"/>
      <c r="AP312" s="157"/>
    </row>
    <row r="313" spans="1:42" x14ac:dyDescent="0.25">
      <c r="A313" s="225" t="str">
        <f>'Participation Assumptions'!B314</f>
        <v>Time-of-Use Rates (TOU)</v>
      </c>
      <c r="B313" s="225" t="s">
        <v>397</v>
      </c>
      <c r="C313" s="225" t="str">
        <f>'Participation Assumptions'!C314</f>
        <v>Residential</v>
      </c>
      <c r="D313" s="225" t="str">
        <f>'Participation Assumptions'!D314</f>
        <v>Residential LI</v>
      </c>
      <c r="E313" s="329">
        <v>1</v>
      </c>
      <c r="F313" s="329">
        <v>1</v>
      </c>
      <c r="G313" s="329">
        <v>1</v>
      </c>
      <c r="H313" s="329">
        <v>1</v>
      </c>
      <c r="I313" s="329">
        <v>1</v>
      </c>
      <c r="J313" s="329">
        <v>1</v>
      </c>
      <c r="K313" s="329">
        <v>1</v>
      </c>
      <c r="L313" s="329">
        <v>1</v>
      </c>
      <c r="M313" s="329">
        <v>1</v>
      </c>
      <c r="N313" s="329">
        <v>1</v>
      </c>
      <c r="O313" s="329">
        <v>1</v>
      </c>
      <c r="P313" s="329">
        <v>1</v>
      </c>
      <c r="Q313" s="329">
        <v>1</v>
      </c>
      <c r="R313" s="329">
        <v>1</v>
      </c>
      <c r="S313" s="329">
        <v>1</v>
      </c>
      <c r="T313" s="329">
        <v>1</v>
      </c>
      <c r="U313" s="329">
        <v>1</v>
      </c>
      <c r="V313" s="328"/>
      <c r="W313" s="200" t="str">
        <f t="shared" si="223"/>
        <v>Residential</v>
      </c>
      <c r="X313" s="198" t="str">
        <f t="shared" si="221"/>
        <v>Time-of-Use Rates (TOU)Residential</v>
      </c>
      <c r="Y313" s="157" t="b">
        <f>ISNUMBER(MATCH(X313,'ProCESS CSE'!W:W,0))</f>
        <v>0</v>
      </c>
      <c r="Z313" s="157"/>
      <c r="AA313" s="157"/>
      <c r="AB313" s="157"/>
      <c r="AC313" s="157"/>
      <c r="AD313" s="157"/>
      <c r="AE313" s="157"/>
      <c r="AF313" s="157"/>
      <c r="AG313" s="157"/>
      <c r="AH313" s="157"/>
      <c r="AI313" s="157"/>
      <c r="AJ313" s="157"/>
      <c r="AK313" s="157"/>
      <c r="AL313" s="157"/>
      <c r="AM313" s="157"/>
      <c r="AN313" s="157"/>
      <c r="AO313" s="157"/>
      <c r="AP313" s="157"/>
    </row>
    <row r="314" spans="1:42" x14ac:dyDescent="0.25">
      <c r="A314" s="225" t="str">
        <f>'Participation Assumptions'!B315</f>
        <v>Time-of-Use Rates (TOU)</v>
      </c>
      <c r="B314" s="225" t="s">
        <v>397</v>
      </c>
      <c r="C314" s="225" t="str">
        <f>'Participation Assumptions'!C315</f>
        <v>Residential</v>
      </c>
      <c r="D314" s="225" t="str">
        <f>'Participation Assumptions'!D315</f>
        <v>Residential Market Rate</v>
      </c>
      <c r="E314" s="329">
        <v>1</v>
      </c>
      <c r="F314" s="329">
        <v>1</v>
      </c>
      <c r="G314" s="329">
        <v>1</v>
      </c>
      <c r="H314" s="329">
        <v>1</v>
      </c>
      <c r="I314" s="329">
        <v>1</v>
      </c>
      <c r="J314" s="329">
        <v>1</v>
      </c>
      <c r="K314" s="329">
        <v>1</v>
      </c>
      <c r="L314" s="329">
        <v>1</v>
      </c>
      <c r="M314" s="329">
        <v>1</v>
      </c>
      <c r="N314" s="329">
        <v>1</v>
      </c>
      <c r="O314" s="329">
        <v>1</v>
      </c>
      <c r="P314" s="329">
        <v>1</v>
      </c>
      <c r="Q314" s="329">
        <v>1</v>
      </c>
      <c r="R314" s="329">
        <v>1</v>
      </c>
      <c r="S314" s="329">
        <v>1</v>
      </c>
      <c r="T314" s="329">
        <v>1</v>
      </c>
      <c r="U314" s="329">
        <v>1</v>
      </c>
      <c r="V314" s="328"/>
      <c r="W314" s="200" t="str">
        <f t="shared" si="223"/>
        <v>Residential</v>
      </c>
      <c r="X314" s="198" t="str">
        <f t="shared" si="221"/>
        <v>Time-of-Use Rates (TOU)Residential</v>
      </c>
      <c r="Y314" s="157" t="b">
        <f>ISNUMBER(MATCH(X314,'ProCESS CSE'!W:W,0))</f>
        <v>0</v>
      </c>
      <c r="Z314" s="157"/>
      <c r="AA314" s="157"/>
      <c r="AB314" s="157"/>
      <c r="AC314" s="157"/>
      <c r="AD314" s="157"/>
      <c r="AE314" s="157"/>
      <c r="AF314" s="157"/>
      <c r="AG314" s="157"/>
      <c r="AH314" s="157"/>
      <c r="AI314" s="157"/>
      <c r="AJ314" s="157"/>
      <c r="AK314" s="157"/>
      <c r="AL314" s="157"/>
      <c r="AM314" s="157"/>
      <c r="AN314" s="157"/>
      <c r="AO314" s="157"/>
      <c r="AP314" s="157"/>
    </row>
    <row r="315" spans="1:42" x14ac:dyDescent="0.25">
      <c r="A315" s="225" t="str">
        <f>'Participation Assumptions'!B316</f>
        <v>Time-of-Use Rates (TOU)</v>
      </c>
      <c r="B315" s="225" t="s">
        <v>397</v>
      </c>
      <c r="C315" s="225" t="str">
        <f>'Participation Assumptions'!C316</f>
        <v>Small Commercial</v>
      </c>
      <c r="D315" s="225" t="str">
        <f>'Participation Assumptions'!D316</f>
        <v>Manufacturing</v>
      </c>
      <c r="E315" s="329">
        <v>1</v>
      </c>
      <c r="F315" s="329">
        <v>1</v>
      </c>
      <c r="G315" s="329">
        <v>1</v>
      </c>
      <c r="H315" s="329">
        <v>1</v>
      </c>
      <c r="I315" s="329">
        <v>1</v>
      </c>
      <c r="J315" s="329">
        <v>1</v>
      </c>
      <c r="K315" s="329">
        <v>1</v>
      </c>
      <c r="L315" s="329">
        <v>1</v>
      </c>
      <c r="M315" s="329">
        <v>1</v>
      </c>
      <c r="N315" s="329">
        <v>1</v>
      </c>
      <c r="O315" s="329">
        <v>1</v>
      </c>
      <c r="P315" s="329">
        <v>1</v>
      </c>
      <c r="Q315" s="329">
        <v>1</v>
      </c>
      <c r="R315" s="329">
        <v>1</v>
      </c>
      <c r="S315" s="329">
        <v>1</v>
      </c>
      <c r="T315" s="329">
        <v>1</v>
      </c>
      <c r="U315" s="329">
        <v>1</v>
      </c>
      <c r="V315" s="328"/>
      <c r="W315" s="200" t="str">
        <f t="shared" si="223"/>
        <v>Small</v>
      </c>
      <c r="X315" s="198" t="str">
        <f t="shared" si="221"/>
        <v>Time-of-Use Rates (TOU)Small</v>
      </c>
      <c r="Y315" s="157" t="b">
        <f>ISNUMBER(MATCH(X315,'ProCESS CSE'!W:W,0))</f>
        <v>0</v>
      </c>
      <c r="Z315" s="157"/>
      <c r="AA315" s="157"/>
      <c r="AB315" s="157"/>
      <c r="AC315" s="157"/>
      <c r="AD315" s="157"/>
      <c r="AE315" s="157"/>
      <c r="AF315" s="157"/>
      <c r="AG315" s="157"/>
      <c r="AH315" s="157"/>
      <c r="AI315" s="157"/>
      <c r="AJ315" s="157"/>
      <c r="AK315" s="157"/>
      <c r="AL315" s="157"/>
      <c r="AM315" s="157"/>
      <c r="AN315" s="157"/>
      <c r="AO315" s="157"/>
      <c r="AP315" s="157"/>
    </row>
    <row r="316" spans="1:42" x14ac:dyDescent="0.25">
      <c r="A316" s="225" t="str">
        <f>'Participation Assumptions'!B317</f>
        <v>Time-of-Use Rates (TOU)</v>
      </c>
      <c r="B316" s="225" t="s">
        <v>397</v>
      </c>
      <c r="C316" s="225" t="str">
        <f>'Participation Assumptions'!C317</f>
        <v>Small Commercial</v>
      </c>
      <c r="D316" s="225" t="str">
        <f>'Participation Assumptions'!D317</f>
        <v>Miscellaneous</v>
      </c>
      <c r="E316" s="329">
        <v>1</v>
      </c>
      <c r="F316" s="329">
        <v>1</v>
      </c>
      <c r="G316" s="329">
        <v>1</v>
      </c>
      <c r="H316" s="329">
        <v>1</v>
      </c>
      <c r="I316" s="329">
        <v>1</v>
      </c>
      <c r="J316" s="329">
        <v>1</v>
      </c>
      <c r="K316" s="329">
        <v>1</v>
      </c>
      <c r="L316" s="329">
        <v>1</v>
      </c>
      <c r="M316" s="329">
        <v>1</v>
      </c>
      <c r="N316" s="329">
        <v>1</v>
      </c>
      <c r="O316" s="329">
        <v>1</v>
      </c>
      <c r="P316" s="329">
        <v>1</v>
      </c>
      <c r="Q316" s="329">
        <v>1</v>
      </c>
      <c r="R316" s="329">
        <v>1</v>
      </c>
      <c r="S316" s="329">
        <v>1</v>
      </c>
      <c r="T316" s="329">
        <v>1</v>
      </c>
      <c r="U316" s="329">
        <v>1</v>
      </c>
      <c r="V316" s="328"/>
      <c r="W316" s="200" t="str">
        <f t="shared" si="223"/>
        <v>Small</v>
      </c>
      <c r="X316" s="198" t="str">
        <f t="shared" si="221"/>
        <v>Time-of-Use Rates (TOU)Small</v>
      </c>
      <c r="Y316" s="157" t="b">
        <f>ISNUMBER(MATCH(X316,'ProCESS CSE'!W:W,0))</f>
        <v>0</v>
      </c>
      <c r="Z316" s="157"/>
      <c r="AA316" s="157"/>
      <c r="AB316" s="157"/>
      <c r="AC316" s="157"/>
      <c r="AD316" s="157"/>
      <c r="AE316" s="157"/>
      <c r="AF316" s="157"/>
      <c r="AG316" s="157"/>
      <c r="AH316" s="157"/>
      <c r="AI316" s="157"/>
      <c r="AJ316" s="157"/>
      <c r="AK316" s="157"/>
      <c r="AL316" s="157"/>
      <c r="AM316" s="157"/>
      <c r="AN316" s="157"/>
      <c r="AO316" s="157"/>
      <c r="AP316" s="157"/>
    </row>
    <row r="317" spans="1:42" x14ac:dyDescent="0.25">
      <c r="A317" s="225" t="str">
        <f>'Participation Assumptions'!B318</f>
        <v>Time-of-Use Rates (TOU)</v>
      </c>
      <c r="B317" s="225" t="s">
        <v>397</v>
      </c>
      <c r="C317" s="225" t="str">
        <f>'Participation Assumptions'!C318</f>
        <v>Small Commercial</v>
      </c>
      <c r="D317" s="225" t="str">
        <f>'Participation Assumptions'!D318</f>
        <v>Offices</v>
      </c>
      <c r="E317" s="329">
        <v>1</v>
      </c>
      <c r="F317" s="329">
        <v>1</v>
      </c>
      <c r="G317" s="329">
        <v>1</v>
      </c>
      <c r="H317" s="329">
        <v>1</v>
      </c>
      <c r="I317" s="329">
        <v>1</v>
      </c>
      <c r="J317" s="329">
        <v>1</v>
      </c>
      <c r="K317" s="329">
        <v>1</v>
      </c>
      <c r="L317" s="329">
        <v>1</v>
      </c>
      <c r="M317" s="329">
        <v>1</v>
      </c>
      <c r="N317" s="329">
        <v>1</v>
      </c>
      <c r="O317" s="329">
        <v>1</v>
      </c>
      <c r="P317" s="329">
        <v>1</v>
      </c>
      <c r="Q317" s="329">
        <v>1</v>
      </c>
      <c r="R317" s="329">
        <v>1</v>
      </c>
      <c r="S317" s="329">
        <v>1</v>
      </c>
      <c r="T317" s="329">
        <v>1</v>
      </c>
      <c r="U317" s="329">
        <v>1</v>
      </c>
      <c r="V317" s="328"/>
      <c r="W317" s="200" t="str">
        <f t="shared" si="223"/>
        <v>Small</v>
      </c>
      <c r="X317" s="198" t="str">
        <f t="shared" si="221"/>
        <v>Time-of-Use Rates (TOU)Small</v>
      </c>
      <c r="Y317" s="157" t="b">
        <f>ISNUMBER(MATCH(X317,'ProCESS CSE'!W:W,0))</f>
        <v>0</v>
      </c>
      <c r="Z317" s="157"/>
      <c r="AA317" s="157"/>
      <c r="AB317" s="157"/>
      <c r="AC317" s="157"/>
      <c r="AD317" s="157"/>
      <c r="AE317" s="157"/>
      <c r="AF317" s="157"/>
      <c r="AG317" s="157"/>
      <c r="AH317" s="157"/>
      <c r="AI317" s="157"/>
      <c r="AJ317" s="157"/>
      <c r="AK317" s="157"/>
      <c r="AL317" s="157"/>
      <c r="AM317" s="157"/>
      <c r="AN317" s="157"/>
      <c r="AO317" s="157"/>
      <c r="AP317" s="157"/>
    </row>
    <row r="318" spans="1:42" x14ac:dyDescent="0.25">
      <c r="A318" s="225" t="str">
        <f>'Participation Assumptions'!B319</f>
        <v>Time-of-Use Rates (TOU)</v>
      </c>
      <c r="B318" s="225" t="s">
        <v>397</v>
      </c>
      <c r="C318" s="225" t="str">
        <f>'Participation Assumptions'!C319</f>
        <v>Small Commercial</v>
      </c>
      <c r="D318" s="225" t="str">
        <f>'Participation Assumptions'!D319</f>
        <v>Retail Trade</v>
      </c>
      <c r="E318" s="329">
        <v>1</v>
      </c>
      <c r="F318" s="329">
        <v>1</v>
      </c>
      <c r="G318" s="329">
        <v>1</v>
      </c>
      <c r="H318" s="329">
        <v>1</v>
      </c>
      <c r="I318" s="329">
        <v>1</v>
      </c>
      <c r="J318" s="329">
        <v>1</v>
      </c>
      <c r="K318" s="329">
        <v>1</v>
      </c>
      <c r="L318" s="329">
        <v>1</v>
      </c>
      <c r="M318" s="329">
        <v>1</v>
      </c>
      <c r="N318" s="329">
        <v>1</v>
      </c>
      <c r="O318" s="329">
        <v>1</v>
      </c>
      <c r="P318" s="329">
        <v>1</v>
      </c>
      <c r="Q318" s="329">
        <v>1</v>
      </c>
      <c r="R318" s="329">
        <v>1</v>
      </c>
      <c r="S318" s="329">
        <v>1</v>
      </c>
      <c r="T318" s="329">
        <v>1</v>
      </c>
      <c r="U318" s="329">
        <v>1</v>
      </c>
      <c r="V318" s="328"/>
      <c r="W318" s="200" t="str">
        <f t="shared" si="223"/>
        <v>Small</v>
      </c>
      <c r="X318" s="198" t="str">
        <f t="shared" si="221"/>
        <v>Time-of-Use Rates (TOU)Small</v>
      </c>
      <c r="Y318" s="157" t="b">
        <f>ISNUMBER(MATCH(X318,'ProCESS CSE'!W:W,0))</f>
        <v>0</v>
      </c>
      <c r="Z318" s="157"/>
      <c r="AA318" s="157"/>
      <c r="AB318" s="157"/>
      <c r="AC318" s="157"/>
      <c r="AD318" s="157"/>
      <c r="AE318" s="157"/>
      <c r="AF318" s="157"/>
      <c r="AG318" s="157"/>
      <c r="AH318" s="157"/>
      <c r="AI318" s="157"/>
      <c r="AJ318" s="157"/>
      <c r="AK318" s="157"/>
      <c r="AL318" s="157"/>
      <c r="AM318" s="157"/>
      <c r="AN318" s="157"/>
      <c r="AO318" s="157"/>
      <c r="AP318" s="157"/>
    </row>
    <row r="319" spans="1:42" x14ac:dyDescent="0.25">
      <c r="A319" s="225" t="str">
        <f>'Participation Assumptions'!B320</f>
        <v>Time-of-Use Rates (TOU)</v>
      </c>
      <c r="B319" s="225" t="s">
        <v>397</v>
      </c>
      <c r="C319" s="225" t="str">
        <f>'Participation Assumptions'!C320</f>
        <v>Small Commercial</v>
      </c>
      <c r="D319" s="225" t="str">
        <f>'Participation Assumptions'!D320</f>
        <v>Services</v>
      </c>
      <c r="E319" s="329">
        <v>1</v>
      </c>
      <c r="F319" s="329">
        <v>1</v>
      </c>
      <c r="G319" s="329">
        <v>1</v>
      </c>
      <c r="H319" s="329">
        <v>1</v>
      </c>
      <c r="I319" s="329">
        <v>1</v>
      </c>
      <c r="J319" s="329">
        <v>1</v>
      </c>
      <c r="K319" s="329">
        <v>1</v>
      </c>
      <c r="L319" s="329">
        <v>1</v>
      </c>
      <c r="M319" s="329">
        <v>1</v>
      </c>
      <c r="N319" s="329">
        <v>1</v>
      </c>
      <c r="O319" s="329">
        <v>1</v>
      </c>
      <c r="P319" s="329">
        <v>1</v>
      </c>
      <c r="Q319" s="329">
        <v>1</v>
      </c>
      <c r="R319" s="329">
        <v>1</v>
      </c>
      <c r="S319" s="329">
        <v>1</v>
      </c>
      <c r="T319" s="329">
        <v>1</v>
      </c>
      <c r="U319" s="329">
        <v>1</v>
      </c>
      <c r="V319" s="328"/>
      <c r="W319" s="200" t="str">
        <f t="shared" si="223"/>
        <v>Small</v>
      </c>
      <c r="X319" s="198" t="str">
        <f t="shared" si="221"/>
        <v>Time-of-Use Rates (TOU)Small</v>
      </c>
      <c r="Y319" s="157" t="b">
        <f>ISNUMBER(MATCH(X319,'ProCESS CSE'!W:W,0))</f>
        <v>0</v>
      </c>
      <c r="Z319" s="157"/>
      <c r="AA319" s="157"/>
      <c r="AB319" s="157"/>
      <c r="AC319" s="157"/>
      <c r="AD319" s="157"/>
      <c r="AE319" s="157"/>
      <c r="AF319" s="157"/>
      <c r="AG319" s="157"/>
      <c r="AH319" s="157"/>
      <c r="AI319" s="157"/>
      <c r="AJ319" s="157"/>
      <c r="AK319" s="157"/>
      <c r="AL319" s="157"/>
      <c r="AM319" s="157"/>
      <c r="AN319" s="157"/>
      <c r="AO319" s="157"/>
      <c r="AP319" s="157"/>
    </row>
    <row r="320" spans="1:42" x14ac:dyDescent="0.25">
      <c r="A320" s="225" t="str">
        <f>'Participation Assumptions'!B321</f>
        <v>Time-of-Use Rates (TOU)</v>
      </c>
      <c r="B320" s="225" t="s">
        <v>397</v>
      </c>
      <c r="C320" s="225" t="str">
        <f>'Participation Assumptions'!C321</f>
        <v>Small Industrial</v>
      </c>
      <c r="D320" s="225" t="str">
        <f>'Participation Assumptions'!D321</f>
        <v>Manufacturing</v>
      </c>
      <c r="E320" s="329">
        <v>1</v>
      </c>
      <c r="F320" s="329">
        <v>1</v>
      </c>
      <c r="G320" s="329">
        <v>1</v>
      </c>
      <c r="H320" s="329">
        <v>1</v>
      </c>
      <c r="I320" s="329">
        <v>1</v>
      </c>
      <c r="J320" s="329">
        <v>1</v>
      </c>
      <c r="K320" s="329">
        <v>1</v>
      </c>
      <c r="L320" s="329">
        <v>1</v>
      </c>
      <c r="M320" s="329">
        <v>1</v>
      </c>
      <c r="N320" s="329">
        <v>1</v>
      </c>
      <c r="O320" s="329">
        <v>1</v>
      </c>
      <c r="P320" s="329">
        <v>1</v>
      </c>
      <c r="Q320" s="329">
        <v>1</v>
      </c>
      <c r="R320" s="329">
        <v>1</v>
      </c>
      <c r="S320" s="329">
        <v>1</v>
      </c>
      <c r="T320" s="329">
        <v>1</v>
      </c>
      <c r="U320" s="329">
        <v>1</v>
      </c>
      <c r="V320" s="328"/>
      <c r="W320" s="200" t="str">
        <f t="shared" si="223"/>
        <v>Small</v>
      </c>
      <c r="X320" s="198" t="str">
        <f t="shared" si="221"/>
        <v>Time-of-Use Rates (TOU)Small</v>
      </c>
      <c r="Y320" s="157" t="b">
        <f>ISNUMBER(MATCH(X320,'ProCESS CSE'!W:W,0))</f>
        <v>0</v>
      </c>
      <c r="Z320" s="157"/>
      <c r="AA320" s="157"/>
      <c r="AB320" s="157"/>
      <c r="AC320" s="157"/>
      <c r="AD320" s="157"/>
      <c r="AE320" s="157"/>
      <c r="AF320" s="157"/>
      <c r="AG320" s="157"/>
      <c r="AH320" s="157"/>
      <c r="AI320" s="157"/>
      <c r="AJ320" s="157"/>
      <c r="AK320" s="157"/>
      <c r="AL320" s="157"/>
      <c r="AM320" s="157"/>
      <c r="AN320" s="157"/>
      <c r="AO320" s="157"/>
      <c r="AP320" s="157"/>
    </row>
    <row r="321" spans="1:42" x14ac:dyDescent="0.25">
      <c r="A321" s="225" t="str">
        <f>'Participation Assumptions'!B322</f>
        <v>Time-of-Use Rates (TOU)</v>
      </c>
      <c r="B321" s="225" t="s">
        <v>397</v>
      </c>
      <c r="C321" s="225" t="str">
        <f>'Participation Assumptions'!C322</f>
        <v>Small Industrial</v>
      </c>
      <c r="D321" s="225" t="str">
        <f>'Participation Assumptions'!D322</f>
        <v>Miscellaneous</v>
      </c>
      <c r="E321" s="329">
        <v>1</v>
      </c>
      <c r="F321" s="329">
        <v>1</v>
      </c>
      <c r="G321" s="329">
        <v>1</v>
      </c>
      <c r="H321" s="329">
        <v>1</v>
      </c>
      <c r="I321" s="329">
        <v>1</v>
      </c>
      <c r="J321" s="329">
        <v>1</v>
      </c>
      <c r="K321" s="329">
        <v>1</v>
      </c>
      <c r="L321" s="329">
        <v>1</v>
      </c>
      <c r="M321" s="329">
        <v>1</v>
      </c>
      <c r="N321" s="329">
        <v>1</v>
      </c>
      <c r="O321" s="329">
        <v>1</v>
      </c>
      <c r="P321" s="329">
        <v>1</v>
      </c>
      <c r="Q321" s="329">
        <v>1</v>
      </c>
      <c r="R321" s="329">
        <v>1</v>
      </c>
      <c r="S321" s="329">
        <v>1</v>
      </c>
      <c r="T321" s="329">
        <v>1</v>
      </c>
      <c r="U321" s="329">
        <v>1</v>
      </c>
      <c r="V321" s="328"/>
      <c r="W321" s="200" t="str">
        <f t="shared" si="223"/>
        <v>Small</v>
      </c>
      <c r="X321" s="198" t="str">
        <f t="shared" si="221"/>
        <v>Time-of-Use Rates (TOU)Small</v>
      </c>
      <c r="Y321" s="157" t="b">
        <f>ISNUMBER(MATCH(X321,'ProCESS CSE'!W:W,0))</f>
        <v>0</v>
      </c>
      <c r="Z321" s="157"/>
      <c r="AA321" s="157"/>
      <c r="AB321" s="157"/>
      <c r="AC321" s="157"/>
      <c r="AD321" s="157"/>
      <c r="AE321" s="157"/>
      <c r="AF321" s="157"/>
      <c r="AG321" s="157"/>
      <c r="AH321" s="157"/>
      <c r="AI321" s="157"/>
      <c r="AJ321" s="157"/>
      <c r="AK321" s="157"/>
      <c r="AL321" s="157"/>
      <c r="AM321" s="157"/>
      <c r="AN321" s="157"/>
      <c r="AO321" s="157"/>
      <c r="AP321" s="157"/>
    </row>
    <row r="322" spans="1:42" x14ac:dyDescent="0.25">
      <c r="A322" s="225" t="str">
        <f>'Participation Assumptions'!B323</f>
        <v>Time-of-Use Rates (TOU)</v>
      </c>
      <c r="B322" s="225" t="s">
        <v>397</v>
      </c>
      <c r="C322" s="225" t="str">
        <f>'Participation Assumptions'!C323</f>
        <v>Small Industrial</v>
      </c>
      <c r="D322" s="225" t="str">
        <f>'Participation Assumptions'!D323</f>
        <v>Offices</v>
      </c>
      <c r="E322" s="329">
        <v>1</v>
      </c>
      <c r="F322" s="329">
        <v>1</v>
      </c>
      <c r="G322" s="329">
        <v>1</v>
      </c>
      <c r="H322" s="329">
        <v>1</v>
      </c>
      <c r="I322" s="329">
        <v>1</v>
      </c>
      <c r="J322" s="329">
        <v>1</v>
      </c>
      <c r="K322" s="329">
        <v>1</v>
      </c>
      <c r="L322" s="329">
        <v>1</v>
      </c>
      <c r="M322" s="329">
        <v>1</v>
      </c>
      <c r="N322" s="329">
        <v>1</v>
      </c>
      <c r="O322" s="329">
        <v>1</v>
      </c>
      <c r="P322" s="329">
        <v>1</v>
      </c>
      <c r="Q322" s="329">
        <v>1</v>
      </c>
      <c r="R322" s="329">
        <v>1</v>
      </c>
      <c r="S322" s="329">
        <v>1</v>
      </c>
      <c r="T322" s="329">
        <v>1</v>
      </c>
      <c r="U322" s="329">
        <v>1</v>
      </c>
      <c r="V322" s="328"/>
      <c r="W322" s="200" t="str">
        <f t="shared" si="223"/>
        <v>Small</v>
      </c>
      <c r="X322" s="198" t="str">
        <f t="shared" si="221"/>
        <v>Time-of-Use Rates (TOU)Small</v>
      </c>
      <c r="Y322" s="157" t="b">
        <f>ISNUMBER(MATCH(X322,'ProCESS CSE'!W:W,0))</f>
        <v>0</v>
      </c>
      <c r="Z322" s="157"/>
      <c r="AA322" s="157"/>
      <c r="AB322" s="157"/>
      <c r="AC322" s="157"/>
      <c r="AD322" s="157"/>
      <c r="AE322" s="157"/>
      <c r="AF322" s="157"/>
      <c r="AG322" s="157"/>
      <c r="AH322" s="157"/>
      <c r="AI322" s="157"/>
      <c r="AJ322" s="157"/>
      <c r="AK322" s="157"/>
      <c r="AL322" s="157"/>
      <c r="AM322" s="157"/>
      <c r="AN322" s="157"/>
      <c r="AO322" s="157"/>
      <c r="AP322" s="157"/>
    </row>
    <row r="323" spans="1:42" x14ac:dyDescent="0.25">
      <c r="A323" s="225" t="str">
        <f>'Participation Assumptions'!B324</f>
        <v>Time-of-Use Rates (TOU)</v>
      </c>
      <c r="B323" s="225" t="s">
        <v>397</v>
      </c>
      <c r="C323" s="225" t="str">
        <f>'Participation Assumptions'!C324</f>
        <v>Small Industrial</v>
      </c>
      <c r="D323" s="225" t="str">
        <f>'Participation Assumptions'!D324</f>
        <v>Retail Trade</v>
      </c>
      <c r="E323" s="329">
        <v>1</v>
      </c>
      <c r="F323" s="329">
        <v>1</v>
      </c>
      <c r="G323" s="329">
        <v>1</v>
      </c>
      <c r="H323" s="329">
        <v>1</v>
      </c>
      <c r="I323" s="329">
        <v>1</v>
      </c>
      <c r="J323" s="329">
        <v>1</v>
      </c>
      <c r="K323" s="329">
        <v>1</v>
      </c>
      <c r="L323" s="329">
        <v>1</v>
      </c>
      <c r="M323" s="329">
        <v>1</v>
      </c>
      <c r="N323" s="329">
        <v>1</v>
      </c>
      <c r="O323" s="329">
        <v>1</v>
      </c>
      <c r="P323" s="329">
        <v>1</v>
      </c>
      <c r="Q323" s="329">
        <v>1</v>
      </c>
      <c r="R323" s="329">
        <v>1</v>
      </c>
      <c r="S323" s="329">
        <v>1</v>
      </c>
      <c r="T323" s="329">
        <v>1</v>
      </c>
      <c r="U323" s="329">
        <v>1</v>
      </c>
      <c r="V323" s="328"/>
      <c r="W323" s="200" t="str">
        <f t="shared" si="223"/>
        <v>Small</v>
      </c>
      <c r="X323" s="198" t="str">
        <f t="shared" si="221"/>
        <v>Time-of-Use Rates (TOU)Small</v>
      </c>
      <c r="Y323" s="157" t="b">
        <f>ISNUMBER(MATCH(X323,'ProCESS CSE'!W:W,0))</f>
        <v>0</v>
      </c>
      <c r="Z323" s="157"/>
      <c r="AA323" s="157"/>
      <c r="AB323" s="157"/>
      <c r="AC323" s="157"/>
      <c r="AD323" s="157"/>
      <c r="AE323" s="157"/>
      <c r="AF323" s="157"/>
      <c r="AG323" s="157"/>
      <c r="AH323" s="157"/>
      <c r="AI323" s="157"/>
      <c r="AJ323" s="157"/>
      <c r="AK323" s="157"/>
      <c r="AL323" s="157"/>
      <c r="AM323" s="157"/>
      <c r="AN323" s="157"/>
      <c r="AO323" s="157"/>
      <c r="AP323" s="157"/>
    </row>
    <row r="324" spans="1:42" x14ac:dyDescent="0.25">
      <c r="A324" s="225" t="str">
        <f>'Participation Assumptions'!B325</f>
        <v>Time-of-Use Rates (TOU)</v>
      </c>
      <c r="B324" s="225" t="s">
        <v>397</v>
      </c>
      <c r="C324" s="225" t="str">
        <f>'Participation Assumptions'!C325</f>
        <v>Small Industrial</v>
      </c>
      <c r="D324" s="225" t="str">
        <f>'Participation Assumptions'!D325</f>
        <v>Services</v>
      </c>
      <c r="E324" s="329">
        <v>1</v>
      </c>
      <c r="F324" s="329">
        <v>1</v>
      </c>
      <c r="G324" s="329">
        <v>1</v>
      </c>
      <c r="H324" s="329">
        <v>1</v>
      </c>
      <c r="I324" s="329">
        <v>1</v>
      </c>
      <c r="J324" s="329">
        <v>1</v>
      </c>
      <c r="K324" s="329">
        <v>1</v>
      </c>
      <c r="L324" s="329">
        <v>1</v>
      </c>
      <c r="M324" s="329">
        <v>1</v>
      </c>
      <c r="N324" s="329">
        <v>1</v>
      </c>
      <c r="O324" s="329">
        <v>1</v>
      </c>
      <c r="P324" s="329">
        <v>1</v>
      </c>
      <c r="Q324" s="329">
        <v>1</v>
      </c>
      <c r="R324" s="329">
        <v>1</v>
      </c>
      <c r="S324" s="329">
        <v>1</v>
      </c>
      <c r="T324" s="329">
        <v>1</v>
      </c>
      <c r="U324" s="329">
        <v>1</v>
      </c>
      <c r="V324" s="328"/>
      <c r="W324" s="200" t="str">
        <f t="shared" si="223"/>
        <v>Small</v>
      </c>
      <c r="X324" s="198" t="str">
        <f t="shared" ref="X324" si="256">_xlfn.CONCAT(A324,W324)</f>
        <v>Time-of-Use Rates (TOU)Small</v>
      </c>
      <c r="Y324" s="157" t="b">
        <f>ISNUMBER(MATCH(X324,'ProCESS CSE'!W:W,0))</f>
        <v>0</v>
      </c>
      <c r="Z324" s="157"/>
      <c r="AA324" s="157"/>
      <c r="AB324" s="157"/>
      <c r="AC324" s="157"/>
      <c r="AD324" s="157"/>
      <c r="AE324" s="157"/>
      <c r="AF324" s="157"/>
      <c r="AG324" s="157"/>
      <c r="AH324" s="157"/>
      <c r="AI324" s="157"/>
      <c r="AJ324" s="157"/>
      <c r="AK324" s="157"/>
      <c r="AL324" s="157"/>
      <c r="AM324" s="157"/>
      <c r="AN324" s="157"/>
      <c r="AO324" s="157"/>
      <c r="AP324" s="157"/>
    </row>
    <row r="325" spans="1:42" x14ac:dyDescent="0.25">
      <c r="A325" s="225" t="s">
        <v>80</v>
      </c>
      <c r="B325" s="225" t="s">
        <v>435</v>
      </c>
      <c r="C325" s="225" t="s">
        <v>45</v>
      </c>
      <c r="D325" s="225" t="s">
        <v>269</v>
      </c>
      <c r="E325" s="297">
        <v>0.97</v>
      </c>
      <c r="F325" s="297">
        <v>0.97</v>
      </c>
      <c r="G325" s="297">
        <v>0.97</v>
      </c>
      <c r="H325" s="297">
        <v>0.97</v>
      </c>
      <c r="I325" s="297">
        <v>0.97</v>
      </c>
      <c r="J325" s="297">
        <v>0.97</v>
      </c>
      <c r="K325" s="297">
        <v>0.97</v>
      </c>
      <c r="L325" s="297">
        <v>0.97</v>
      </c>
      <c r="M325" s="297">
        <v>0.97</v>
      </c>
      <c r="N325" s="297">
        <v>0.97</v>
      </c>
      <c r="O325" s="297">
        <v>0.97</v>
      </c>
      <c r="P325" s="297">
        <v>0.97</v>
      </c>
      <c r="Q325" s="297">
        <v>0.97</v>
      </c>
      <c r="R325" s="297">
        <v>0.97</v>
      </c>
      <c r="S325" s="297">
        <v>0.97</v>
      </c>
      <c r="T325" s="297">
        <v>0.97</v>
      </c>
      <c r="U325" s="297">
        <v>0.97</v>
      </c>
      <c r="V325" s="328" t="s">
        <v>301</v>
      </c>
      <c r="W325" s="260" t="s">
        <v>45</v>
      </c>
      <c r="X325" s="198" t="s">
        <v>472</v>
      </c>
      <c r="Y325" s="157" t="b">
        <v>0</v>
      </c>
      <c r="Z325" s="157"/>
      <c r="AA325" s="157"/>
      <c r="AB325" s="157"/>
      <c r="AC325" s="157"/>
      <c r="AD325" s="157"/>
      <c r="AE325" s="157"/>
      <c r="AF325" s="157"/>
      <c r="AG325" s="157"/>
      <c r="AH325" s="157"/>
      <c r="AI325" s="157"/>
      <c r="AJ325" s="157"/>
      <c r="AK325" s="157"/>
      <c r="AL325" s="157"/>
      <c r="AM325" s="157"/>
      <c r="AN325" s="157"/>
      <c r="AO325" s="157"/>
      <c r="AP325" s="157"/>
    </row>
    <row r="326" spans="1:42" x14ac:dyDescent="0.25">
      <c r="A326" s="295" t="s">
        <v>80</v>
      </c>
      <c r="B326" s="295" t="s">
        <v>435</v>
      </c>
      <c r="C326" s="295" t="s">
        <v>45</v>
      </c>
      <c r="D326" s="295" t="s">
        <v>272</v>
      </c>
      <c r="E326" s="297">
        <v>0.97</v>
      </c>
      <c r="F326" s="297">
        <v>0.97</v>
      </c>
      <c r="G326" s="297">
        <v>0.97</v>
      </c>
      <c r="H326" s="297">
        <v>0.97</v>
      </c>
      <c r="I326" s="297">
        <v>0.97</v>
      </c>
      <c r="J326" s="297">
        <v>0.97</v>
      </c>
      <c r="K326" s="297">
        <v>0.97</v>
      </c>
      <c r="L326" s="297">
        <v>0.97</v>
      </c>
      <c r="M326" s="297">
        <v>0.97</v>
      </c>
      <c r="N326" s="297">
        <v>0.97</v>
      </c>
      <c r="O326" s="297">
        <v>0.97</v>
      </c>
      <c r="P326" s="297">
        <v>0.97</v>
      </c>
      <c r="Q326" s="297">
        <v>0.97</v>
      </c>
      <c r="R326" s="297">
        <v>0.97</v>
      </c>
      <c r="S326" s="297">
        <v>0.97</v>
      </c>
      <c r="T326" s="297">
        <v>0.97</v>
      </c>
      <c r="U326" s="297">
        <v>0.97</v>
      </c>
      <c r="V326" s="328" t="s">
        <v>301</v>
      </c>
      <c r="W326" s="260" t="s">
        <v>45</v>
      </c>
      <c r="X326" s="198" t="s">
        <v>472</v>
      </c>
      <c r="Y326" s="157" t="b">
        <v>0</v>
      </c>
      <c r="Z326" s="157"/>
      <c r="AA326" s="157"/>
      <c r="AB326" s="157"/>
      <c r="AC326" s="157"/>
      <c r="AD326" s="157"/>
      <c r="AE326" s="157"/>
      <c r="AF326" s="157"/>
      <c r="AG326" s="157"/>
      <c r="AH326" s="157"/>
      <c r="AI326" s="157"/>
      <c r="AJ326" s="157"/>
      <c r="AK326" s="157"/>
      <c r="AL326" s="157"/>
      <c r="AM326" s="157"/>
      <c r="AN326" s="157"/>
      <c r="AO326" s="157"/>
      <c r="AP326" s="157"/>
    </row>
    <row r="327" spans="1:42" x14ac:dyDescent="0.25">
      <c r="A327" s="295" t="s">
        <v>81</v>
      </c>
      <c r="B327" s="295" t="s">
        <v>435</v>
      </c>
      <c r="C327" s="295" t="s">
        <v>45</v>
      </c>
      <c r="D327" s="295" t="s">
        <v>269</v>
      </c>
      <c r="E327" s="297">
        <v>0.03</v>
      </c>
      <c r="F327" s="297">
        <v>0.03</v>
      </c>
      <c r="G327" s="297">
        <v>0.03</v>
      </c>
      <c r="H327" s="297">
        <v>0.03</v>
      </c>
      <c r="I327" s="297">
        <v>0.03</v>
      </c>
      <c r="J327" s="297">
        <v>0.03</v>
      </c>
      <c r="K327" s="297">
        <v>0.03</v>
      </c>
      <c r="L327" s="297">
        <v>0.03</v>
      </c>
      <c r="M327" s="297">
        <v>0.03</v>
      </c>
      <c r="N327" s="297">
        <v>0.03</v>
      </c>
      <c r="O327" s="297">
        <v>0.03</v>
      </c>
      <c r="P327" s="297">
        <v>0.03</v>
      </c>
      <c r="Q327" s="297">
        <v>0.03</v>
      </c>
      <c r="R327" s="297">
        <v>0.03</v>
      </c>
      <c r="S327" s="297">
        <v>0.03</v>
      </c>
      <c r="T327" s="297">
        <v>0.03</v>
      </c>
      <c r="U327" s="297">
        <v>0.03</v>
      </c>
      <c r="V327" s="328" t="s">
        <v>302</v>
      </c>
      <c r="W327" s="260" t="s">
        <v>45</v>
      </c>
      <c r="X327" s="198" t="s">
        <v>473</v>
      </c>
      <c r="Y327" s="157" t="b">
        <v>0</v>
      </c>
      <c r="Z327" s="157"/>
      <c r="AA327" s="157"/>
      <c r="AB327" s="157"/>
      <c r="AC327" s="157"/>
      <c r="AD327" s="157"/>
      <c r="AE327" s="157"/>
      <c r="AF327" s="157"/>
      <c r="AG327" s="157"/>
      <c r="AH327" s="157"/>
      <c r="AI327" s="157"/>
      <c r="AJ327" s="157"/>
      <c r="AK327" s="157"/>
      <c r="AL327" s="157"/>
      <c r="AM327" s="157"/>
      <c r="AN327" s="157"/>
      <c r="AO327" s="157"/>
      <c r="AP327" s="157"/>
    </row>
    <row r="328" spans="1:42" x14ac:dyDescent="0.25">
      <c r="A328" s="295" t="s">
        <v>81</v>
      </c>
      <c r="B328" s="295" t="s">
        <v>435</v>
      </c>
      <c r="C328" s="295" t="s">
        <v>45</v>
      </c>
      <c r="D328" s="295" t="s">
        <v>272</v>
      </c>
      <c r="E328" s="297">
        <v>0.03</v>
      </c>
      <c r="F328" s="297">
        <v>0.03</v>
      </c>
      <c r="G328" s="297">
        <v>0.03</v>
      </c>
      <c r="H328" s="297">
        <v>0.03</v>
      </c>
      <c r="I328" s="297">
        <v>0.03</v>
      </c>
      <c r="J328" s="297">
        <v>0.03</v>
      </c>
      <c r="K328" s="297">
        <v>0.03</v>
      </c>
      <c r="L328" s="297">
        <v>0.03</v>
      </c>
      <c r="M328" s="297">
        <v>0.03</v>
      </c>
      <c r="N328" s="297">
        <v>0.03</v>
      </c>
      <c r="O328" s="297">
        <v>0.03</v>
      </c>
      <c r="P328" s="297">
        <v>0.03</v>
      </c>
      <c r="Q328" s="297">
        <v>0.03</v>
      </c>
      <c r="R328" s="297">
        <v>0.03</v>
      </c>
      <c r="S328" s="297">
        <v>0.03</v>
      </c>
      <c r="T328" s="297">
        <v>0.03</v>
      </c>
      <c r="U328" s="297">
        <v>0.03</v>
      </c>
      <c r="V328" s="328" t="s">
        <v>302</v>
      </c>
      <c r="W328" s="260" t="s">
        <v>45</v>
      </c>
      <c r="X328" s="198" t="s">
        <v>473</v>
      </c>
      <c r="Y328" s="157" t="b">
        <v>0</v>
      </c>
      <c r="Z328" s="157"/>
      <c r="AA328" s="157"/>
      <c r="AB328" s="157"/>
      <c r="AC328" s="157"/>
      <c r="AD328" s="157"/>
      <c r="AE328" s="157"/>
      <c r="AF328" s="157"/>
      <c r="AG328" s="157"/>
      <c r="AH328" s="157"/>
      <c r="AI328" s="157"/>
      <c r="AJ328" s="157"/>
      <c r="AK328" s="157"/>
      <c r="AL328" s="157"/>
      <c r="AM328" s="157"/>
      <c r="AN328" s="157"/>
      <c r="AO328" s="157"/>
      <c r="AP328" s="157"/>
    </row>
    <row r="329" spans="1:42" x14ac:dyDescent="0.25">
      <c r="A329" s="295" t="s">
        <v>82</v>
      </c>
      <c r="B329" s="295" t="s">
        <v>435</v>
      </c>
      <c r="C329" s="295" t="s">
        <v>45</v>
      </c>
      <c r="D329" s="295" t="s">
        <v>269</v>
      </c>
      <c r="E329" s="297">
        <v>0</v>
      </c>
      <c r="F329" s="297">
        <v>0</v>
      </c>
      <c r="G329" s="297">
        <v>0</v>
      </c>
      <c r="H329" s="297">
        <v>0</v>
      </c>
      <c r="I329" s="297">
        <v>0</v>
      </c>
      <c r="J329" s="297">
        <v>0</v>
      </c>
      <c r="K329" s="297">
        <v>0</v>
      </c>
      <c r="L329" s="297">
        <v>0</v>
      </c>
      <c r="M329" s="297">
        <v>0</v>
      </c>
      <c r="N329" s="297">
        <v>0</v>
      </c>
      <c r="O329" s="297">
        <v>0</v>
      </c>
      <c r="P329" s="297">
        <v>0</v>
      </c>
      <c r="Q329" s="297">
        <v>0</v>
      </c>
      <c r="R329" s="297">
        <v>0</v>
      </c>
      <c r="S329" s="297">
        <v>0</v>
      </c>
      <c r="T329" s="297">
        <v>0</v>
      </c>
      <c r="U329" s="297">
        <v>0</v>
      </c>
      <c r="V329" s="328"/>
      <c r="W329" s="260" t="s">
        <v>45</v>
      </c>
      <c r="X329" s="198" t="s">
        <v>474</v>
      </c>
      <c r="Y329" s="157" t="b">
        <v>1</v>
      </c>
      <c r="Z329" s="157"/>
      <c r="AA329" s="157"/>
      <c r="AB329" s="157"/>
      <c r="AC329" s="157"/>
      <c r="AD329" s="157"/>
      <c r="AE329" s="157"/>
      <c r="AF329" s="157"/>
      <c r="AG329" s="157"/>
      <c r="AH329" s="157"/>
      <c r="AI329" s="157"/>
      <c r="AJ329" s="157"/>
      <c r="AK329" s="157"/>
      <c r="AL329" s="157"/>
      <c r="AM329" s="157"/>
      <c r="AN329" s="157"/>
      <c r="AO329" s="157"/>
      <c r="AP329" s="157"/>
    </row>
    <row r="330" spans="1:42" x14ac:dyDescent="0.25">
      <c r="A330" s="295" t="s">
        <v>82</v>
      </c>
      <c r="B330" s="295" t="s">
        <v>435</v>
      </c>
      <c r="C330" s="295" t="s">
        <v>45</v>
      </c>
      <c r="D330" s="295" t="s">
        <v>272</v>
      </c>
      <c r="E330" s="297">
        <v>0</v>
      </c>
      <c r="F330" s="297">
        <v>0</v>
      </c>
      <c r="G330" s="297">
        <v>0</v>
      </c>
      <c r="H330" s="297">
        <v>0</v>
      </c>
      <c r="I330" s="297">
        <v>0</v>
      </c>
      <c r="J330" s="297">
        <v>0</v>
      </c>
      <c r="K330" s="297">
        <v>0</v>
      </c>
      <c r="L330" s="297">
        <v>0</v>
      </c>
      <c r="M330" s="297">
        <v>0</v>
      </c>
      <c r="N330" s="297">
        <v>0</v>
      </c>
      <c r="O330" s="297">
        <v>0</v>
      </c>
      <c r="P330" s="297">
        <v>0</v>
      </c>
      <c r="Q330" s="297">
        <v>0</v>
      </c>
      <c r="R330" s="297">
        <v>0</v>
      </c>
      <c r="S330" s="297">
        <v>0</v>
      </c>
      <c r="T330" s="297">
        <v>0</v>
      </c>
      <c r="U330" s="297">
        <v>0</v>
      </c>
      <c r="V330" s="328"/>
      <c r="W330" s="260" t="s">
        <v>45</v>
      </c>
      <c r="X330" s="198" t="s">
        <v>474</v>
      </c>
      <c r="Y330" s="157" t="b">
        <v>1</v>
      </c>
      <c r="Z330" s="157"/>
      <c r="AA330" s="157"/>
      <c r="AB330" s="157"/>
      <c r="AC330" s="157"/>
      <c r="AD330" s="157"/>
      <c r="AE330" s="157"/>
      <c r="AF330" s="157"/>
      <c r="AG330" s="157"/>
      <c r="AH330" s="157"/>
      <c r="AI330" s="157"/>
      <c r="AJ330" s="157"/>
      <c r="AK330" s="157"/>
      <c r="AL330" s="157"/>
      <c r="AM330" s="157"/>
      <c r="AN330" s="157"/>
      <c r="AO330" s="157"/>
      <c r="AP330" s="157"/>
    </row>
    <row r="331" spans="1:42" x14ac:dyDescent="0.25">
      <c r="A331" s="295" t="s">
        <v>83</v>
      </c>
      <c r="B331" s="295" t="s">
        <v>435</v>
      </c>
      <c r="C331" s="295" t="s">
        <v>45</v>
      </c>
      <c r="D331" s="295" t="s">
        <v>269</v>
      </c>
      <c r="E331" s="297">
        <v>0.09</v>
      </c>
      <c r="F331" s="297">
        <v>0.09</v>
      </c>
      <c r="G331" s="297">
        <v>0.09</v>
      </c>
      <c r="H331" s="297">
        <v>0.09</v>
      </c>
      <c r="I331" s="297">
        <v>0.09</v>
      </c>
      <c r="J331" s="297">
        <v>0.09</v>
      </c>
      <c r="K331" s="297">
        <v>0.09</v>
      </c>
      <c r="L331" s="297">
        <v>0.09</v>
      </c>
      <c r="M331" s="297">
        <v>0.09</v>
      </c>
      <c r="N331" s="297">
        <v>0.09</v>
      </c>
      <c r="O331" s="297">
        <v>0.09</v>
      </c>
      <c r="P331" s="297">
        <v>0.09</v>
      </c>
      <c r="Q331" s="297">
        <v>0.09</v>
      </c>
      <c r="R331" s="297">
        <v>0.09</v>
      </c>
      <c r="S331" s="297">
        <v>0.09</v>
      </c>
      <c r="T331" s="297">
        <v>0.09</v>
      </c>
      <c r="U331" s="297">
        <v>0.09</v>
      </c>
      <c r="V331" s="328" t="s">
        <v>303</v>
      </c>
      <c r="W331" s="260" t="s">
        <v>45</v>
      </c>
      <c r="X331" s="198" t="s">
        <v>475</v>
      </c>
      <c r="Y331" s="157" t="b">
        <v>0</v>
      </c>
      <c r="Z331" s="157"/>
      <c r="AA331" s="157"/>
      <c r="AB331" s="157"/>
      <c r="AC331" s="157"/>
      <c r="AD331" s="157"/>
      <c r="AE331" s="157"/>
      <c r="AF331" s="157"/>
      <c r="AG331" s="157"/>
      <c r="AH331" s="157"/>
      <c r="AI331" s="157"/>
      <c r="AJ331" s="157"/>
      <c r="AK331" s="157"/>
      <c r="AL331" s="157"/>
      <c r="AM331" s="157"/>
      <c r="AN331" s="157"/>
      <c r="AO331" s="157"/>
      <c r="AP331" s="157"/>
    </row>
    <row r="332" spans="1:42" x14ac:dyDescent="0.25">
      <c r="A332" s="295" t="s">
        <v>83</v>
      </c>
      <c r="B332" s="295" t="s">
        <v>435</v>
      </c>
      <c r="C332" s="295" t="s">
        <v>45</v>
      </c>
      <c r="D332" s="295" t="s">
        <v>272</v>
      </c>
      <c r="E332" s="297">
        <v>0.09</v>
      </c>
      <c r="F332" s="297">
        <v>0.09</v>
      </c>
      <c r="G332" s="297">
        <v>0.09</v>
      </c>
      <c r="H332" s="297">
        <v>0.09</v>
      </c>
      <c r="I332" s="297">
        <v>0.09</v>
      </c>
      <c r="J332" s="297">
        <v>0.09</v>
      </c>
      <c r="K332" s="297">
        <v>0.09</v>
      </c>
      <c r="L332" s="297">
        <v>0.09</v>
      </c>
      <c r="M332" s="297">
        <v>0.09</v>
      </c>
      <c r="N332" s="297">
        <v>0.09</v>
      </c>
      <c r="O332" s="297">
        <v>0.09</v>
      </c>
      <c r="P332" s="297">
        <v>0.09</v>
      </c>
      <c r="Q332" s="297">
        <v>0.09</v>
      </c>
      <c r="R332" s="297">
        <v>0.09</v>
      </c>
      <c r="S332" s="297">
        <v>0.09</v>
      </c>
      <c r="T332" s="297">
        <v>0.09</v>
      </c>
      <c r="U332" s="297">
        <v>0.09</v>
      </c>
      <c r="V332" s="328"/>
      <c r="W332" s="260" t="s">
        <v>45</v>
      </c>
      <c r="X332" s="198" t="s">
        <v>475</v>
      </c>
      <c r="Y332" s="157" t="b">
        <v>0</v>
      </c>
      <c r="Z332" s="157"/>
      <c r="AA332" s="157"/>
      <c r="AB332" s="157"/>
      <c r="AC332" s="157"/>
      <c r="AD332" s="157"/>
      <c r="AE332" s="157"/>
      <c r="AF332" s="157"/>
      <c r="AG332" s="157"/>
      <c r="AH332" s="157"/>
      <c r="AI332" s="157"/>
      <c r="AJ332" s="157"/>
      <c r="AK332" s="157"/>
      <c r="AL332" s="157"/>
      <c r="AM332" s="157"/>
      <c r="AN332" s="157"/>
      <c r="AO332" s="157"/>
      <c r="AP332" s="157"/>
    </row>
    <row r="333" spans="1:42" x14ac:dyDescent="0.25">
      <c r="A333" s="295" t="s">
        <v>80</v>
      </c>
      <c r="B333" s="295" t="s">
        <v>435</v>
      </c>
      <c r="C333" s="295" t="s">
        <v>40</v>
      </c>
      <c r="D333" s="295" t="s">
        <v>276</v>
      </c>
      <c r="E333" s="297">
        <v>0.89</v>
      </c>
      <c r="F333" s="297">
        <v>0.89</v>
      </c>
      <c r="G333" s="297">
        <v>0.89</v>
      </c>
      <c r="H333" s="297">
        <v>0.89</v>
      </c>
      <c r="I333" s="297">
        <v>0.89</v>
      </c>
      <c r="J333" s="297">
        <v>0.89</v>
      </c>
      <c r="K333" s="297">
        <v>0.89</v>
      </c>
      <c r="L333" s="297">
        <v>0.89</v>
      </c>
      <c r="M333" s="297">
        <v>0.89</v>
      </c>
      <c r="N333" s="297">
        <v>0.89</v>
      </c>
      <c r="O333" s="297">
        <v>0.89</v>
      </c>
      <c r="P333" s="297">
        <v>0.89</v>
      </c>
      <c r="Q333" s="297">
        <v>0.89</v>
      </c>
      <c r="R333" s="297">
        <v>0.89</v>
      </c>
      <c r="S333" s="297">
        <v>0.89</v>
      </c>
      <c r="T333" s="297">
        <v>0.89</v>
      </c>
      <c r="U333" s="297">
        <v>0.89</v>
      </c>
      <c r="V333" s="328" t="s">
        <v>304</v>
      </c>
      <c r="W333" s="260" t="s">
        <v>203</v>
      </c>
      <c r="X333" s="198" t="s">
        <v>476</v>
      </c>
      <c r="Y333" s="157" t="b">
        <v>0</v>
      </c>
      <c r="Z333" s="157"/>
      <c r="AA333" s="157"/>
      <c r="AB333" s="157"/>
      <c r="AC333" s="157"/>
      <c r="AD333" s="157"/>
      <c r="AE333" s="157"/>
      <c r="AF333" s="157"/>
      <c r="AG333" s="157"/>
      <c r="AH333" s="157"/>
      <c r="AI333" s="157"/>
      <c r="AJ333" s="157"/>
      <c r="AK333" s="157"/>
      <c r="AL333" s="157"/>
      <c r="AM333" s="157"/>
      <c r="AN333" s="157"/>
      <c r="AO333" s="157"/>
      <c r="AP333" s="157"/>
    </row>
    <row r="334" spans="1:42" x14ac:dyDescent="0.25">
      <c r="A334" s="295" t="s">
        <v>80</v>
      </c>
      <c r="B334" s="295" t="s">
        <v>435</v>
      </c>
      <c r="C334" s="295" t="s">
        <v>40</v>
      </c>
      <c r="D334" s="295" t="s">
        <v>279</v>
      </c>
      <c r="E334" s="297">
        <v>0.89</v>
      </c>
      <c r="F334" s="297">
        <v>0.89</v>
      </c>
      <c r="G334" s="297">
        <v>0.89</v>
      </c>
      <c r="H334" s="297">
        <v>0.89</v>
      </c>
      <c r="I334" s="297">
        <v>0.89</v>
      </c>
      <c r="J334" s="297">
        <v>0.89</v>
      </c>
      <c r="K334" s="297">
        <v>0.89</v>
      </c>
      <c r="L334" s="297">
        <v>0.89</v>
      </c>
      <c r="M334" s="297">
        <v>0.89</v>
      </c>
      <c r="N334" s="297">
        <v>0.89</v>
      </c>
      <c r="O334" s="297">
        <v>0.89</v>
      </c>
      <c r="P334" s="297">
        <v>0.89</v>
      </c>
      <c r="Q334" s="297">
        <v>0.89</v>
      </c>
      <c r="R334" s="297">
        <v>0.89</v>
      </c>
      <c r="S334" s="297">
        <v>0.89</v>
      </c>
      <c r="T334" s="297">
        <v>0.89</v>
      </c>
      <c r="U334" s="297">
        <v>0.89</v>
      </c>
      <c r="V334" s="328"/>
      <c r="W334" s="260" t="s">
        <v>203</v>
      </c>
      <c r="X334" s="198" t="s">
        <v>476</v>
      </c>
      <c r="Y334" s="157" t="b">
        <v>0</v>
      </c>
      <c r="Z334" s="157"/>
      <c r="AA334" s="157"/>
      <c r="AB334" s="157"/>
      <c r="AC334" s="157"/>
      <c r="AD334" s="157"/>
      <c r="AE334" s="157"/>
      <c r="AF334" s="157"/>
      <c r="AG334" s="157"/>
      <c r="AH334" s="157"/>
      <c r="AI334" s="157"/>
      <c r="AJ334" s="157"/>
      <c r="AK334" s="157"/>
      <c r="AL334" s="157"/>
      <c r="AM334" s="157"/>
      <c r="AN334" s="157"/>
      <c r="AO334" s="157"/>
      <c r="AP334" s="157"/>
    </row>
    <row r="335" spans="1:42" x14ac:dyDescent="0.25">
      <c r="A335" s="295" t="s">
        <v>80</v>
      </c>
      <c r="B335" s="295" t="s">
        <v>435</v>
      </c>
      <c r="C335" s="295" t="s">
        <v>40</v>
      </c>
      <c r="D335" s="295" t="s">
        <v>280</v>
      </c>
      <c r="E335" s="297">
        <v>0.89</v>
      </c>
      <c r="F335" s="297">
        <v>0.89</v>
      </c>
      <c r="G335" s="297">
        <v>0.89</v>
      </c>
      <c r="H335" s="297">
        <v>0.89</v>
      </c>
      <c r="I335" s="297">
        <v>0.89</v>
      </c>
      <c r="J335" s="297">
        <v>0.89</v>
      </c>
      <c r="K335" s="297">
        <v>0.89</v>
      </c>
      <c r="L335" s="297">
        <v>0.89</v>
      </c>
      <c r="M335" s="297">
        <v>0.89</v>
      </c>
      <c r="N335" s="297">
        <v>0.89</v>
      </c>
      <c r="O335" s="297">
        <v>0.89</v>
      </c>
      <c r="P335" s="297">
        <v>0.89</v>
      </c>
      <c r="Q335" s="297">
        <v>0.89</v>
      </c>
      <c r="R335" s="297">
        <v>0.89</v>
      </c>
      <c r="S335" s="297">
        <v>0.89</v>
      </c>
      <c r="T335" s="297">
        <v>0.89</v>
      </c>
      <c r="U335" s="297">
        <v>0.89</v>
      </c>
      <c r="V335" s="328"/>
      <c r="W335" s="260" t="s">
        <v>203</v>
      </c>
      <c r="X335" s="198" t="s">
        <v>476</v>
      </c>
      <c r="Y335" s="157" t="b">
        <v>0</v>
      </c>
      <c r="Z335" s="157"/>
      <c r="AA335" s="157"/>
      <c r="AB335" s="157"/>
      <c r="AC335" s="157"/>
      <c r="AD335" s="157"/>
      <c r="AE335" s="157"/>
      <c r="AF335" s="157"/>
      <c r="AG335" s="157"/>
      <c r="AH335" s="157"/>
      <c r="AI335" s="157"/>
      <c r="AJ335" s="157"/>
      <c r="AK335" s="157"/>
      <c r="AL335" s="157"/>
      <c r="AM335" s="157"/>
      <c r="AN335" s="157"/>
      <c r="AO335" s="157"/>
      <c r="AP335" s="157"/>
    </row>
    <row r="336" spans="1:42" x14ac:dyDescent="0.25">
      <c r="A336" s="295" t="s">
        <v>80</v>
      </c>
      <c r="B336" s="295" t="s">
        <v>435</v>
      </c>
      <c r="C336" s="295" t="s">
        <v>40</v>
      </c>
      <c r="D336" s="295" t="s">
        <v>281</v>
      </c>
      <c r="E336" s="297">
        <v>0.89</v>
      </c>
      <c r="F336" s="297">
        <v>0.89</v>
      </c>
      <c r="G336" s="297">
        <v>0.89</v>
      </c>
      <c r="H336" s="297">
        <v>0.89</v>
      </c>
      <c r="I336" s="297">
        <v>0.89</v>
      </c>
      <c r="J336" s="297">
        <v>0.89</v>
      </c>
      <c r="K336" s="297">
        <v>0.89</v>
      </c>
      <c r="L336" s="297">
        <v>0.89</v>
      </c>
      <c r="M336" s="297">
        <v>0.89</v>
      </c>
      <c r="N336" s="297">
        <v>0.89</v>
      </c>
      <c r="O336" s="297">
        <v>0.89</v>
      </c>
      <c r="P336" s="297">
        <v>0.89</v>
      </c>
      <c r="Q336" s="297">
        <v>0.89</v>
      </c>
      <c r="R336" s="297">
        <v>0.89</v>
      </c>
      <c r="S336" s="297">
        <v>0.89</v>
      </c>
      <c r="T336" s="297">
        <v>0.89</v>
      </c>
      <c r="U336" s="297">
        <v>0.89</v>
      </c>
      <c r="V336" s="328"/>
      <c r="W336" s="260" t="s">
        <v>203</v>
      </c>
      <c r="X336" s="198" t="s">
        <v>476</v>
      </c>
      <c r="Y336" s="157" t="b">
        <v>0</v>
      </c>
      <c r="Z336" s="157"/>
      <c r="AA336" s="157"/>
      <c r="AB336" s="157"/>
      <c r="AC336" s="157"/>
      <c r="AD336" s="157"/>
      <c r="AE336" s="157"/>
      <c r="AF336" s="157"/>
      <c r="AG336" s="157"/>
      <c r="AH336" s="157"/>
      <c r="AI336" s="157"/>
      <c r="AJ336" s="157"/>
      <c r="AK336" s="157"/>
      <c r="AL336" s="157"/>
      <c r="AM336" s="157"/>
      <c r="AN336" s="157"/>
      <c r="AO336" s="157"/>
      <c r="AP336" s="157"/>
    </row>
    <row r="337" spans="1:42" x14ac:dyDescent="0.25">
      <c r="A337" s="295" t="s">
        <v>80</v>
      </c>
      <c r="B337" s="295" t="s">
        <v>435</v>
      </c>
      <c r="C337" s="295" t="s">
        <v>40</v>
      </c>
      <c r="D337" s="295" t="s">
        <v>282</v>
      </c>
      <c r="E337" s="297">
        <v>0.89</v>
      </c>
      <c r="F337" s="297">
        <v>0.89</v>
      </c>
      <c r="G337" s="297">
        <v>0.89</v>
      </c>
      <c r="H337" s="297">
        <v>0.89</v>
      </c>
      <c r="I337" s="297">
        <v>0.89</v>
      </c>
      <c r="J337" s="297">
        <v>0.89</v>
      </c>
      <c r="K337" s="297">
        <v>0.89</v>
      </c>
      <c r="L337" s="297">
        <v>0.89</v>
      </c>
      <c r="M337" s="297">
        <v>0.89</v>
      </c>
      <c r="N337" s="297">
        <v>0.89</v>
      </c>
      <c r="O337" s="297">
        <v>0.89</v>
      </c>
      <c r="P337" s="297">
        <v>0.89</v>
      </c>
      <c r="Q337" s="297">
        <v>0.89</v>
      </c>
      <c r="R337" s="297">
        <v>0.89</v>
      </c>
      <c r="S337" s="297">
        <v>0.89</v>
      </c>
      <c r="T337" s="297">
        <v>0.89</v>
      </c>
      <c r="U337" s="297">
        <v>0.89</v>
      </c>
      <c r="V337" s="328"/>
      <c r="W337" s="260" t="s">
        <v>203</v>
      </c>
      <c r="X337" s="198" t="s">
        <v>476</v>
      </c>
      <c r="Y337" s="157" t="b">
        <v>0</v>
      </c>
      <c r="Z337" s="157"/>
      <c r="AA337" s="157"/>
      <c r="AB337" s="157"/>
      <c r="AC337" s="157"/>
      <c r="AD337" s="157"/>
      <c r="AE337" s="157"/>
      <c r="AF337" s="157"/>
      <c r="AG337" s="157"/>
      <c r="AH337" s="157"/>
      <c r="AI337" s="157"/>
      <c r="AJ337" s="157"/>
      <c r="AK337" s="157"/>
      <c r="AL337" s="157"/>
      <c r="AM337" s="157"/>
      <c r="AN337" s="157"/>
      <c r="AO337" s="157"/>
      <c r="AP337" s="157"/>
    </row>
    <row r="338" spans="1:42" x14ac:dyDescent="0.25">
      <c r="A338" s="295" t="s">
        <v>80</v>
      </c>
      <c r="B338" s="295" t="s">
        <v>435</v>
      </c>
      <c r="C338" s="295" t="s">
        <v>42</v>
      </c>
      <c r="D338" s="295" t="s">
        <v>276</v>
      </c>
      <c r="E338" s="297">
        <v>0.89</v>
      </c>
      <c r="F338" s="297">
        <v>0.89</v>
      </c>
      <c r="G338" s="297">
        <v>0.89</v>
      </c>
      <c r="H338" s="297">
        <v>0.89</v>
      </c>
      <c r="I338" s="297">
        <v>0.89</v>
      </c>
      <c r="J338" s="297">
        <v>0.89</v>
      </c>
      <c r="K338" s="297">
        <v>0.89</v>
      </c>
      <c r="L338" s="297">
        <v>0.89</v>
      </c>
      <c r="M338" s="297">
        <v>0.89</v>
      </c>
      <c r="N338" s="297">
        <v>0.89</v>
      </c>
      <c r="O338" s="297">
        <v>0.89</v>
      </c>
      <c r="P338" s="297">
        <v>0.89</v>
      </c>
      <c r="Q338" s="297">
        <v>0.89</v>
      </c>
      <c r="R338" s="297">
        <v>0.89</v>
      </c>
      <c r="S338" s="297">
        <v>0.89</v>
      </c>
      <c r="T338" s="297">
        <v>0.89</v>
      </c>
      <c r="U338" s="297">
        <v>0.89</v>
      </c>
      <c r="V338" s="328"/>
      <c r="W338" s="260" t="s">
        <v>203</v>
      </c>
      <c r="X338" s="198" t="s">
        <v>476</v>
      </c>
      <c r="Y338" s="157" t="b">
        <v>0</v>
      </c>
      <c r="Z338" s="157"/>
      <c r="AA338" s="157"/>
      <c r="AB338" s="157"/>
      <c r="AC338" s="157"/>
      <c r="AD338" s="157"/>
      <c r="AE338" s="157"/>
      <c r="AF338" s="157"/>
      <c r="AG338" s="157"/>
      <c r="AH338" s="157"/>
      <c r="AI338" s="157"/>
      <c r="AJ338" s="157"/>
      <c r="AK338" s="157"/>
      <c r="AL338" s="157"/>
      <c r="AM338" s="157"/>
      <c r="AN338" s="157"/>
      <c r="AO338" s="157"/>
      <c r="AP338" s="157"/>
    </row>
    <row r="339" spans="1:42" x14ac:dyDescent="0.25">
      <c r="A339" s="295" t="s">
        <v>80</v>
      </c>
      <c r="B339" s="295" t="s">
        <v>435</v>
      </c>
      <c r="C339" s="295" t="s">
        <v>42</v>
      </c>
      <c r="D339" s="295" t="s">
        <v>279</v>
      </c>
      <c r="E339" s="297">
        <v>0.89</v>
      </c>
      <c r="F339" s="297">
        <v>0.89</v>
      </c>
      <c r="G339" s="297">
        <v>0.89</v>
      </c>
      <c r="H339" s="297">
        <v>0.89</v>
      </c>
      <c r="I339" s="297">
        <v>0.89</v>
      </c>
      <c r="J339" s="297">
        <v>0.89</v>
      </c>
      <c r="K339" s="297">
        <v>0.89</v>
      </c>
      <c r="L339" s="297">
        <v>0.89</v>
      </c>
      <c r="M339" s="297">
        <v>0.89</v>
      </c>
      <c r="N339" s="297">
        <v>0.89</v>
      </c>
      <c r="O339" s="297">
        <v>0.89</v>
      </c>
      <c r="P339" s="297">
        <v>0.89</v>
      </c>
      <c r="Q339" s="297">
        <v>0.89</v>
      </c>
      <c r="R339" s="297">
        <v>0.89</v>
      </c>
      <c r="S339" s="297">
        <v>0.89</v>
      </c>
      <c r="T339" s="297">
        <v>0.89</v>
      </c>
      <c r="U339" s="297">
        <v>0.89</v>
      </c>
      <c r="V339" s="328"/>
      <c r="W339" s="260" t="s">
        <v>203</v>
      </c>
      <c r="X339" s="198" t="s">
        <v>476</v>
      </c>
      <c r="Y339" s="157" t="b">
        <v>0</v>
      </c>
      <c r="Z339" s="157"/>
      <c r="AA339" s="157"/>
      <c r="AB339" s="157"/>
      <c r="AC339" s="157"/>
      <c r="AD339" s="157"/>
      <c r="AE339" s="157"/>
      <c r="AF339" s="157"/>
      <c r="AG339" s="157"/>
      <c r="AH339" s="157"/>
      <c r="AI339" s="157"/>
      <c r="AJ339" s="157"/>
      <c r="AK339" s="157"/>
      <c r="AL339" s="157"/>
      <c r="AM339" s="157"/>
      <c r="AN339" s="157"/>
      <c r="AO339" s="157"/>
      <c r="AP339" s="157"/>
    </row>
    <row r="340" spans="1:42" x14ac:dyDescent="0.25">
      <c r="A340" s="295" t="s">
        <v>80</v>
      </c>
      <c r="B340" s="295" t="s">
        <v>435</v>
      </c>
      <c r="C340" s="295" t="s">
        <v>42</v>
      </c>
      <c r="D340" s="295" t="s">
        <v>280</v>
      </c>
      <c r="E340" s="297">
        <v>0.89</v>
      </c>
      <c r="F340" s="297">
        <v>0.89</v>
      </c>
      <c r="G340" s="297">
        <v>0.89</v>
      </c>
      <c r="H340" s="297">
        <v>0.89</v>
      </c>
      <c r="I340" s="297">
        <v>0.89</v>
      </c>
      <c r="J340" s="297">
        <v>0.89</v>
      </c>
      <c r="K340" s="297">
        <v>0.89</v>
      </c>
      <c r="L340" s="297">
        <v>0.89</v>
      </c>
      <c r="M340" s="297">
        <v>0.89</v>
      </c>
      <c r="N340" s="297">
        <v>0.89</v>
      </c>
      <c r="O340" s="297">
        <v>0.89</v>
      </c>
      <c r="P340" s="297">
        <v>0.89</v>
      </c>
      <c r="Q340" s="297">
        <v>0.89</v>
      </c>
      <c r="R340" s="297">
        <v>0.89</v>
      </c>
      <c r="S340" s="297">
        <v>0.89</v>
      </c>
      <c r="T340" s="297">
        <v>0.89</v>
      </c>
      <c r="U340" s="297">
        <v>0.89</v>
      </c>
      <c r="V340" s="328"/>
      <c r="W340" s="260" t="s">
        <v>203</v>
      </c>
      <c r="X340" s="198" t="s">
        <v>476</v>
      </c>
      <c r="Y340" s="157" t="b">
        <v>0</v>
      </c>
      <c r="Z340" s="157"/>
      <c r="AA340" s="157"/>
      <c r="AB340" s="157"/>
      <c r="AC340" s="157"/>
      <c r="AD340" s="157"/>
      <c r="AE340" s="157"/>
      <c r="AF340" s="157"/>
      <c r="AG340" s="157"/>
      <c r="AH340" s="157"/>
      <c r="AI340" s="157"/>
      <c r="AJ340" s="157"/>
      <c r="AK340" s="157"/>
      <c r="AL340" s="157"/>
      <c r="AM340" s="157"/>
      <c r="AN340" s="157"/>
      <c r="AO340" s="157"/>
      <c r="AP340" s="157"/>
    </row>
    <row r="341" spans="1:42" x14ac:dyDescent="0.25">
      <c r="A341" s="295" t="s">
        <v>80</v>
      </c>
      <c r="B341" s="295" t="s">
        <v>435</v>
      </c>
      <c r="C341" s="295" t="s">
        <v>42</v>
      </c>
      <c r="D341" s="295" t="s">
        <v>281</v>
      </c>
      <c r="E341" s="297">
        <v>0.89</v>
      </c>
      <c r="F341" s="297">
        <v>0.89</v>
      </c>
      <c r="G341" s="297">
        <v>0.89</v>
      </c>
      <c r="H341" s="297">
        <v>0.89</v>
      </c>
      <c r="I341" s="297">
        <v>0.89</v>
      </c>
      <c r="J341" s="297">
        <v>0.89</v>
      </c>
      <c r="K341" s="297">
        <v>0.89</v>
      </c>
      <c r="L341" s="297">
        <v>0.89</v>
      </c>
      <c r="M341" s="297">
        <v>0.89</v>
      </c>
      <c r="N341" s="297">
        <v>0.89</v>
      </c>
      <c r="O341" s="297">
        <v>0.89</v>
      </c>
      <c r="P341" s="297">
        <v>0.89</v>
      </c>
      <c r="Q341" s="297">
        <v>0.89</v>
      </c>
      <c r="R341" s="297">
        <v>0.89</v>
      </c>
      <c r="S341" s="297">
        <v>0.89</v>
      </c>
      <c r="T341" s="297">
        <v>0.89</v>
      </c>
      <c r="U341" s="297">
        <v>0.89</v>
      </c>
      <c r="V341" s="328"/>
      <c r="W341" s="260" t="s">
        <v>203</v>
      </c>
      <c r="X341" s="198" t="s">
        <v>476</v>
      </c>
      <c r="Y341" s="157" t="b">
        <v>0</v>
      </c>
      <c r="Z341" s="157"/>
      <c r="AA341" s="157"/>
      <c r="AB341" s="157"/>
      <c r="AC341" s="157"/>
      <c r="AD341" s="157"/>
      <c r="AE341" s="157"/>
      <c r="AF341" s="157"/>
      <c r="AG341" s="157"/>
      <c r="AH341" s="157"/>
      <c r="AI341" s="157"/>
      <c r="AJ341" s="157"/>
      <c r="AK341" s="157"/>
      <c r="AL341" s="157"/>
      <c r="AM341" s="157"/>
      <c r="AN341" s="157"/>
      <c r="AO341" s="157"/>
      <c r="AP341" s="157"/>
    </row>
    <row r="342" spans="1:42" x14ac:dyDescent="0.25">
      <c r="A342" s="295" t="s">
        <v>80</v>
      </c>
      <c r="B342" s="295" t="s">
        <v>435</v>
      </c>
      <c r="C342" s="295" t="s">
        <v>42</v>
      </c>
      <c r="D342" s="295" t="s">
        <v>282</v>
      </c>
      <c r="E342" s="297">
        <v>0.89</v>
      </c>
      <c r="F342" s="297">
        <v>0.89</v>
      </c>
      <c r="G342" s="297">
        <v>0.89</v>
      </c>
      <c r="H342" s="297">
        <v>0.89</v>
      </c>
      <c r="I342" s="297">
        <v>0.89</v>
      </c>
      <c r="J342" s="297">
        <v>0.89</v>
      </c>
      <c r="K342" s="297">
        <v>0.89</v>
      </c>
      <c r="L342" s="297">
        <v>0.89</v>
      </c>
      <c r="M342" s="297">
        <v>0.89</v>
      </c>
      <c r="N342" s="297">
        <v>0.89</v>
      </c>
      <c r="O342" s="297">
        <v>0.89</v>
      </c>
      <c r="P342" s="297">
        <v>0.89</v>
      </c>
      <c r="Q342" s="297">
        <v>0.89</v>
      </c>
      <c r="R342" s="297">
        <v>0.89</v>
      </c>
      <c r="S342" s="297">
        <v>0.89</v>
      </c>
      <c r="T342" s="297">
        <v>0.89</v>
      </c>
      <c r="U342" s="297">
        <v>0.89</v>
      </c>
      <c r="V342" s="328"/>
      <c r="W342" s="260" t="s">
        <v>203</v>
      </c>
      <c r="X342" s="198" t="s">
        <v>476</v>
      </c>
      <c r="Y342" s="157" t="b">
        <v>0</v>
      </c>
      <c r="Z342" s="157"/>
      <c r="AA342" s="157"/>
      <c r="AB342" s="157"/>
      <c r="AC342" s="157"/>
      <c r="AD342" s="157"/>
      <c r="AE342" s="157"/>
      <c r="AF342" s="157"/>
      <c r="AG342" s="157"/>
      <c r="AH342" s="157"/>
      <c r="AI342" s="157"/>
      <c r="AJ342" s="157"/>
      <c r="AK342" s="157"/>
      <c r="AL342" s="157"/>
      <c r="AM342" s="157"/>
      <c r="AN342" s="157"/>
      <c r="AO342" s="157"/>
      <c r="AP342" s="157"/>
    </row>
    <row r="343" spans="1:42" x14ac:dyDescent="0.25">
      <c r="A343" s="295" t="s">
        <v>81</v>
      </c>
      <c r="B343" s="295" t="s">
        <v>435</v>
      </c>
      <c r="C343" s="295" t="s">
        <v>40</v>
      </c>
      <c r="D343" s="295" t="s">
        <v>276</v>
      </c>
      <c r="E343" s="297">
        <v>0.11</v>
      </c>
      <c r="F343" s="297">
        <v>0.11</v>
      </c>
      <c r="G343" s="297">
        <v>0.11</v>
      </c>
      <c r="H343" s="297">
        <v>0.11</v>
      </c>
      <c r="I343" s="297">
        <v>0.11</v>
      </c>
      <c r="J343" s="297">
        <v>0.11</v>
      </c>
      <c r="K343" s="297">
        <v>0.11</v>
      </c>
      <c r="L343" s="297">
        <v>0.11</v>
      </c>
      <c r="M343" s="297">
        <v>0.11</v>
      </c>
      <c r="N343" s="297">
        <v>0.11</v>
      </c>
      <c r="O343" s="297">
        <v>0.11</v>
      </c>
      <c r="P343" s="297">
        <v>0.11</v>
      </c>
      <c r="Q343" s="297">
        <v>0.11</v>
      </c>
      <c r="R343" s="297">
        <v>0.11</v>
      </c>
      <c r="S343" s="297">
        <v>0.11</v>
      </c>
      <c r="T343" s="297">
        <v>0.11</v>
      </c>
      <c r="U343" s="297">
        <v>0.11</v>
      </c>
      <c r="V343" s="328" t="s">
        <v>305</v>
      </c>
      <c r="W343" s="260" t="s">
        <v>203</v>
      </c>
      <c r="X343" s="198" t="s">
        <v>477</v>
      </c>
      <c r="Y343" s="157" t="b">
        <v>0</v>
      </c>
      <c r="Z343" s="157"/>
      <c r="AA343" s="157"/>
      <c r="AB343" s="157"/>
      <c r="AC343" s="157"/>
      <c r="AD343" s="157"/>
      <c r="AE343" s="157"/>
      <c r="AF343" s="157"/>
      <c r="AG343" s="157"/>
      <c r="AH343" s="157"/>
      <c r="AI343" s="157"/>
      <c r="AJ343" s="157"/>
      <c r="AK343" s="157"/>
      <c r="AL343" s="157"/>
      <c r="AM343" s="157"/>
      <c r="AN343" s="157"/>
      <c r="AO343" s="157"/>
      <c r="AP343" s="157"/>
    </row>
    <row r="344" spans="1:42" x14ac:dyDescent="0.25">
      <c r="A344" s="295" t="s">
        <v>81</v>
      </c>
      <c r="B344" s="295" t="s">
        <v>435</v>
      </c>
      <c r="C344" s="295" t="s">
        <v>40</v>
      </c>
      <c r="D344" s="295" t="s">
        <v>279</v>
      </c>
      <c r="E344" s="297">
        <v>0.11</v>
      </c>
      <c r="F344" s="297">
        <v>0.11</v>
      </c>
      <c r="G344" s="297">
        <v>0.11</v>
      </c>
      <c r="H344" s="297">
        <v>0.11</v>
      </c>
      <c r="I344" s="297">
        <v>0.11</v>
      </c>
      <c r="J344" s="297">
        <v>0.11</v>
      </c>
      <c r="K344" s="297">
        <v>0.11</v>
      </c>
      <c r="L344" s="297">
        <v>0.11</v>
      </c>
      <c r="M344" s="297">
        <v>0.11</v>
      </c>
      <c r="N344" s="297">
        <v>0.11</v>
      </c>
      <c r="O344" s="297">
        <v>0.11</v>
      </c>
      <c r="P344" s="297">
        <v>0.11</v>
      </c>
      <c r="Q344" s="297">
        <v>0.11</v>
      </c>
      <c r="R344" s="297">
        <v>0.11</v>
      </c>
      <c r="S344" s="297">
        <v>0.11</v>
      </c>
      <c r="T344" s="297">
        <v>0.11</v>
      </c>
      <c r="U344" s="297">
        <v>0.11</v>
      </c>
      <c r="V344" s="328"/>
      <c r="W344" s="260" t="s">
        <v>203</v>
      </c>
      <c r="X344" s="198" t="s">
        <v>477</v>
      </c>
      <c r="Y344" s="157" t="b">
        <v>0</v>
      </c>
      <c r="Z344" s="157"/>
      <c r="AA344" s="157"/>
      <c r="AB344" s="157"/>
      <c r="AC344" s="157"/>
      <c r="AD344" s="157"/>
      <c r="AE344" s="157"/>
      <c r="AF344" s="157"/>
      <c r="AG344" s="157"/>
      <c r="AH344" s="157"/>
      <c r="AI344" s="157"/>
      <c r="AJ344" s="157"/>
      <c r="AK344" s="157"/>
      <c r="AL344" s="157"/>
      <c r="AM344" s="157"/>
      <c r="AN344" s="157"/>
      <c r="AO344" s="157"/>
      <c r="AP344" s="157"/>
    </row>
    <row r="345" spans="1:42" x14ac:dyDescent="0.25">
      <c r="A345" s="295" t="s">
        <v>81</v>
      </c>
      <c r="B345" s="295" t="s">
        <v>435</v>
      </c>
      <c r="C345" s="295" t="s">
        <v>40</v>
      </c>
      <c r="D345" s="295" t="s">
        <v>280</v>
      </c>
      <c r="E345" s="297">
        <v>0.11</v>
      </c>
      <c r="F345" s="297">
        <v>0.11</v>
      </c>
      <c r="G345" s="297">
        <v>0.11</v>
      </c>
      <c r="H345" s="297">
        <v>0.11</v>
      </c>
      <c r="I345" s="297">
        <v>0.11</v>
      </c>
      <c r="J345" s="297">
        <v>0.11</v>
      </c>
      <c r="K345" s="297">
        <v>0.11</v>
      </c>
      <c r="L345" s="297">
        <v>0.11</v>
      </c>
      <c r="M345" s="297">
        <v>0.11</v>
      </c>
      <c r="N345" s="297">
        <v>0.11</v>
      </c>
      <c r="O345" s="297">
        <v>0.11</v>
      </c>
      <c r="P345" s="297">
        <v>0.11</v>
      </c>
      <c r="Q345" s="297">
        <v>0.11</v>
      </c>
      <c r="R345" s="297">
        <v>0.11</v>
      </c>
      <c r="S345" s="297">
        <v>0.11</v>
      </c>
      <c r="T345" s="297">
        <v>0.11</v>
      </c>
      <c r="U345" s="297">
        <v>0.11</v>
      </c>
      <c r="V345" s="328"/>
      <c r="W345" s="260" t="s">
        <v>203</v>
      </c>
      <c r="X345" s="198" t="s">
        <v>477</v>
      </c>
      <c r="Y345" s="157" t="b">
        <v>0</v>
      </c>
      <c r="Z345" s="157"/>
      <c r="AA345" s="157"/>
      <c r="AB345" s="157"/>
      <c r="AC345" s="157"/>
      <c r="AD345" s="157"/>
      <c r="AE345" s="157"/>
      <c r="AF345" s="157"/>
      <c r="AG345" s="157"/>
      <c r="AH345" s="157"/>
      <c r="AI345" s="157"/>
      <c r="AJ345" s="157"/>
      <c r="AK345" s="157"/>
      <c r="AL345" s="157"/>
      <c r="AM345" s="157"/>
      <c r="AN345" s="157"/>
      <c r="AO345" s="157"/>
      <c r="AP345" s="157"/>
    </row>
    <row r="346" spans="1:42" x14ac:dyDescent="0.25">
      <c r="A346" s="295" t="s">
        <v>81</v>
      </c>
      <c r="B346" s="295" t="s">
        <v>435</v>
      </c>
      <c r="C346" s="295" t="s">
        <v>40</v>
      </c>
      <c r="D346" s="295" t="s">
        <v>281</v>
      </c>
      <c r="E346" s="297">
        <v>0.11</v>
      </c>
      <c r="F346" s="297">
        <v>0.11</v>
      </c>
      <c r="G346" s="297">
        <v>0.11</v>
      </c>
      <c r="H346" s="297">
        <v>0.11</v>
      </c>
      <c r="I346" s="297">
        <v>0.11</v>
      </c>
      <c r="J346" s="297">
        <v>0.11</v>
      </c>
      <c r="K346" s="297">
        <v>0.11</v>
      </c>
      <c r="L346" s="297">
        <v>0.11</v>
      </c>
      <c r="M346" s="297">
        <v>0.11</v>
      </c>
      <c r="N346" s="297">
        <v>0.11</v>
      </c>
      <c r="O346" s="297">
        <v>0.11</v>
      </c>
      <c r="P346" s="297">
        <v>0.11</v>
      </c>
      <c r="Q346" s="297">
        <v>0.11</v>
      </c>
      <c r="R346" s="297">
        <v>0.11</v>
      </c>
      <c r="S346" s="297">
        <v>0.11</v>
      </c>
      <c r="T346" s="297">
        <v>0.11</v>
      </c>
      <c r="U346" s="297">
        <v>0.11</v>
      </c>
      <c r="V346" s="328"/>
      <c r="W346" s="260" t="s">
        <v>203</v>
      </c>
      <c r="X346" s="198" t="s">
        <v>477</v>
      </c>
      <c r="Y346" s="157" t="b">
        <v>0</v>
      </c>
      <c r="Z346" s="157"/>
      <c r="AA346" s="157"/>
      <c r="AB346" s="157"/>
      <c r="AC346" s="157"/>
      <c r="AD346" s="157"/>
      <c r="AE346" s="157"/>
      <c r="AF346" s="157"/>
      <c r="AG346" s="157"/>
      <c r="AH346" s="157"/>
      <c r="AI346" s="157"/>
      <c r="AJ346" s="157"/>
      <c r="AK346" s="157"/>
      <c r="AL346" s="157"/>
      <c r="AM346" s="157"/>
      <c r="AN346" s="157"/>
      <c r="AO346" s="157"/>
      <c r="AP346" s="157"/>
    </row>
    <row r="347" spans="1:42" x14ac:dyDescent="0.25">
      <c r="A347" s="295" t="s">
        <v>81</v>
      </c>
      <c r="B347" s="295" t="s">
        <v>435</v>
      </c>
      <c r="C347" s="295" t="s">
        <v>40</v>
      </c>
      <c r="D347" s="295" t="s">
        <v>282</v>
      </c>
      <c r="E347" s="297">
        <v>0.11</v>
      </c>
      <c r="F347" s="297">
        <v>0.11</v>
      </c>
      <c r="G347" s="297">
        <v>0.11</v>
      </c>
      <c r="H347" s="297">
        <v>0.11</v>
      </c>
      <c r="I347" s="297">
        <v>0.11</v>
      </c>
      <c r="J347" s="297">
        <v>0.11</v>
      </c>
      <c r="K347" s="297">
        <v>0.11</v>
      </c>
      <c r="L347" s="297">
        <v>0.11</v>
      </c>
      <c r="M347" s="297">
        <v>0.11</v>
      </c>
      <c r="N347" s="297">
        <v>0.11</v>
      </c>
      <c r="O347" s="297">
        <v>0.11</v>
      </c>
      <c r="P347" s="297">
        <v>0.11</v>
      </c>
      <c r="Q347" s="297">
        <v>0.11</v>
      </c>
      <c r="R347" s="297">
        <v>0.11</v>
      </c>
      <c r="S347" s="297">
        <v>0.11</v>
      </c>
      <c r="T347" s="297">
        <v>0.11</v>
      </c>
      <c r="U347" s="297">
        <v>0.11</v>
      </c>
      <c r="V347" s="328"/>
      <c r="W347" s="260" t="s">
        <v>203</v>
      </c>
      <c r="X347" s="198" t="s">
        <v>477</v>
      </c>
      <c r="Y347" s="157" t="b">
        <v>0</v>
      </c>
      <c r="Z347" s="157"/>
      <c r="AA347" s="157"/>
      <c r="AB347" s="157"/>
      <c r="AC347" s="157"/>
      <c r="AD347" s="157"/>
      <c r="AE347" s="157"/>
      <c r="AF347" s="157"/>
      <c r="AG347" s="157"/>
      <c r="AH347" s="157"/>
      <c r="AI347" s="157"/>
      <c r="AJ347" s="157"/>
      <c r="AK347" s="157"/>
      <c r="AL347" s="157"/>
      <c r="AM347" s="157"/>
      <c r="AN347" s="157"/>
      <c r="AO347" s="157"/>
      <c r="AP347" s="157"/>
    </row>
    <row r="348" spans="1:42" x14ac:dyDescent="0.25">
      <c r="A348" s="295" t="s">
        <v>81</v>
      </c>
      <c r="B348" s="295" t="s">
        <v>435</v>
      </c>
      <c r="C348" s="295" t="s">
        <v>42</v>
      </c>
      <c r="D348" s="295" t="s">
        <v>276</v>
      </c>
      <c r="E348" s="297">
        <v>0.11</v>
      </c>
      <c r="F348" s="297">
        <v>0.11</v>
      </c>
      <c r="G348" s="297">
        <v>0.11</v>
      </c>
      <c r="H348" s="297">
        <v>0.11</v>
      </c>
      <c r="I348" s="297">
        <v>0.11</v>
      </c>
      <c r="J348" s="297">
        <v>0.11</v>
      </c>
      <c r="K348" s="297">
        <v>0.11</v>
      </c>
      <c r="L348" s="297">
        <v>0.11</v>
      </c>
      <c r="M348" s="297">
        <v>0.11</v>
      </c>
      <c r="N348" s="297">
        <v>0.11</v>
      </c>
      <c r="O348" s="297">
        <v>0.11</v>
      </c>
      <c r="P348" s="297">
        <v>0.11</v>
      </c>
      <c r="Q348" s="297">
        <v>0.11</v>
      </c>
      <c r="R348" s="297">
        <v>0.11</v>
      </c>
      <c r="S348" s="297">
        <v>0.11</v>
      </c>
      <c r="T348" s="297">
        <v>0.11</v>
      </c>
      <c r="U348" s="297">
        <v>0.11</v>
      </c>
      <c r="V348" s="328"/>
      <c r="W348" s="260" t="s">
        <v>203</v>
      </c>
      <c r="X348" s="198" t="s">
        <v>477</v>
      </c>
      <c r="Y348" s="157" t="b">
        <v>0</v>
      </c>
      <c r="Z348" s="157"/>
      <c r="AA348" s="157"/>
      <c r="AB348" s="157"/>
      <c r="AC348" s="157"/>
      <c r="AD348" s="157"/>
      <c r="AE348" s="157"/>
      <c r="AF348" s="157"/>
      <c r="AG348" s="157"/>
      <c r="AH348" s="157"/>
      <c r="AI348" s="157"/>
      <c r="AJ348" s="157"/>
      <c r="AK348" s="157"/>
      <c r="AL348" s="157"/>
      <c r="AM348" s="157"/>
      <c r="AN348" s="157"/>
      <c r="AO348" s="157"/>
      <c r="AP348" s="157"/>
    </row>
    <row r="349" spans="1:42" x14ac:dyDescent="0.25">
      <c r="A349" s="295" t="s">
        <v>81</v>
      </c>
      <c r="B349" s="295" t="s">
        <v>435</v>
      </c>
      <c r="C349" s="295" t="s">
        <v>42</v>
      </c>
      <c r="D349" s="295" t="s">
        <v>279</v>
      </c>
      <c r="E349" s="297">
        <v>0.11</v>
      </c>
      <c r="F349" s="297">
        <v>0.11</v>
      </c>
      <c r="G349" s="297">
        <v>0.11</v>
      </c>
      <c r="H349" s="297">
        <v>0.11</v>
      </c>
      <c r="I349" s="297">
        <v>0.11</v>
      </c>
      <c r="J349" s="297">
        <v>0.11</v>
      </c>
      <c r="K349" s="297">
        <v>0.11</v>
      </c>
      <c r="L349" s="297">
        <v>0.11</v>
      </c>
      <c r="M349" s="297">
        <v>0.11</v>
      </c>
      <c r="N349" s="297">
        <v>0.11</v>
      </c>
      <c r="O349" s="297">
        <v>0.11</v>
      </c>
      <c r="P349" s="297">
        <v>0.11</v>
      </c>
      <c r="Q349" s="297">
        <v>0.11</v>
      </c>
      <c r="R349" s="297">
        <v>0.11</v>
      </c>
      <c r="S349" s="297">
        <v>0.11</v>
      </c>
      <c r="T349" s="297">
        <v>0.11</v>
      </c>
      <c r="U349" s="297">
        <v>0.11</v>
      </c>
      <c r="V349" s="328"/>
      <c r="W349" s="260" t="s">
        <v>203</v>
      </c>
      <c r="X349" s="198" t="s">
        <v>477</v>
      </c>
      <c r="Y349" s="157" t="b">
        <v>0</v>
      </c>
      <c r="Z349" s="157"/>
      <c r="AA349" s="157"/>
      <c r="AB349" s="157"/>
      <c r="AC349" s="157"/>
      <c r="AD349" s="157"/>
      <c r="AE349" s="157"/>
      <c r="AF349" s="157"/>
      <c r="AG349" s="157"/>
      <c r="AH349" s="157"/>
      <c r="AI349" s="157"/>
      <c r="AJ349" s="157"/>
      <c r="AK349" s="157"/>
      <c r="AL349" s="157"/>
      <c r="AM349" s="157"/>
      <c r="AN349" s="157"/>
      <c r="AO349" s="157"/>
      <c r="AP349" s="157"/>
    </row>
    <row r="350" spans="1:42" x14ac:dyDescent="0.25">
      <c r="A350" s="295" t="s">
        <v>81</v>
      </c>
      <c r="B350" s="295" t="s">
        <v>435</v>
      </c>
      <c r="C350" s="295" t="s">
        <v>42</v>
      </c>
      <c r="D350" s="295" t="s">
        <v>280</v>
      </c>
      <c r="E350" s="297">
        <v>0.11</v>
      </c>
      <c r="F350" s="297">
        <v>0.11</v>
      </c>
      <c r="G350" s="297">
        <v>0.11</v>
      </c>
      <c r="H350" s="297">
        <v>0.11</v>
      </c>
      <c r="I350" s="297">
        <v>0.11</v>
      </c>
      <c r="J350" s="297">
        <v>0.11</v>
      </c>
      <c r="K350" s="297">
        <v>0.11</v>
      </c>
      <c r="L350" s="297">
        <v>0.11</v>
      </c>
      <c r="M350" s="297">
        <v>0.11</v>
      </c>
      <c r="N350" s="297">
        <v>0.11</v>
      </c>
      <c r="O350" s="297">
        <v>0.11</v>
      </c>
      <c r="P350" s="297">
        <v>0.11</v>
      </c>
      <c r="Q350" s="297">
        <v>0.11</v>
      </c>
      <c r="R350" s="297">
        <v>0.11</v>
      </c>
      <c r="S350" s="297">
        <v>0.11</v>
      </c>
      <c r="T350" s="297">
        <v>0.11</v>
      </c>
      <c r="U350" s="297">
        <v>0.11</v>
      </c>
      <c r="V350" s="328"/>
      <c r="W350" s="260" t="s">
        <v>203</v>
      </c>
      <c r="X350" s="198" t="s">
        <v>477</v>
      </c>
      <c r="Y350" s="157" t="b">
        <v>0</v>
      </c>
      <c r="Z350" s="157"/>
      <c r="AA350" s="157"/>
      <c r="AB350" s="157"/>
      <c r="AC350" s="157"/>
      <c r="AD350" s="157"/>
      <c r="AE350" s="157"/>
      <c r="AF350" s="157"/>
      <c r="AG350" s="157"/>
      <c r="AH350" s="157"/>
      <c r="AI350" s="157"/>
      <c r="AJ350" s="157"/>
      <c r="AK350" s="157"/>
      <c r="AL350" s="157"/>
      <c r="AM350" s="157"/>
      <c r="AN350" s="157"/>
      <c r="AO350" s="157"/>
      <c r="AP350" s="157"/>
    </row>
    <row r="351" spans="1:42" x14ac:dyDescent="0.25">
      <c r="A351" s="295" t="s">
        <v>81</v>
      </c>
      <c r="B351" s="295" t="s">
        <v>435</v>
      </c>
      <c r="C351" s="295" t="s">
        <v>42</v>
      </c>
      <c r="D351" s="295" t="s">
        <v>281</v>
      </c>
      <c r="E351" s="297">
        <v>0.11</v>
      </c>
      <c r="F351" s="297">
        <v>0.11</v>
      </c>
      <c r="G351" s="297">
        <v>0.11</v>
      </c>
      <c r="H351" s="297">
        <v>0.11</v>
      </c>
      <c r="I351" s="297">
        <v>0.11</v>
      </c>
      <c r="J351" s="297">
        <v>0.11</v>
      </c>
      <c r="K351" s="297">
        <v>0.11</v>
      </c>
      <c r="L351" s="297">
        <v>0.11</v>
      </c>
      <c r="M351" s="297">
        <v>0.11</v>
      </c>
      <c r="N351" s="297">
        <v>0.11</v>
      </c>
      <c r="O351" s="297">
        <v>0.11</v>
      </c>
      <c r="P351" s="297">
        <v>0.11</v>
      </c>
      <c r="Q351" s="297">
        <v>0.11</v>
      </c>
      <c r="R351" s="297">
        <v>0.11</v>
      </c>
      <c r="S351" s="297">
        <v>0.11</v>
      </c>
      <c r="T351" s="297">
        <v>0.11</v>
      </c>
      <c r="U351" s="297">
        <v>0.11</v>
      </c>
      <c r="V351" s="328"/>
      <c r="W351" s="260" t="s">
        <v>203</v>
      </c>
      <c r="X351" s="198" t="s">
        <v>477</v>
      </c>
      <c r="Y351" s="157" t="b">
        <v>0</v>
      </c>
      <c r="Z351" s="157"/>
      <c r="AA351" s="157"/>
      <c r="AB351" s="157"/>
      <c r="AC351" s="157"/>
      <c r="AD351" s="157"/>
      <c r="AE351" s="157"/>
      <c r="AF351" s="157"/>
      <c r="AG351" s="157"/>
      <c r="AH351" s="157"/>
      <c r="AI351" s="157"/>
      <c r="AJ351" s="157"/>
      <c r="AK351" s="157"/>
      <c r="AL351" s="157"/>
      <c r="AM351" s="157"/>
      <c r="AN351" s="157"/>
      <c r="AO351" s="157"/>
      <c r="AP351" s="157"/>
    </row>
    <row r="352" spans="1:42" x14ac:dyDescent="0.25">
      <c r="A352" s="295" t="s">
        <v>81</v>
      </c>
      <c r="B352" s="295" t="s">
        <v>435</v>
      </c>
      <c r="C352" s="295" t="s">
        <v>42</v>
      </c>
      <c r="D352" s="295" t="s">
        <v>282</v>
      </c>
      <c r="E352" s="297">
        <v>0.11</v>
      </c>
      <c r="F352" s="297">
        <v>0.11</v>
      </c>
      <c r="G352" s="297">
        <v>0.11</v>
      </c>
      <c r="H352" s="297">
        <v>0.11</v>
      </c>
      <c r="I352" s="297">
        <v>0.11</v>
      </c>
      <c r="J352" s="297">
        <v>0.11</v>
      </c>
      <c r="K352" s="297">
        <v>0.11</v>
      </c>
      <c r="L352" s="297">
        <v>0.11</v>
      </c>
      <c r="M352" s="297">
        <v>0.11</v>
      </c>
      <c r="N352" s="297">
        <v>0.11</v>
      </c>
      <c r="O352" s="297">
        <v>0.11</v>
      </c>
      <c r="P352" s="297">
        <v>0.11</v>
      </c>
      <c r="Q352" s="297">
        <v>0.11</v>
      </c>
      <c r="R352" s="297">
        <v>0.11</v>
      </c>
      <c r="S352" s="297">
        <v>0.11</v>
      </c>
      <c r="T352" s="297">
        <v>0.11</v>
      </c>
      <c r="U352" s="297">
        <v>0.11</v>
      </c>
      <c r="V352" s="328"/>
      <c r="W352" s="260" t="s">
        <v>203</v>
      </c>
      <c r="X352" s="198" t="s">
        <v>477</v>
      </c>
      <c r="Y352" s="157" t="b">
        <v>0</v>
      </c>
      <c r="Z352" s="157"/>
      <c r="AA352" s="157"/>
      <c r="AB352" s="157"/>
      <c r="AC352" s="157"/>
      <c r="AD352" s="157"/>
      <c r="AE352" s="157"/>
      <c r="AF352" s="157"/>
      <c r="AG352" s="157"/>
      <c r="AH352" s="157"/>
      <c r="AI352" s="157"/>
      <c r="AJ352" s="157"/>
      <c r="AK352" s="157"/>
      <c r="AL352" s="157"/>
      <c r="AM352" s="157"/>
      <c r="AN352" s="157"/>
      <c r="AO352" s="157"/>
      <c r="AP352" s="157"/>
    </row>
    <row r="353" spans="1:42" x14ac:dyDescent="0.25">
      <c r="A353" s="295" t="s">
        <v>84</v>
      </c>
      <c r="B353" s="295" t="s">
        <v>435</v>
      </c>
      <c r="C353" s="295" t="s">
        <v>45</v>
      </c>
      <c r="D353" s="295" t="s">
        <v>272</v>
      </c>
      <c r="E353" s="297">
        <v>0</v>
      </c>
      <c r="F353" s="297">
        <v>0</v>
      </c>
      <c r="G353" s="297">
        <v>0</v>
      </c>
      <c r="H353" s="297">
        <v>0</v>
      </c>
      <c r="I353" s="297">
        <v>0</v>
      </c>
      <c r="J353" s="297">
        <v>0</v>
      </c>
      <c r="K353" s="297">
        <v>0</v>
      </c>
      <c r="L353" s="297">
        <v>0</v>
      </c>
      <c r="M353" s="297">
        <v>0</v>
      </c>
      <c r="N353" s="297">
        <v>0</v>
      </c>
      <c r="O353" s="297">
        <v>0</v>
      </c>
      <c r="P353" s="297">
        <v>0</v>
      </c>
      <c r="Q353" s="297">
        <v>0</v>
      </c>
      <c r="R353" s="297">
        <v>0</v>
      </c>
      <c r="S353" s="297">
        <v>0</v>
      </c>
      <c r="T353" s="297">
        <v>0</v>
      </c>
      <c r="U353" s="297">
        <v>0</v>
      </c>
      <c r="V353" s="328"/>
      <c r="W353" s="260" t="s">
        <v>45</v>
      </c>
      <c r="X353" s="198" t="s">
        <v>478</v>
      </c>
      <c r="Y353" s="157" t="b">
        <v>1</v>
      </c>
      <c r="Z353" s="157"/>
      <c r="AA353" s="157"/>
      <c r="AB353" s="157"/>
      <c r="AC353" s="157"/>
      <c r="AD353" s="157"/>
      <c r="AE353" s="157"/>
      <c r="AF353" s="157"/>
      <c r="AG353" s="157"/>
      <c r="AH353" s="157"/>
      <c r="AI353" s="157"/>
      <c r="AJ353" s="157"/>
      <c r="AK353" s="157"/>
      <c r="AL353" s="157"/>
      <c r="AM353" s="157"/>
      <c r="AN353" s="157"/>
      <c r="AO353" s="157"/>
      <c r="AP353" s="157"/>
    </row>
    <row r="354" spans="1:42" x14ac:dyDescent="0.25">
      <c r="A354" s="295" t="s">
        <v>85</v>
      </c>
      <c r="B354" s="295" t="s">
        <v>435</v>
      </c>
      <c r="C354" s="295" t="s">
        <v>45</v>
      </c>
      <c r="D354" s="295" t="s">
        <v>272</v>
      </c>
      <c r="E354" s="297">
        <v>0.09</v>
      </c>
      <c r="F354" s="297">
        <v>0.09</v>
      </c>
      <c r="G354" s="297">
        <v>0.09</v>
      </c>
      <c r="H354" s="297">
        <v>0.09</v>
      </c>
      <c r="I354" s="297">
        <v>0.09</v>
      </c>
      <c r="J354" s="297">
        <v>0.09</v>
      </c>
      <c r="K354" s="297">
        <v>0.09</v>
      </c>
      <c r="L354" s="297">
        <v>0.09</v>
      </c>
      <c r="M354" s="297">
        <v>0.09</v>
      </c>
      <c r="N354" s="297">
        <v>0.09</v>
      </c>
      <c r="O354" s="297">
        <v>0.09</v>
      </c>
      <c r="P354" s="297">
        <v>0.09</v>
      </c>
      <c r="Q354" s="297">
        <v>0.09</v>
      </c>
      <c r="R354" s="297">
        <v>0.09</v>
      </c>
      <c r="S354" s="297">
        <v>0.09</v>
      </c>
      <c r="T354" s="297">
        <v>0.09</v>
      </c>
      <c r="U354" s="297">
        <v>0.09</v>
      </c>
      <c r="V354" s="328"/>
      <c r="W354" s="260" t="s">
        <v>45</v>
      </c>
      <c r="X354" s="198" t="s">
        <v>479</v>
      </c>
      <c r="Y354" s="157" t="b">
        <v>1</v>
      </c>
      <c r="Z354" s="157"/>
      <c r="AA354" s="157"/>
      <c r="AB354" s="157"/>
      <c r="AC354" s="157"/>
      <c r="AD354" s="157"/>
      <c r="AE354" s="157"/>
      <c r="AF354" s="157"/>
      <c r="AG354" s="157"/>
      <c r="AH354" s="157"/>
      <c r="AI354" s="157"/>
      <c r="AJ354" s="157"/>
      <c r="AK354" s="157"/>
      <c r="AL354" s="157"/>
      <c r="AM354" s="157"/>
      <c r="AN354" s="157"/>
      <c r="AO354" s="157"/>
      <c r="AP354" s="157"/>
    </row>
    <row r="355" spans="1:42" x14ac:dyDescent="0.25">
      <c r="A355" s="295" t="s">
        <v>84</v>
      </c>
      <c r="B355" s="295" t="s">
        <v>435</v>
      </c>
      <c r="C355" s="295" t="s">
        <v>45</v>
      </c>
      <c r="D355" s="295" t="s">
        <v>269</v>
      </c>
      <c r="E355" s="297">
        <v>0</v>
      </c>
      <c r="F355" s="297">
        <v>0</v>
      </c>
      <c r="G355" s="297">
        <v>0</v>
      </c>
      <c r="H355" s="297">
        <v>0</v>
      </c>
      <c r="I355" s="297">
        <v>0</v>
      </c>
      <c r="J355" s="297">
        <v>0</v>
      </c>
      <c r="K355" s="297">
        <v>0</v>
      </c>
      <c r="L355" s="297">
        <v>0</v>
      </c>
      <c r="M355" s="297">
        <v>0</v>
      </c>
      <c r="N355" s="297">
        <v>0</v>
      </c>
      <c r="O355" s="297">
        <v>0</v>
      </c>
      <c r="P355" s="297">
        <v>0</v>
      </c>
      <c r="Q355" s="297">
        <v>0</v>
      </c>
      <c r="R355" s="297">
        <v>0</v>
      </c>
      <c r="S355" s="297">
        <v>0</v>
      </c>
      <c r="T355" s="297">
        <v>0</v>
      </c>
      <c r="U355" s="297">
        <v>0</v>
      </c>
      <c r="V355" s="328"/>
      <c r="W355" s="260" t="s">
        <v>45</v>
      </c>
      <c r="X355" s="198" t="s">
        <v>478</v>
      </c>
      <c r="Y355" s="157" t="b">
        <v>1</v>
      </c>
      <c r="Z355" s="157"/>
      <c r="AA355" s="157"/>
      <c r="AB355" s="157"/>
      <c r="AC355" s="157"/>
      <c r="AD355" s="157"/>
      <c r="AE355" s="157"/>
      <c r="AF355" s="157"/>
      <c r="AG355" s="157"/>
      <c r="AH355" s="157"/>
      <c r="AI355" s="157"/>
      <c r="AJ355" s="157"/>
      <c r="AK355" s="157"/>
      <c r="AL355" s="157"/>
      <c r="AM355" s="157"/>
      <c r="AN355" s="157"/>
      <c r="AO355" s="157"/>
      <c r="AP355" s="157"/>
    </row>
    <row r="356" spans="1:42" x14ac:dyDescent="0.25">
      <c r="A356" s="295" t="s">
        <v>85</v>
      </c>
      <c r="B356" s="295" t="s">
        <v>435</v>
      </c>
      <c r="C356" s="295" t="s">
        <v>45</v>
      </c>
      <c r="D356" s="295" t="s">
        <v>269</v>
      </c>
      <c r="E356" s="297">
        <v>0.09</v>
      </c>
      <c r="F356" s="297">
        <v>0.09</v>
      </c>
      <c r="G356" s="297">
        <v>0.09</v>
      </c>
      <c r="H356" s="297">
        <v>0.09</v>
      </c>
      <c r="I356" s="297">
        <v>0.09</v>
      </c>
      <c r="J356" s="297">
        <v>0.09</v>
      </c>
      <c r="K356" s="297">
        <v>0.09</v>
      </c>
      <c r="L356" s="297">
        <v>0.09</v>
      </c>
      <c r="M356" s="297">
        <v>0.09</v>
      </c>
      <c r="N356" s="297">
        <v>0.09</v>
      </c>
      <c r="O356" s="297">
        <v>0.09</v>
      </c>
      <c r="P356" s="297">
        <v>0.09</v>
      </c>
      <c r="Q356" s="297">
        <v>0.09</v>
      </c>
      <c r="R356" s="297">
        <v>0.09</v>
      </c>
      <c r="S356" s="297">
        <v>0.09</v>
      </c>
      <c r="T356" s="297">
        <v>0.09</v>
      </c>
      <c r="U356" s="297">
        <v>0.09</v>
      </c>
      <c r="V356" s="328"/>
      <c r="W356" s="260" t="s">
        <v>45</v>
      </c>
      <c r="X356" s="198" t="s">
        <v>479</v>
      </c>
      <c r="Y356" s="157" t="b">
        <v>1</v>
      </c>
      <c r="Z356" s="157"/>
      <c r="AA356" s="157"/>
      <c r="AB356" s="157"/>
      <c r="AC356" s="157"/>
      <c r="AD356" s="157"/>
      <c r="AE356" s="157"/>
      <c r="AF356" s="157"/>
      <c r="AG356" s="157"/>
      <c r="AH356" s="157"/>
      <c r="AI356" s="157"/>
      <c r="AJ356" s="157"/>
      <c r="AK356" s="157"/>
      <c r="AL356" s="157"/>
      <c r="AM356" s="157"/>
      <c r="AN356" s="157"/>
      <c r="AO356" s="157"/>
      <c r="AP356" s="157"/>
    </row>
    <row r="357" spans="1:42" x14ac:dyDescent="0.25">
      <c r="A357" s="295" t="s">
        <v>86</v>
      </c>
      <c r="B357" s="295" t="s">
        <v>435</v>
      </c>
      <c r="C357" s="295" t="s">
        <v>45</v>
      </c>
      <c r="D357" s="295" t="s">
        <v>272</v>
      </c>
      <c r="E357" s="297">
        <v>0</v>
      </c>
      <c r="F357" s="297">
        <v>0</v>
      </c>
      <c r="G357" s="297">
        <v>0</v>
      </c>
      <c r="H357" s="297">
        <v>0</v>
      </c>
      <c r="I357" s="297">
        <v>0</v>
      </c>
      <c r="J357" s="297">
        <v>0</v>
      </c>
      <c r="K357" s="297">
        <v>0</v>
      </c>
      <c r="L357" s="297">
        <v>0</v>
      </c>
      <c r="M357" s="297">
        <v>0</v>
      </c>
      <c r="N357" s="297">
        <v>0</v>
      </c>
      <c r="O357" s="297">
        <v>0</v>
      </c>
      <c r="P357" s="297">
        <v>0</v>
      </c>
      <c r="Q357" s="297">
        <v>0</v>
      </c>
      <c r="R357" s="297">
        <v>0</v>
      </c>
      <c r="S357" s="297">
        <v>0</v>
      </c>
      <c r="T357" s="297">
        <v>0</v>
      </c>
      <c r="U357" s="297">
        <v>0</v>
      </c>
      <c r="V357" s="328"/>
      <c r="W357" s="260" t="s">
        <v>45</v>
      </c>
      <c r="X357" s="198" t="s">
        <v>480</v>
      </c>
      <c r="Y357" s="157" t="b">
        <v>1</v>
      </c>
      <c r="Z357" s="157"/>
      <c r="AA357" s="157"/>
      <c r="AB357" s="157"/>
      <c r="AC357" s="157"/>
      <c r="AD357" s="157"/>
      <c r="AE357" s="157"/>
      <c r="AF357" s="157"/>
      <c r="AG357" s="157"/>
      <c r="AH357" s="157"/>
      <c r="AI357" s="157"/>
      <c r="AJ357" s="157"/>
      <c r="AK357" s="157"/>
      <c r="AL357" s="157"/>
      <c r="AM357" s="157"/>
      <c r="AN357" s="157"/>
      <c r="AO357" s="157"/>
      <c r="AP357" s="157"/>
    </row>
    <row r="358" spans="1:42" x14ac:dyDescent="0.25">
      <c r="A358" s="295" t="s">
        <v>87</v>
      </c>
      <c r="B358" s="295" t="s">
        <v>435</v>
      </c>
      <c r="C358" s="295" t="s">
        <v>45</v>
      </c>
      <c r="D358" s="295" t="s">
        <v>272</v>
      </c>
      <c r="E358" s="297">
        <v>0.09</v>
      </c>
      <c r="F358" s="297">
        <v>0.09</v>
      </c>
      <c r="G358" s="297">
        <v>0.09</v>
      </c>
      <c r="H358" s="297">
        <v>0.09</v>
      </c>
      <c r="I358" s="297">
        <v>0.09</v>
      </c>
      <c r="J358" s="297">
        <v>0.09</v>
      </c>
      <c r="K358" s="297">
        <v>0.09</v>
      </c>
      <c r="L358" s="297">
        <v>0.09</v>
      </c>
      <c r="M358" s="297">
        <v>0.09</v>
      </c>
      <c r="N358" s="297">
        <v>0.09</v>
      </c>
      <c r="O358" s="297">
        <v>0.09</v>
      </c>
      <c r="P358" s="297">
        <v>0.09</v>
      </c>
      <c r="Q358" s="297">
        <v>0.09</v>
      </c>
      <c r="R358" s="297">
        <v>0.09</v>
      </c>
      <c r="S358" s="297">
        <v>0.09</v>
      </c>
      <c r="T358" s="297">
        <v>0.09</v>
      </c>
      <c r="U358" s="297">
        <v>0.09</v>
      </c>
      <c r="V358" s="328"/>
      <c r="W358" s="260" t="s">
        <v>45</v>
      </c>
      <c r="X358" s="198" t="s">
        <v>481</v>
      </c>
      <c r="Y358" s="157" t="b">
        <v>1</v>
      </c>
      <c r="Z358" s="157"/>
      <c r="AA358" s="157"/>
      <c r="AB358" s="157"/>
      <c r="AC358" s="157"/>
      <c r="AD358" s="157"/>
      <c r="AE358" s="157"/>
      <c r="AF358" s="157"/>
      <c r="AG358" s="157"/>
      <c r="AH358" s="157"/>
      <c r="AI358" s="157"/>
      <c r="AJ358" s="157"/>
      <c r="AK358" s="157"/>
      <c r="AL358" s="157"/>
      <c r="AM358" s="157"/>
      <c r="AN358" s="157"/>
      <c r="AO358" s="157"/>
      <c r="AP358" s="157"/>
    </row>
    <row r="359" spans="1:42" x14ac:dyDescent="0.25">
      <c r="A359" s="295" t="s">
        <v>86</v>
      </c>
      <c r="B359" s="295" t="s">
        <v>435</v>
      </c>
      <c r="C359" s="295" t="s">
        <v>45</v>
      </c>
      <c r="D359" s="295" t="s">
        <v>269</v>
      </c>
      <c r="E359" s="297">
        <v>0</v>
      </c>
      <c r="F359" s="297">
        <v>0</v>
      </c>
      <c r="G359" s="297">
        <v>0</v>
      </c>
      <c r="H359" s="297">
        <v>0</v>
      </c>
      <c r="I359" s="297">
        <v>0</v>
      </c>
      <c r="J359" s="297">
        <v>0</v>
      </c>
      <c r="K359" s="297">
        <v>0</v>
      </c>
      <c r="L359" s="297">
        <v>0</v>
      </c>
      <c r="M359" s="297">
        <v>0</v>
      </c>
      <c r="N359" s="297">
        <v>0</v>
      </c>
      <c r="O359" s="297">
        <v>0</v>
      </c>
      <c r="P359" s="297">
        <v>0</v>
      </c>
      <c r="Q359" s="297">
        <v>0</v>
      </c>
      <c r="R359" s="297">
        <v>0</v>
      </c>
      <c r="S359" s="297">
        <v>0</v>
      </c>
      <c r="T359" s="297">
        <v>0</v>
      </c>
      <c r="U359" s="297">
        <v>0</v>
      </c>
      <c r="V359" s="328"/>
      <c r="W359" s="260" t="s">
        <v>45</v>
      </c>
      <c r="X359" s="198" t="s">
        <v>480</v>
      </c>
      <c r="Y359" s="157" t="b">
        <v>1</v>
      </c>
      <c r="Z359" s="157"/>
      <c r="AA359" s="157"/>
      <c r="AB359" s="157"/>
      <c r="AC359" s="157"/>
      <c r="AD359" s="157"/>
      <c r="AE359" s="157"/>
      <c r="AF359" s="157"/>
      <c r="AG359" s="157"/>
      <c r="AH359" s="157"/>
      <c r="AI359" s="157"/>
      <c r="AJ359" s="157"/>
      <c r="AK359" s="157"/>
      <c r="AL359" s="157"/>
      <c r="AM359" s="157"/>
      <c r="AN359" s="157"/>
      <c r="AO359" s="157"/>
      <c r="AP359" s="157"/>
    </row>
    <row r="360" spans="1:42" x14ac:dyDescent="0.25">
      <c r="A360" s="295" t="s">
        <v>87</v>
      </c>
      <c r="B360" s="295" t="s">
        <v>435</v>
      </c>
      <c r="C360" s="295" t="s">
        <v>45</v>
      </c>
      <c r="D360" s="295" t="s">
        <v>269</v>
      </c>
      <c r="E360" s="297">
        <v>0.09</v>
      </c>
      <c r="F360" s="297">
        <v>0.09</v>
      </c>
      <c r="G360" s="297">
        <v>0.09</v>
      </c>
      <c r="H360" s="297">
        <v>0.09</v>
      </c>
      <c r="I360" s="297">
        <v>0.09</v>
      </c>
      <c r="J360" s="297">
        <v>0.09</v>
      </c>
      <c r="K360" s="297">
        <v>0.09</v>
      </c>
      <c r="L360" s="297">
        <v>0.09</v>
      </c>
      <c r="M360" s="297">
        <v>0.09</v>
      </c>
      <c r="N360" s="297">
        <v>0.09</v>
      </c>
      <c r="O360" s="297">
        <v>0.09</v>
      </c>
      <c r="P360" s="297">
        <v>0.09</v>
      </c>
      <c r="Q360" s="297">
        <v>0.09</v>
      </c>
      <c r="R360" s="297">
        <v>0.09</v>
      </c>
      <c r="S360" s="297">
        <v>0.09</v>
      </c>
      <c r="T360" s="297">
        <v>0.09</v>
      </c>
      <c r="U360" s="297">
        <v>0.09</v>
      </c>
      <c r="V360" s="328"/>
      <c r="W360" s="260" t="s">
        <v>45</v>
      </c>
      <c r="X360" s="198" t="s">
        <v>481</v>
      </c>
      <c r="Y360" s="157" t="b">
        <v>1</v>
      </c>
      <c r="Z360" s="157"/>
      <c r="AA360" s="157"/>
      <c r="AB360" s="157"/>
      <c r="AC360" s="157"/>
      <c r="AD360" s="157"/>
      <c r="AE360" s="157"/>
      <c r="AF360" s="157"/>
      <c r="AG360" s="157"/>
      <c r="AH360" s="157"/>
      <c r="AI360" s="157"/>
      <c r="AJ360" s="157"/>
      <c r="AK360" s="157"/>
      <c r="AL360" s="157"/>
      <c r="AM360" s="157"/>
      <c r="AN360" s="157"/>
      <c r="AO360" s="157"/>
      <c r="AP360" s="157"/>
    </row>
    <row r="361" spans="1:42" x14ac:dyDescent="0.25">
      <c r="A361" s="295" t="s">
        <v>88</v>
      </c>
      <c r="B361" s="295" t="s">
        <v>435</v>
      </c>
      <c r="C361" s="295" t="s">
        <v>40</v>
      </c>
      <c r="D361" s="295" t="s">
        <v>276</v>
      </c>
      <c r="E361" s="297">
        <v>0.6</v>
      </c>
      <c r="F361" s="297">
        <v>0.6</v>
      </c>
      <c r="G361" s="297">
        <v>0.6</v>
      </c>
      <c r="H361" s="297">
        <v>0.6</v>
      </c>
      <c r="I361" s="297">
        <v>0.6</v>
      </c>
      <c r="J361" s="297">
        <v>0.6</v>
      </c>
      <c r="K361" s="297">
        <v>0.6</v>
      </c>
      <c r="L361" s="297">
        <v>0.6</v>
      </c>
      <c r="M361" s="297">
        <v>0.6</v>
      </c>
      <c r="N361" s="297">
        <v>0.6</v>
      </c>
      <c r="O361" s="297">
        <v>0.6</v>
      </c>
      <c r="P361" s="297">
        <v>0.6</v>
      </c>
      <c r="Q361" s="297">
        <v>0.6</v>
      </c>
      <c r="R361" s="297">
        <v>0.6</v>
      </c>
      <c r="S361" s="297">
        <v>0.6</v>
      </c>
      <c r="T361" s="297">
        <v>0.6</v>
      </c>
      <c r="U361" s="297">
        <v>0.6</v>
      </c>
      <c r="V361" s="328" t="s">
        <v>306</v>
      </c>
      <c r="W361" s="260" t="s">
        <v>203</v>
      </c>
      <c r="X361" s="198" t="s">
        <v>482</v>
      </c>
      <c r="Y361" s="157" t="b">
        <v>0</v>
      </c>
      <c r="Z361" s="157"/>
      <c r="AA361" s="157"/>
      <c r="AB361" s="157"/>
      <c r="AC361" s="157"/>
      <c r="AD361" s="157"/>
      <c r="AE361" s="157"/>
      <c r="AF361" s="157"/>
      <c r="AG361" s="157"/>
      <c r="AH361" s="157"/>
      <c r="AI361" s="157"/>
      <c r="AJ361" s="157"/>
      <c r="AK361" s="157"/>
      <c r="AL361" s="157"/>
      <c r="AM361" s="157"/>
      <c r="AN361" s="157"/>
      <c r="AO361" s="157"/>
      <c r="AP361" s="157"/>
    </row>
    <row r="362" spans="1:42" x14ac:dyDescent="0.25">
      <c r="A362" s="295" t="s">
        <v>88</v>
      </c>
      <c r="B362" s="295" t="s">
        <v>435</v>
      </c>
      <c r="C362" s="295" t="s">
        <v>40</v>
      </c>
      <c r="D362" s="295" t="s">
        <v>279</v>
      </c>
      <c r="E362" s="297">
        <v>0.6</v>
      </c>
      <c r="F362" s="297">
        <v>0.6</v>
      </c>
      <c r="G362" s="297">
        <v>0.6</v>
      </c>
      <c r="H362" s="297">
        <v>0.6</v>
      </c>
      <c r="I362" s="297">
        <v>0.6</v>
      </c>
      <c r="J362" s="297">
        <v>0.6</v>
      </c>
      <c r="K362" s="297">
        <v>0.6</v>
      </c>
      <c r="L362" s="297">
        <v>0.6</v>
      </c>
      <c r="M362" s="297">
        <v>0.6</v>
      </c>
      <c r="N362" s="297">
        <v>0.6</v>
      </c>
      <c r="O362" s="297">
        <v>0.6</v>
      </c>
      <c r="P362" s="297">
        <v>0.6</v>
      </c>
      <c r="Q362" s="297">
        <v>0.6</v>
      </c>
      <c r="R362" s="297">
        <v>0.6</v>
      </c>
      <c r="S362" s="297">
        <v>0.6</v>
      </c>
      <c r="T362" s="297">
        <v>0.6</v>
      </c>
      <c r="U362" s="297">
        <v>0.6</v>
      </c>
      <c r="V362" s="328"/>
      <c r="W362" s="260" t="s">
        <v>203</v>
      </c>
      <c r="X362" s="198" t="s">
        <v>482</v>
      </c>
      <c r="Y362" s="157" t="b">
        <v>0</v>
      </c>
      <c r="Z362" s="157"/>
      <c r="AA362" s="157"/>
      <c r="AB362" s="157"/>
      <c r="AC362" s="157"/>
      <c r="AD362" s="157"/>
      <c r="AE362" s="157"/>
      <c r="AF362" s="157"/>
      <c r="AG362" s="157"/>
      <c r="AH362" s="157"/>
      <c r="AI362" s="157"/>
      <c r="AJ362" s="157"/>
      <c r="AK362" s="157"/>
      <c r="AL362" s="157"/>
      <c r="AM362" s="157"/>
      <c r="AN362" s="157"/>
      <c r="AO362" s="157"/>
      <c r="AP362" s="157"/>
    </row>
    <row r="363" spans="1:42" x14ac:dyDescent="0.25">
      <c r="A363" s="295" t="s">
        <v>88</v>
      </c>
      <c r="B363" s="295" t="s">
        <v>435</v>
      </c>
      <c r="C363" s="295" t="s">
        <v>40</v>
      </c>
      <c r="D363" s="295" t="s">
        <v>280</v>
      </c>
      <c r="E363" s="297">
        <v>0.6</v>
      </c>
      <c r="F363" s="297">
        <v>0.6</v>
      </c>
      <c r="G363" s="297">
        <v>0.6</v>
      </c>
      <c r="H363" s="297">
        <v>0.6</v>
      </c>
      <c r="I363" s="297">
        <v>0.6</v>
      </c>
      <c r="J363" s="297">
        <v>0.6</v>
      </c>
      <c r="K363" s="297">
        <v>0.6</v>
      </c>
      <c r="L363" s="297">
        <v>0.6</v>
      </c>
      <c r="M363" s="297">
        <v>0.6</v>
      </c>
      <c r="N363" s="297">
        <v>0.6</v>
      </c>
      <c r="O363" s="297">
        <v>0.6</v>
      </c>
      <c r="P363" s="297">
        <v>0.6</v>
      </c>
      <c r="Q363" s="297">
        <v>0.6</v>
      </c>
      <c r="R363" s="297">
        <v>0.6</v>
      </c>
      <c r="S363" s="297">
        <v>0.6</v>
      </c>
      <c r="T363" s="297">
        <v>0.6</v>
      </c>
      <c r="U363" s="297">
        <v>0.6</v>
      </c>
      <c r="V363" s="328"/>
      <c r="W363" s="260" t="s">
        <v>203</v>
      </c>
      <c r="X363" s="198" t="s">
        <v>482</v>
      </c>
      <c r="Y363" s="157" t="b">
        <v>0</v>
      </c>
      <c r="Z363" s="157"/>
      <c r="AA363" s="157"/>
      <c r="AB363" s="157"/>
      <c r="AC363" s="157"/>
      <c r="AD363" s="157"/>
      <c r="AE363" s="157"/>
      <c r="AF363" s="157"/>
      <c r="AG363" s="157"/>
      <c r="AH363" s="157"/>
      <c r="AI363" s="157"/>
      <c r="AJ363" s="157"/>
      <c r="AK363" s="157"/>
      <c r="AL363" s="157"/>
      <c r="AM363" s="157"/>
      <c r="AN363" s="157"/>
      <c r="AO363" s="157"/>
      <c r="AP363" s="157"/>
    </row>
    <row r="364" spans="1:42" x14ac:dyDescent="0.25">
      <c r="A364" s="295" t="s">
        <v>88</v>
      </c>
      <c r="B364" s="295" t="s">
        <v>435</v>
      </c>
      <c r="C364" s="295" t="s">
        <v>40</v>
      </c>
      <c r="D364" s="295" t="s">
        <v>281</v>
      </c>
      <c r="E364" s="297">
        <v>0.6</v>
      </c>
      <c r="F364" s="297">
        <v>0.6</v>
      </c>
      <c r="G364" s="297">
        <v>0.6</v>
      </c>
      <c r="H364" s="297">
        <v>0.6</v>
      </c>
      <c r="I364" s="297">
        <v>0.6</v>
      </c>
      <c r="J364" s="297">
        <v>0.6</v>
      </c>
      <c r="K364" s="297">
        <v>0.6</v>
      </c>
      <c r="L364" s="297">
        <v>0.6</v>
      </c>
      <c r="M364" s="297">
        <v>0.6</v>
      </c>
      <c r="N364" s="297">
        <v>0.6</v>
      </c>
      <c r="O364" s="297">
        <v>0.6</v>
      </c>
      <c r="P364" s="297">
        <v>0.6</v>
      </c>
      <c r="Q364" s="297">
        <v>0.6</v>
      </c>
      <c r="R364" s="297">
        <v>0.6</v>
      </c>
      <c r="S364" s="297">
        <v>0.6</v>
      </c>
      <c r="T364" s="297">
        <v>0.6</v>
      </c>
      <c r="U364" s="297">
        <v>0.6</v>
      </c>
      <c r="V364" s="328"/>
      <c r="W364" s="260" t="s">
        <v>203</v>
      </c>
      <c r="X364" s="198" t="s">
        <v>482</v>
      </c>
      <c r="Y364" s="157" t="b">
        <v>0</v>
      </c>
      <c r="Z364" s="157"/>
      <c r="AA364" s="157"/>
      <c r="AB364" s="157"/>
      <c r="AC364" s="157"/>
      <c r="AD364" s="157"/>
      <c r="AE364" s="157"/>
      <c r="AF364" s="157"/>
      <c r="AG364" s="157"/>
      <c r="AH364" s="157"/>
      <c r="AI364" s="157"/>
      <c r="AJ364" s="157"/>
      <c r="AK364" s="157"/>
      <c r="AL364" s="157"/>
      <c r="AM364" s="157"/>
      <c r="AN364" s="157"/>
      <c r="AO364" s="157"/>
      <c r="AP364" s="157"/>
    </row>
    <row r="365" spans="1:42" x14ac:dyDescent="0.25">
      <c r="A365" s="295" t="s">
        <v>88</v>
      </c>
      <c r="B365" s="295" t="s">
        <v>435</v>
      </c>
      <c r="C365" s="295" t="s">
        <v>40</v>
      </c>
      <c r="D365" s="295" t="s">
        <v>282</v>
      </c>
      <c r="E365" s="297">
        <v>0.6</v>
      </c>
      <c r="F365" s="297">
        <v>0.6</v>
      </c>
      <c r="G365" s="297">
        <v>0.6</v>
      </c>
      <c r="H365" s="297">
        <v>0.6</v>
      </c>
      <c r="I365" s="297">
        <v>0.6</v>
      </c>
      <c r="J365" s="297">
        <v>0.6</v>
      </c>
      <c r="K365" s="297">
        <v>0.6</v>
      </c>
      <c r="L365" s="297">
        <v>0.6</v>
      </c>
      <c r="M365" s="297">
        <v>0.6</v>
      </c>
      <c r="N365" s="297">
        <v>0.6</v>
      </c>
      <c r="O365" s="297">
        <v>0.6</v>
      </c>
      <c r="P365" s="297">
        <v>0.6</v>
      </c>
      <c r="Q365" s="297">
        <v>0.6</v>
      </c>
      <c r="R365" s="297">
        <v>0.6</v>
      </c>
      <c r="S365" s="297">
        <v>0.6</v>
      </c>
      <c r="T365" s="297">
        <v>0.6</v>
      </c>
      <c r="U365" s="297">
        <v>0.6</v>
      </c>
      <c r="V365" s="328"/>
      <c r="W365" s="260" t="s">
        <v>203</v>
      </c>
      <c r="X365" s="198" t="s">
        <v>482</v>
      </c>
      <c r="Y365" s="157" t="b">
        <v>0</v>
      </c>
      <c r="Z365" s="157"/>
      <c r="AA365" s="157"/>
      <c r="AB365" s="157"/>
      <c r="AC365" s="157"/>
      <c r="AD365" s="157"/>
      <c r="AE365" s="157"/>
      <c r="AF365" s="157"/>
      <c r="AG365" s="157"/>
      <c r="AH365" s="157"/>
      <c r="AI365" s="157"/>
      <c r="AJ365" s="157"/>
      <c r="AK365" s="157"/>
      <c r="AL365" s="157"/>
      <c r="AM365" s="157"/>
      <c r="AN365" s="157"/>
      <c r="AO365" s="157"/>
      <c r="AP365" s="157"/>
    </row>
    <row r="366" spans="1:42" x14ac:dyDescent="0.25">
      <c r="A366" s="295" t="s">
        <v>88</v>
      </c>
      <c r="B366" s="295" t="s">
        <v>435</v>
      </c>
      <c r="C366" s="295" t="s">
        <v>42</v>
      </c>
      <c r="D366" s="295" t="s">
        <v>282</v>
      </c>
      <c r="E366" s="297">
        <v>0.6</v>
      </c>
      <c r="F366" s="297">
        <v>0.6</v>
      </c>
      <c r="G366" s="297">
        <v>0.6</v>
      </c>
      <c r="H366" s="297">
        <v>0.6</v>
      </c>
      <c r="I366" s="297">
        <v>0.6</v>
      </c>
      <c r="J366" s="297">
        <v>0.6</v>
      </c>
      <c r="K366" s="297">
        <v>0.6</v>
      </c>
      <c r="L366" s="297">
        <v>0.6</v>
      </c>
      <c r="M366" s="297">
        <v>0.6</v>
      </c>
      <c r="N366" s="297">
        <v>0.6</v>
      </c>
      <c r="O366" s="297">
        <v>0.6</v>
      </c>
      <c r="P366" s="297">
        <v>0.6</v>
      </c>
      <c r="Q366" s="297">
        <v>0.6</v>
      </c>
      <c r="R366" s="297">
        <v>0.6</v>
      </c>
      <c r="S366" s="297">
        <v>0.6</v>
      </c>
      <c r="T366" s="297">
        <v>0.6</v>
      </c>
      <c r="U366" s="297">
        <v>0.6</v>
      </c>
      <c r="V366" s="328"/>
      <c r="W366" s="260" t="s">
        <v>203</v>
      </c>
      <c r="X366" s="198" t="s">
        <v>482</v>
      </c>
      <c r="Y366" s="157" t="b">
        <v>0</v>
      </c>
      <c r="Z366" s="157"/>
      <c r="AA366" s="157"/>
      <c r="AB366" s="157"/>
      <c r="AC366" s="157"/>
      <c r="AD366" s="157"/>
      <c r="AE366" s="157"/>
      <c r="AF366" s="157"/>
      <c r="AG366" s="157"/>
      <c r="AH366" s="157"/>
      <c r="AI366" s="157"/>
      <c r="AJ366" s="157"/>
      <c r="AK366" s="157"/>
      <c r="AL366" s="157"/>
      <c r="AM366" s="157"/>
      <c r="AN366" s="157"/>
      <c r="AO366" s="157"/>
      <c r="AP366" s="157"/>
    </row>
    <row r="367" spans="1:42" x14ac:dyDescent="0.25">
      <c r="A367" s="295" t="s">
        <v>88</v>
      </c>
      <c r="B367" s="295" t="s">
        <v>435</v>
      </c>
      <c r="C367" s="295" t="s">
        <v>42</v>
      </c>
      <c r="D367" s="295" t="s">
        <v>276</v>
      </c>
      <c r="E367" s="297">
        <v>0.6</v>
      </c>
      <c r="F367" s="297">
        <v>0.6</v>
      </c>
      <c r="G367" s="297">
        <v>0.6</v>
      </c>
      <c r="H367" s="297">
        <v>0.6</v>
      </c>
      <c r="I367" s="297">
        <v>0.6</v>
      </c>
      <c r="J367" s="297">
        <v>0.6</v>
      </c>
      <c r="K367" s="297">
        <v>0.6</v>
      </c>
      <c r="L367" s="297">
        <v>0.6</v>
      </c>
      <c r="M367" s="297">
        <v>0.6</v>
      </c>
      <c r="N367" s="297">
        <v>0.6</v>
      </c>
      <c r="O367" s="297">
        <v>0.6</v>
      </c>
      <c r="P367" s="297">
        <v>0.6</v>
      </c>
      <c r="Q367" s="297">
        <v>0.6</v>
      </c>
      <c r="R367" s="297">
        <v>0.6</v>
      </c>
      <c r="S367" s="297">
        <v>0.6</v>
      </c>
      <c r="T367" s="297">
        <v>0.6</v>
      </c>
      <c r="U367" s="297">
        <v>0.6</v>
      </c>
      <c r="V367" s="328"/>
      <c r="W367" s="260" t="s">
        <v>203</v>
      </c>
      <c r="X367" s="198" t="s">
        <v>482</v>
      </c>
      <c r="Y367" s="157" t="b">
        <v>0</v>
      </c>
      <c r="Z367" s="157"/>
      <c r="AA367" s="157"/>
      <c r="AB367" s="157"/>
      <c r="AC367" s="157"/>
      <c r="AD367" s="157"/>
      <c r="AE367" s="157"/>
      <c r="AF367" s="157"/>
      <c r="AG367" s="157"/>
      <c r="AH367" s="157"/>
      <c r="AI367" s="157"/>
      <c r="AJ367" s="157"/>
      <c r="AK367" s="157"/>
      <c r="AL367" s="157"/>
      <c r="AM367" s="157"/>
      <c r="AN367" s="157"/>
      <c r="AO367" s="157"/>
      <c r="AP367" s="157"/>
    </row>
    <row r="368" spans="1:42" x14ac:dyDescent="0.25">
      <c r="A368" s="295" t="s">
        <v>88</v>
      </c>
      <c r="B368" s="295" t="s">
        <v>435</v>
      </c>
      <c r="C368" s="295" t="s">
        <v>42</v>
      </c>
      <c r="D368" s="295" t="s">
        <v>279</v>
      </c>
      <c r="E368" s="297">
        <v>0.6</v>
      </c>
      <c r="F368" s="297">
        <v>0.6</v>
      </c>
      <c r="G368" s="297">
        <v>0.6</v>
      </c>
      <c r="H368" s="297">
        <v>0.6</v>
      </c>
      <c r="I368" s="297">
        <v>0.6</v>
      </c>
      <c r="J368" s="297">
        <v>0.6</v>
      </c>
      <c r="K368" s="297">
        <v>0.6</v>
      </c>
      <c r="L368" s="297">
        <v>0.6</v>
      </c>
      <c r="M368" s="297">
        <v>0.6</v>
      </c>
      <c r="N368" s="297">
        <v>0.6</v>
      </c>
      <c r="O368" s="297">
        <v>0.6</v>
      </c>
      <c r="P368" s="297">
        <v>0.6</v>
      </c>
      <c r="Q368" s="297">
        <v>0.6</v>
      </c>
      <c r="R368" s="297">
        <v>0.6</v>
      </c>
      <c r="S368" s="297">
        <v>0.6</v>
      </c>
      <c r="T368" s="297">
        <v>0.6</v>
      </c>
      <c r="U368" s="297">
        <v>0.6</v>
      </c>
      <c r="V368" s="328"/>
      <c r="W368" s="260" t="s">
        <v>203</v>
      </c>
      <c r="X368" s="198" t="s">
        <v>482</v>
      </c>
      <c r="Y368" s="157" t="b">
        <v>0</v>
      </c>
      <c r="Z368" s="157"/>
      <c r="AA368" s="157"/>
      <c r="AB368" s="157"/>
      <c r="AC368" s="157"/>
      <c r="AD368" s="157"/>
      <c r="AE368" s="157"/>
      <c r="AF368" s="157"/>
      <c r="AG368" s="157"/>
      <c r="AH368" s="157"/>
      <c r="AI368" s="157"/>
      <c r="AJ368" s="157"/>
      <c r="AK368" s="157"/>
      <c r="AL368" s="157"/>
      <c r="AM368" s="157"/>
      <c r="AN368" s="157"/>
      <c r="AO368" s="157"/>
      <c r="AP368" s="157"/>
    </row>
    <row r="369" spans="1:42" x14ac:dyDescent="0.25">
      <c r="A369" s="295" t="s">
        <v>88</v>
      </c>
      <c r="B369" s="295" t="s">
        <v>435</v>
      </c>
      <c r="C369" s="295" t="s">
        <v>42</v>
      </c>
      <c r="D369" s="295" t="s">
        <v>280</v>
      </c>
      <c r="E369" s="297">
        <v>0.6</v>
      </c>
      <c r="F369" s="297">
        <v>0.6</v>
      </c>
      <c r="G369" s="297">
        <v>0.6</v>
      </c>
      <c r="H369" s="297">
        <v>0.6</v>
      </c>
      <c r="I369" s="297">
        <v>0.6</v>
      </c>
      <c r="J369" s="297">
        <v>0.6</v>
      </c>
      <c r="K369" s="297">
        <v>0.6</v>
      </c>
      <c r="L369" s="297">
        <v>0.6</v>
      </c>
      <c r="M369" s="297">
        <v>0.6</v>
      </c>
      <c r="N369" s="297">
        <v>0.6</v>
      </c>
      <c r="O369" s="297">
        <v>0.6</v>
      </c>
      <c r="P369" s="297">
        <v>0.6</v>
      </c>
      <c r="Q369" s="297">
        <v>0.6</v>
      </c>
      <c r="R369" s="297">
        <v>0.6</v>
      </c>
      <c r="S369" s="297">
        <v>0.6</v>
      </c>
      <c r="T369" s="297">
        <v>0.6</v>
      </c>
      <c r="U369" s="297">
        <v>0.6</v>
      </c>
      <c r="V369" s="328"/>
      <c r="W369" s="260" t="s">
        <v>203</v>
      </c>
      <c r="X369" s="198" t="s">
        <v>482</v>
      </c>
      <c r="Y369" s="157" t="b">
        <v>0</v>
      </c>
      <c r="Z369" s="157"/>
      <c r="AA369" s="157"/>
      <c r="AB369" s="157"/>
      <c r="AC369" s="157"/>
      <c r="AD369" s="157"/>
      <c r="AE369" s="157"/>
      <c r="AF369" s="157"/>
      <c r="AG369" s="157"/>
      <c r="AH369" s="157"/>
      <c r="AI369" s="157"/>
      <c r="AJ369" s="157"/>
      <c r="AK369" s="157"/>
      <c r="AL369" s="157"/>
      <c r="AM369" s="157"/>
      <c r="AN369" s="157"/>
      <c r="AO369" s="157"/>
      <c r="AP369" s="157"/>
    </row>
    <row r="370" spans="1:42" x14ac:dyDescent="0.25">
      <c r="A370" s="295" t="s">
        <v>88</v>
      </c>
      <c r="B370" s="295" t="s">
        <v>435</v>
      </c>
      <c r="C370" s="295" t="s">
        <v>42</v>
      </c>
      <c r="D370" s="295" t="s">
        <v>281</v>
      </c>
      <c r="E370" s="297">
        <v>0.6</v>
      </c>
      <c r="F370" s="297">
        <v>0.6</v>
      </c>
      <c r="G370" s="297">
        <v>0.6</v>
      </c>
      <c r="H370" s="297">
        <v>0.6</v>
      </c>
      <c r="I370" s="297">
        <v>0.6</v>
      </c>
      <c r="J370" s="297">
        <v>0.6</v>
      </c>
      <c r="K370" s="297">
        <v>0.6</v>
      </c>
      <c r="L370" s="297">
        <v>0.6</v>
      </c>
      <c r="M370" s="297">
        <v>0.6</v>
      </c>
      <c r="N370" s="297">
        <v>0.6</v>
      </c>
      <c r="O370" s="297">
        <v>0.6</v>
      </c>
      <c r="P370" s="297">
        <v>0.6</v>
      </c>
      <c r="Q370" s="297">
        <v>0.6</v>
      </c>
      <c r="R370" s="297">
        <v>0.6</v>
      </c>
      <c r="S370" s="297">
        <v>0.6</v>
      </c>
      <c r="T370" s="297">
        <v>0.6</v>
      </c>
      <c r="U370" s="297">
        <v>0.6</v>
      </c>
      <c r="V370" s="328"/>
      <c r="W370" s="260" t="s">
        <v>203</v>
      </c>
      <c r="X370" s="198" t="s">
        <v>482</v>
      </c>
      <c r="Y370" s="157" t="b">
        <v>0</v>
      </c>
      <c r="Z370" s="157"/>
      <c r="AA370" s="157"/>
      <c r="AB370" s="157"/>
      <c r="AC370" s="157"/>
      <c r="AD370" s="157"/>
      <c r="AE370" s="157"/>
      <c r="AF370" s="157"/>
      <c r="AG370" s="157"/>
      <c r="AH370" s="157"/>
      <c r="AI370" s="157"/>
      <c r="AJ370" s="157"/>
      <c r="AK370" s="157"/>
      <c r="AL370" s="157"/>
      <c r="AM370" s="157"/>
      <c r="AN370" s="157"/>
      <c r="AO370" s="157"/>
      <c r="AP370" s="157"/>
    </row>
    <row r="371" spans="1:42" x14ac:dyDescent="0.25">
      <c r="A371" s="295" t="s">
        <v>82</v>
      </c>
      <c r="B371" s="295" t="s">
        <v>435</v>
      </c>
      <c r="C371" s="295" t="s">
        <v>40</v>
      </c>
      <c r="D371" s="295" t="s">
        <v>276</v>
      </c>
      <c r="E371" s="297">
        <v>7.7459861759638518E-3</v>
      </c>
      <c r="F371" s="297">
        <v>7.5226912654688654E-3</v>
      </c>
      <c r="G371" s="297">
        <v>7.3058333167654822E-3</v>
      </c>
      <c r="H371" s="297">
        <v>7.09522677042015E-3</v>
      </c>
      <c r="I371" s="297">
        <v>6.9969495520186189E-3</v>
      </c>
      <c r="J371" s="297">
        <v>6.9000335884394151E-3</v>
      </c>
      <c r="K371" s="297">
        <v>6.8044600247055519E-3</v>
      </c>
      <c r="L371" s="297">
        <v>6.7102102670036036E-3</v>
      </c>
      <c r="M371" s="297">
        <v>6.6172659790662836E-3</v>
      </c>
      <c r="N371" s="297">
        <v>6.5256090786051284E-3</v>
      </c>
      <c r="O371" s="297">
        <v>6.4352217337925932E-3</v>
      </c>
      <c r="P371" s="297">
        <v>6.3460863597928742E-3</v>
      </c>
      <c r="Q371" s="297">
        <v>6.2581856153407821E-3</v>
      </c>
      <c r="R371" s="297">
        <v>6.1715023993680037E-3</v>
      </c>
      <c r="S371" s="297">
        <v>6.0860198476760941E-3</v>
      </c>
      <c r="T371" s="297">
        <v>6.0017213296555492E-3</v>
      </c>
      <c r="U371" s="297">
        <v>5.9185904450503261E-3</v>
      </c>
      <c r="V371" s="328" t="s">
        <v>550</v>
      </c>
      <c r="W371" s="260" t="s">
        <v>203</v>
      </c>
      <c r="X371" s="198" t="s">
        <v>483</v>
      </c>
      <c r="Y371" s="157" t="b">
        <v>1</v>
      </c>
      <c r="Z371" s="157"/>
      <c r="AA371" s="157"/>
      <c r="AB371" s="157"/>
      <c r="AC371" s="157"/>
      <c r="AD371" s="157"/>
      <c r="AE371" s="157"/>
      <c r="AF371" s="157"/>
      <c r="AG371" s="157"/>
      <c r="AH371" s="157"/>
      <c r="AI371" s="157"/>
      <c r="AJ371" s="157"/>
      <c r="AK371" s="157"/>
      <c r="AL371" s="157"/>
      <c r="AM371" s="157"/>
      <c r="AN371" s="157"/>
      <c r="AO371" s="157"/>
      <c r="AP371" s="157"/>
    </row>
    <row r="372" spans="1:42" x14ac:dyDescent="0.25">
      <c r="A372" s="295" t="s">
        <v>82</v>
      </c>
      <c r="B372" s="295" t="s">
        <v>435</v>
      </c>
      <c r="C372" s="295" t="s">
        <v>40</v>
      </c>
      <c r="D372" s="295" t="s">
        <v>279</v>
      </c>
      <c r="E372" s="297">
        <v>7.7459861759638518E-3</v>
      </c>
      <c r="F372" s="297">
        <v>7.5226912654688654E-3</v>
      </c>
      <c r="G372" s="297">
        <v>7.3058333167654822E-3</v>
      </c>
      <c r="H372" s="297">
        <v>7.09522677042015E-3</v>
      </c>
      <c r="I372" s="297">
        <v>6.9969495520186189E-3</v>
      </c>
      <c r="J372" s="297">
        <v>6.9000335884394151E-3</v>
      </c>
      <c r="K372" s="297">
        <v>6.8044600247055519E-3</v>
      </c>
      <c r="L372" s="297">
        <v>6.7102102670036036E-3</v>
      </c>
      <c r="M372" s="297">
        <v>6.6172659790662836E-3</v>
      </c>
      <c r="N372" s="297">
        <v>6.5256090786051284E-3</v>
      </c>
      <c r="O372" s="297">
        <v>6.4352217337925932E-3</v>
      </c>
      <c r="P372" s="297">
        <v>6.3460863597928742E-3</v>
      </c>
      <c r="Q372" s="297">
        <v>6.2581856153407821E-3</v>
      </c>
      <c r="R372" s="297">
        <v>6.1715023993680037E-3</v>
      </c>
      <c r="S372" s="297">
        <v>6.0860198476760941E-3</v>
      </c>
      <c r="T372" s="297">
        <v>6.0017213296555492E-3</v>
      </c>
      <c r="U372" s="297">
        <v>5.9185904450503261E-3</v>
      </c>
      <c r="V372" s="328"/>
      <c r="W372" s="260" t="s">
        <v>203</v>
      </c>
      <c r="X372" s="198" t="s">
        <v>483</v>
      </c>
      <c r="Y372" s="157" t="b">
        <v>1</v>
      </c>
      <c r="Z372" s="157"/>
      <c r="AA372" s="157"/>
      <c r="AB372" s="157"/>
      <c r="AC372" s="157"/>
      <c r="AD372" s="157"/>
      <c r="AE372" s="157"/>
      <c r="AF372" s="157"/>
      <c r="AG372" s="157"/>
      <c r="AH372" s="157"/>
      <c r="AI372" s="157"/>
      <c r="AJ372" s="157"/>
      <c r="AK372" s="157"/>
      <c r="AL372" s="157"/>
      <c r="AM372" s="157"/>
      <c r="AN372" s="157"/>
      <c r="AO372" s="157"/>
      <c r="AP372" s="157"/>
    </row>
    <row r="373" spans="1:42" x14ac:dyDescent="0.25">
      <c r="A373" s="295" t="s">
        <v>82</v>
      </c>
      <c r="B373" s="295" t="s">
        <v>435</v>
      </c>
      <c r="C373" s="295" t="s">
        <v>40</v>
      </c>
      <c r="D373" s="295" t="s">
        <v>280</v>
      </c>
      <c r="E373" s="297">
        <v>7.7459861759638518E-3</v>
      </c>
      <c r="F373" s="297">
        <v>7.5226912654688654E-3</v>
      </c>
      <c r="G373" s="297">
        <v>7.3058333167654822E-3</v>
      </c>
      <c r="H373" s="297">
        <v>7.09522677042015E-3</v>
      </c>
      <c r="I373" s="297">
        <v>6.9969495520186189E-3</v>
      </c>
      <c r="J373" s="297">
        <v>6.9000335884394151E-3</v>
      </c>
      <c r="K373" s="297">
        <v>6.8044600247055519E-3</v>
      </c>
      <c r="L373" s="297">
        <v>6.7102102670036036E-3</v>
      </c>
      <c r="M373" s="297">
        <v>6.6172659790662836E-3</v>
      </c>
      <c r="N373" s="297">
        <v>6.5256090786051284E-3</v>
      </c>
      <c r="O373" s="297">
        <v>6.4352217337925932E-3</v>
      </c>
      <c r="P373" s="297">
        <v>6.3460863597928742E-3</v>
      </c>
      <c r="Q373" s="297">
        <v>6.2581856153407821E-3</v>
      </c>
      <c r="R373" s="297">
        <v>6.1715023993680037E-3</v>
      </c>
      <c r="S373" s="297">
        <v>6.0860198476760941E-3</v>
      </c>
      <c r="T373" s="297">
        <v>6.0017213296555492E-3</v>
      </c>
      <c r="U373" s="297">
        <v>5.9185904450503261E-3</v>
      </c>
      <c r="V373" s="328"/>
      <c r="W373" s="260" t="s">
        <v>203</v>
      </c>
      <c r="X373" s="198" t="s">
        <v>483</v>
      </c>
      <c r="Y373" s="157" t="b">
        <v>1</v>
      </c>
      <c r="Z373" s="157"/>
      <c r="AA373" s="157"/>
      <c r="AB373" s="157"/>
      <c r="AC373" s="157"/>
      <c r="AD373" s="157"/>
      <c r="AE373" s="157"/>
      <c r="AF373" s="157"/>
      <c r="AG373" s="157"/>
      <c r="AH373" s="157"/>
      <c r="AI373" s="157"/>
      <c r="AJ373" s="157"/>
      <c r="AK373" s="157"/>
      <c r="AL373" s="157"/>
      <c r="AM373" s="157"/>
      <c r="AN373" s="157"/>
      <c r="AO373" s="157"/>
      <c r="AP373" s="157"/>
    </row>
    <row r="374" spans="1:42" x14ac:dyDescent="0.25">
      <c r="A374" s="295" t="s">
        <v>82</v>
      </c>
      <c r="B374" s="295" t="s">
        <v>435</v>
      </c>
      <c r="C374" s="295" t="s">
        <v>40</v>
      </c>
      <c r="D374" s="295" t="s">
        <v>281</v>
      </c>
      <c r="E374" s="297">
        <v>7.7459861759638518E-3</v>
      </c>
      <c r="F374" s="297">
        <v>7.5226912654688654E-3</v>
      </c>
      <c r="G374" s="297">
        <v>7.3058333167654822E-3</v>
      </c>
      <c r="H374" s="297">
        <v>7.09522677042015E-3</v>
      </c>
      <c r="I374" s="297">
        <v>6.9969495520186189E-3</v>
      </c>
      <c r="J374" s="297">
        <v>6.9000335884394151E-3</v>
      </c>
      <c r="K374" s="297">
        <v>6.8044600247055519E-3</v>
      </c>
      <c r="L374" s="297">
        <v>6.7102102670036036E-3</v>
      </c>
      <c r="M374" s="297">
        <v>6.6172659790662836E-3</v>
      </c>
      <c r="N374" s="297">
        <v>6.5256090786051284E-3</v>
      </c>
      <c r="O374" s="297">
        <v>6.4352217337925932E-3</v>
      </c>
      <c r="P374" s="297">
        <v>6.3460863597928742E-3</v>
      </c>
      <c r="Q374" s="297">
        <v>6.2581856153407821E-3</v>
      </c>
      <c r="R374" s="297">
        <v>6.1715023993680037E-3</v>
      </c>
      <c r="S374" s="297">
        <v>6.0860198476760941E-3</v>
      </c>
      <c r="T374" s="297">
        <v>6.0017213296555492E-3</v>
      </c>
      <c r="U374" s="297">
        <v>5.9185904450503261E-3</v>
      </c>
      <c r="V374" s="328"/>
      <c r="W374" s="260" t="s">
        <v>203</v>
      </c>
      <c r="X374" s="198" t="s">
        <v>483</v>
      </c>
      <c r="Y374" s="157" t="b">
        <v>1</v>
      </c>
      <c r="Z374" s="157"/>
      <c r="AA374" s="157"/>
      <c r="AB374" s="157"/>
      <c r="AC374" s="157"/>
      <c r="AD374" s="157"/>
      <c r="AE374" s="157"/>
      <c r="AF374" s="157"/>
      <c r="AG374" s="157"/>
      <c r="AH374" s="157"/>
      <c r="AI374" s="157"/>
      <c r="AJ374" s="157"/>
      <c r="AK374" s="157"/>
      <c r="AL374" s="157"/>
      <c r="AM374" s="157"/>
      <c r="AN374" s="157"/>
      <c r="AO374" s="157"/>
      <c r="AP374" s="157"/>
    </row>
    <row r="375" spans="1:42" x14ac:dyDescent="0.25">
      <c r="A375" s="295" t="s">
        <v>82</v>
      </c>
      <c r="B375" s="295" t="s">
        <v>435</v>
      </c>
      <c r="C375" s="295" t="s">
        <v>40</v>
      </c>
      <c r="D375" s="295" t="s">
        <v>282</v>
      </c>
      <c r="E375" s="297">
        <v>7.7459861759638518E-3</v>
      </c>
      <c r="F375" s="297">
        <v>7.5226912654688654E-3</v>
      </c>
      <c r="G375" s="297">
        <v>7.3058333167654822E-3</v>
      </c>
      <c r="H375" s="297">
        <v>7.09522677042015E-3</v>
      </c>
      <c r="I375" s="297">
        <v>6.9969495520186189E-3</v>
      </c>
      <c r="J375" s="297">
        <v>6.9000335884394151E-3</v>
      </c>
      <c r="K375" s="297">
        <v>6.8044600247055519E-3</v>
      </c>
      <c r="L375" s="297">
        <v>6.7102102670036036E-3</v>
      </c>
      <c r="M375" s="297">
        <v>6.6172659790662836E-3</v>
      </c>
      <c r="N375" s="297">
        <v>6.5256090786051284E-3</v>
      </c>
      <c r="O375" s="297">
        <v>6.4352217337925932E-3</v>
      </c>
      <c r="P375" s="297">
        <v>6.3460863597928742E-3</v>
      </c>
      <c r="Q375" s="297">
        <v>6.2581856153407821E-3</v>
      </c>
      <c r="R375" s="297">
        <v>6.1715023993680037E-3</v>
      </c>
      <c r="S375" s="297">
        <v>6.0860198476760941E-3</v>
      </c>
      <c r="T375" s="297">
        <v>6.0017213296555492E-3</v>
      </c>
      <c r="U375" s="297">
        <v>5.9185904450503261E-3</v>
      </c>
      <c r="V375" s="328"/>
      <c r="W375" s="260" t="s">
        <v>203</v>
      </c>
      <c r="X375" s="198" t="s">
        <v>483</v>
      </c>
      <c r="Y375" s="157" t="b">
        <v>1</v>
      </c>
      <c r="Z375" s="157"/>
      <c r="AA375" s="157"/>
      <c r="AB375" s="157"/>
      <c r="AC375" s="157"/>
      <c r="AD375" s="157"/>
      <c r="AE375" s="157"/>
      <c r="AF375" s="157"/>
      <c r="AG375" s="157"/>
      <c r="AH375" s="157"/>
      <c r="AI375" s="157"/>
      <c r="AJ375" s="157"/>
      <c r="AK375" s="157"/>
      <c r="AL375" s="157"/>
      <c r="AM375" s="157"/>
      <c r="AN375" s="157"/>
      <c r="AO375" s="157"/>
      <c r="AP375" s="157"/>
    </row>
    <row r="376" spans="1:42" x14ac:dyDescent="0.25">
      <c r="A376" s="295" t="s">
        <v>82</v>
      </c>
      <c r="B376" s="295" t="s">
        <v>435</v>
      </c>
      <c r="C376" s="295" t="s">
        <v>42</v>
      </c>
      <c r="D376" s="295" t="s">
        <v>282</v>
      </c>
      <c r="E376" s="297">
        <v>7.7459861759638518E-3</v>
      </c>
      <c r="F376" s="297">
        <v>7.5226912654688654E-3</v>
      </c>
      <c r="G376" s="297">
        <v>7.3058333167654822E-3</v>
      </c>
      <c r="H376" s="297">
        <v>7.09522677042015E-3</v>
      </c>
      <c r="I376" s="297">
        <v>6.9969495520186189E-3</v>
      </c>
      <c r="J376" s="297">
        <v>6.9000335884394151E-3</v>
      </c>
      <c r="K376" s="297">
        <v>6.8044600247055519E-3</v>
      </c>
      <c r="L376" s="297">
        <v>6.7102102670036036E-3</v>
      </c>
      <c r="M376" s="297">
        <v>6.6172659790662836E-3</v>
      </c>
      <c r="N376" s="297">
        <v>6.5256090786051284E-3</v>
      </c>
      <c r="O376" s="297">
        <v>6.4352217337925932E-3</v>
      </c>
      <c r="P376" s="297">
        <v>6.3460863597928742E-3</v>
      </c>
      <c r="Q376" s="297">
        <v>6.2581856153407821E-3</v>
      </c>
      <c r="R376" s="297">
        <v>6.1715023993680037E-3</v>
      </c>
      <c r="S376" s="297">
        <v>6.0860198476760941E-3</v>
      </c>
      <c r="T376" s="297">
        <v>6.0017213296555492E-3</v>
      </c>
      <c r="U376" s="297">
        <v>5.9185904450503261E-3</v>
      </c>
      <c r="V376" s="328"/>
      <c r="W376" s="260" t="s">
        <v>203</v>
      </c>
      <c r="X376" s="198" t="s">
        <v>483</v>
      </c>
      <c r="Y376" s="157" t="b">
        <v>1</v>
      </c>
      <c r="Z376" s="157"/>
      <c r="AA376" s="157"/>
      <c r="AB376" s="157"/>
      <c r="AC376" s="157"/>
      <c r="AD376" s="157"/>
      <c r="AE376" s="157"/>
      <c r="AF376" s="157"/>
      <c r="AG376" s="157"/>
      <c r="AH376" s="157"/>
      <c r="AI376" s="157"/>
      <c r="AJ376" s="157"/>
      <c r="AK376" s="157"/>
      <c r="AL376" s="157"/>
      <c r="AM376" s="157"/>
      <c r="AN376" s="157"/>
      <c r="AO376" s="157"/>
      <c r="AP376" s="157"/>
    </row>
    <row r="377" spans="1:42" x14ac:dyDescent="0.25">
      <c r="A377" s="295" t="s">
        <v>82</v>
      </c>
      <c r="B377" s="295" t="s">
        <v>435</v>
      </c>
      <c r="C377" s="295" t="s">
        <v>42</v>
      </c>
      <c r="D377" s="295" t="s">
        <v>276</v>
      </c>
      <c r="E377" s="297">
        <v>7.7459861759638518E-3</v>
      </c>
      <c r="F377" s="297">
        <v>7.5226912654688654E-3</v>
      </c>
      <c r="G377" s="297">
        <v>7.3058333167654822E-3</v>
      </c>
      <c r="H377" s="297">
        <v>7.09522677042015E-3</v>
      </c>
      <c r="I377" s="297">
        <v>6.9969495520186189E-3</v>
      </c>
      <c r="J377" s="297">
        <v>6.9000335884394151E-3</v>
      </c>
      <c r="K377" s="297">
        <v>6.8044600247055519E-3</v>
      </c>
      <c r="L377" s="297">
        <v>6.7102102670036036E-3</v>
      </c>
      <c r="M377" s="297">
        <v>6.6172659790662836E-3</v>
      </c>
      <c r="N377" s="297">
        <v>6.5256090786051284E-3</v>
      </c>
      <c r="O377" s="297">
        <v>6.4352217337925932E-3</v>
      </c>
      <c r="P377" s="297">
        <v>6.3460863597928742E-3</v>
      </c>
      <c r="Q377" s="297">
        <v>6.2581856153407821E-3</v>
      </c>
      <c r="R377" s="297">
        <v>6.1715023993680037E-3</v>
      </c>
      <c r="S377" s="297">
        <v>6.0860198476760941E-3</v>
      </c>
      <c r="T377" s="297">
        <v>6.0017213296555492E-3</v>
      </c>
      <c r="U377" s="297">
        <v>5.9185904450503261E-3</v>
      </c>
      <c r="V377" s="328"/>
      <c r="W377" s="260" t="s">
        <v>203</v>
      </c>
      <c r="X377" s="198" t="s">
        <v>483</v>
      </c>
      <c r="Y377" s="157" t="b">
        <v>1</v>
      </c>
      <c r="Z377" s="157"/>
      <c r="AA377" s="157"/>
      <c r="AB377" s="157"/>
      <c r="AC377" s="157"/>
      <c r="AD377" s="157"/>
      <c r="AE377" s="157"/>
      <c r="AF377" s="157"/>
      <c r="AG377" s="157"/>
      <c r="AH377" s="157"/>
      <c r="AI377" s="157"/>
      <c r="AJ377" s="157"/>
      <c r="AK377" s="157"/>
      <c r="AL377" s="157"/>
      <c r="AM377" s="157"/>
      <c r="AN377" s="157"/>
      <c r="AO377" s="157"/>
      <c r="AP377" s="157"/>
    </row>
    <row r="378" spans="1:42" x14ac:dyDescent="0.25">
      <c r="A378" s="295" t="s">
        <v>82</v>
      </c>
      <c r="B378" s="295" t="s">
        <v>435</v>
      </c>
      <c r="C378" s="295" t="s">
        <v>42</v>
      </c>
      <c r="D378" s="295" t="s">
        <v>279</v>
      </c>
      <c r="E378" s="297">
        <v>7.7459861759638518E-3</v>
      </c>
      <c r="F378" s="297">
        <v>7.5226912654688654E-3</v>
      </c>
      <c r="G378" s="297">
        <v>7.3058333167654822E-3</v>
      </c>
      <c r="H378" s="297">
        <v>7.09522677042015E-3</v>
      </c>
      <c r="I378" s="297">
        <v>6.9969495520186189E-3</v>
      </c>
      <c r="J378" s="297">
        <v>6.9000335884394151E-3</v>
      </c>
      <c r="K378" s="297">
        <v>6.8044600247055519E-3</v>
      </c>
      <c r="L378" s="297">
        <v>6.7102102670036036E-3</v>
      </c>
      <c r="M378" s="297">
        <v>6.6172659790662836E-3</v>
      </c>
      <c r="N378" s="297">
        <v>6.5256090786051284E-3</v>
      </c>
      <c r="O378" s="297">
        <v>6.4352217337925932E-3</v>
      </c>
      <c r="P378" s="297">
        <v>6.3460863597928742E-3</v>
      </c>
      <c r="Q378" s="297">
        <v>6.2581856153407821E-3</v>
      </c>
      <c r="R378" s="297">
        <v>6.1715023993680037E-3</v>
      </c>
      <c r="S378" s="297">
        <v>6.0860198476760941E-3</v>
      </c>
      <c r="T378" s="297">
        <v>6.0017213296555492E-3</v>
      </c>
      <c r="U378" s="297">
        <v>5.9185904450503261E-3</v>
      </c>
      <c r="V378" s="328"/>
      <c r="W378" s="260" t="s">
        <v>203</v>
      </c>
      <c r="X378" s="198" t="s">
        <v>483</v>
      </c>
      <c r="Y378" s="157" t="b">
        <v>1</v>
      </c>
      <c r="Z378" s="157"/>
      <c r="AA378" s="157"/>
      <c r="AB378" s="157"/>
      <c r="AC378" s="157"/>
      <c r="AD378" s="157"/>
      <c r="AE378" s="157"/>
      <c r="AF378" s="157"/>
      <c r="AG378" s="157"/>
      <c r="AH378" s="157"/>
      <c r="AI378" s="157"/>
      <c r="AJ378" s="157"/>
      <c r="AK378" s="157"/>
      <c r="AL378" s="157"/>
      <c r="AM378" s="157"/>
      <c r="AN378" s="157"/>
      <c r="AO378" s="157"/>
      <c r="AP378" s="157"/>
    </row>
    <row r="379" spans="1:42" x14ac:dyDescent="0.25">
      <c r="A379" s="295" t="s">
        <v>82</v>
      </c>
      <c r="B379" s="295" t="s">
        <v>435</v>
      </c>
      <c r="C379" s="295" t="s">
        <v>42</v>
      </c>
      <c r="D379" s="295" t="s">
        <v>280</v>
      </c>
      <c r="E379" s="297">
        <v>7.7459861759638518E-3</v>
      </c>
      <c r="F379" s="297">
        <v>7.5226912654688654E-3</v>
      </c>
      <c r="G379" s="297">
        <v>7.3058333167654822E-3</v>
      </c>
      <c r="H379" s="297">
        <v>7.09522677042015E-3</v>
      </c>
      <c r="I379" s="297">
        <v>6.9969495520186189E-3</v>
      </c>
      <c r="J379" s="297">
        <v>6.9000335884394151E-3</v>
      </c>
      <c r="K379" s="297">
        <v>6.8044600247055519E-3</v>
      </c>
      <c r="L379" s="297">
        <v>6.7102102670036036E-3</v>
      </c>
      <c r="M379" s="297">
        <v>6.6172659790662836E-3</v>
      </c>
      <c r="N379" s="297">
        <v>6.5256090786051284E-3</v>
      </c>
      <c r="O379" s="297">
        <v>6.4352217337925932E-3</v>
      </c>
      <c r="P379" s="297">
        <v>6.3460863597928742E-3</v>
      </c>
      <c r="Q379" s="297">
        <v>6.2581856153407821E-3</v>
      </c>
      <c r="R379" s="297">
        <v>6.1715023993680037E-3</v>
      </c>
      <c r="S379" s="297">
        <v>6.0860198476760941E-3</v>
      </c>
      <c r="T379" s="297">
        <v>6.0017213296555492E-3</v>
      </c>
      <c r="U379" s="297">
        <v>5.9185904450503261E-3</v>
      </c>
      <c r="V379" s="328"/>
      <c r="W379" s="260" t="s">
        <v>203</v>
      </c>
      <c r="X379" s="198" t="s">
        <v>483</v>
      </c>
      <c r="Y379" s="157" t="b">
        <v>1</v>
      </c>
      <c r="Z379" s="157"/>
      <c r="AA379" s="157"/>
      <c r="AB379" s="157"/>
      <c r="AC379" s="157"/>
      <c r="AD379" s="157"/>
      <c r="AE379" s="157"/>
      <c r="AF379" s="157"/>
      <c r="AG379" s="157"/>
      <c r="AH379" s="157"/>
      <c r="AI379" s="157"/>
      <c r="AJ379" s="157"/>
      <c r="AK379" s="157"/>
      <c r="AL379" s="157"/>
      <c r="AM379" s="157"/>
      <c r="AN379" s="157"/>
      <c r="AO379" s="157"/>
      <c r="AP379" s="157"/>
    </row>
    <row r="380" spans="1:42" x14ac:dyDescent="0.25">
      <c r="A380" s="295" t="s">
        <v>82</v>
      </c>
      <c r="B380" s="295" t="s">
        <v>435</v>
      </c>
      <c r="C380" s="295" t="s">
        <v>42</v>
      </c>
      <c r="D380" s="295" t="s">
        <v>281</v>
      </c>
      <c r="E380" s="297">
        <v>7.7459861759638518E-3</v>
      </c>
      <c r="F380" s="297">
        <v>7.5226912654688654E-3</v>
      </c>
      <c r="G380" s="297">
        <v>7.3058333167654822E-3</v>
      </c>
      <c r="H380" s="297">
        <v>7.09522677042015E-3</v>
      </c>
      <c r="I380" s="297">
        <v>6.9969495520186189E-3</v>
      </c>
      <c r="J380" s="297">
        <v>6.9000335884394151E-3</v>
      </c>
      <c r="K380" s="297">
        <v>6.8044600247055519E-3</v>
      </c>
      <c r="L380" s="297">
        <v>6.7102102670036036E-3</v>
      </c>
      <c r="M380" s="297">
        <v>6.6172659790662836E-3</v>
      </c>
      <c r="N380" s="297">
        <v>6.5256090786051284E-3</v>
      </c>
      <c r="O380" s="297">
        <v>6.4352217337925932E-3</v>
      </c>
      <c r="P380" s="297">
        <v>6.3460863597928742E-3</v>
      </c>
      <c r="Q380" s="297">
        <v>6.2581856153407821E-3</v>
      </c>
      <c r="R380" s="297">
        <v>6.1715023993680037E-3</v>
      </c>
      <c r="S380" s="297">
        <v>6.0860198476760941E-3</v>
      </c>
      <c r="T380" s="297">
        <v>6.0017213296555492E-3</v>
      </c>
      <c r="U380" s="297">
        <v>5.9185904450503261E-3</v>
      </c>
      <c r="V380" s="328"/>
      <c r="W380" s="260" t="s">
        <v>203</v>
      </c>
      <c r="X380" s="198" t="s">
        <v>483</v>
      </c>
      <c r="Y380" s="157" t="b">
        <v>1</v>
      </c>
      <c r="Z380" s="157"/>
      <c r="AA380" s="157"/>
      <c r="AB380" s="157"/>
      <c r="AC380" s="157"/>
      <c r="AD380" s="157"/>
      <c r="AE380" s="157"/>
      <c r="AF380" s="157"/>
      <c r="AG380" s="157"/>
      <c r="AH380" s="157"/>
      <c r="AI380" s="157"/>
      <c r="AJ380" s="157"/>
      <c r="AK380" s="157"/>
      <c r="AL380" s="157"/>
      <c r="AM380" s="157"/>
      <c r="AN380" s="157"/>
      <c r="AO380" s="157"/>
      <c r="AP380" s="157"/>
    </row>
    <row r="381" spans="1:42" x14ac:dyDescent="0.25">
      <c r="A381" s="295" t="s">
        <v>83</v>
      </c>
      <c r="B381" s="295" t="s">
        <v>435</v>
      </c>
      <c r="C381" s="295" t="s">
        <v>40</v>
      </c>
      <c r="D381" s="295" t="s">
        <v>276</v>
      </c>
      <c r="E381" s="297">
        <v>0.09</v>
      </c>
      <c r="F381" s="297">
        <v>0.09</v>
      </c>
      <c r="G381" s="297">
        <v>0.09</v>
      </c>
      <c r="H381" s="297">
        <v>0.09</v>
      </c>
      <c r="I381" s="297">
        <v>0.09</v>
      </c>
      <c r="J381" s="297">
        <v>0.09</v>
      </c>
      <c r="K381" s="297">
        <v>0.09</v>
      </c>
      <c r="L381" s="297">
        <v>0.09</v>
      </c>
      <c r="M381" s="297">
        <v>0.09</v>
      </c>
      <c r="N381" s="297">
        <v>0.09</v>
      </c>
      <c r="O381" s="297">
        <v>0.09</v>
      </c>
      <c r="P381" s="297">
        <v>0.09</v>
      </c>
      <c r="Q381" s="297">
        <v>0.09</v>
      </c>
      <c r="R381" s="297">
        <v>0.09</v>
      </c>
      <c r="S381" s="297">
        <v>0.09</v>
      </c>
      <c r="T381" s="297">
        <v>0.09</v>
      </c>
      <c r="U381" s="297">
        <v>0.09</v>
      </c>
      <c r="V381" s="328"/>
      <c r="W381" s="260" t="s">
        <v>203</v>
      </c>
      <c r="X381" s="198" t="s">
        <v>484</v>
      </c>
      <c r="Y381" s="157" t="b">
        <v>0</v>
      </c>
      <c r="Z381" s="157"/>
      <c r="AA381" s="157"/>
      <c r="AB381" s="157"/>
      <c r="AC381" s="157"/>
      <c r="AD381" s="157"/>
      <c r="AE381" s="157"/>
      <c r="AF381" s="157"/>
      <c r="AG381" s="157"/>
      <c r="AH381" s="157"/>
      <c r="AI381" s="157"/>
      <c r="AJ381" s="157"/>
      <c r="AK381" s="157"/>
      <c r="AL381" s="157"/>
      <c r="AM381" s="157"/>
      <c r="AN381" s="157"/>
      <c r="AO381" s="157"/>
      <c r="AP381" s="157"/>
    </row>
    <row r="382" spans="1:42" x14ac:dyDescent="0.25">
      <c r="A382" s="295" t="s">
        <v>83</v>
      </c>
      <c r="B382" s="295" t="s">
        <v>435</v>
      </c>
      <c r="C382" s="295" t="s">
        <v>40</v>
      </c>
      <c r="D382" s="295" t="s">
        <v>279</v>
      </c>
      <c r="E382" s="297">
        <v>0.09</v>
      </c>
      <c r="F382" s="297">
        <v>0.09</v>
      </c>
      <c r="G382" s="297">
        <v>0.09</v>
      </c>
      <c r="H382" s="297">
        <v>0.09</v>
      </c>
      <c r="I382" s="297">
        <v>0.09</v>
      </c>
      <c r="J382" s="297">
        <v>0.09</v>
      </c>
      <c r="K382" s="297">
        <v>0.09</v>
      </c>
      <c r="L382" s="297">
        <v>0.09</v>
      </c>
      <c r="M382" s="297">
        <v>0.09</v>
      </c>
      <c r="N382" s="297">
        <v>0.09</v>
      </c>
      <c r="O382" s="297">
        <v>0.09</v>
      </c>
      <c r="P382" s="297">
        <v>0.09</v>
      </c>
      <c r="Q382" s="297">
        <v>0.09</v>
      </c>
      <c r="R382" s="297">
        <v>0.09</v>
      </c>
      <c r="S382" s="297">
        <v>0.09</v>
      </c>
      <c r="T382" s="297">
        <v>0.09</v>
      </c>
      <c r="U382" s="297">
        <v>0.09</v>
      </c>
      <c r="V382" s="328"/>
      <c r="W382" s="260" t="s">
        <v>203</v>
      </c>
      <c r="X382" s="198" t="s">
        <v>484</v>
      </c>
      <c r="Y382" s="157" t="b">
        <v>0</v>
      </c>
      <c r="Z382" s="157"/>
      <c r="AA382" s="157"/>
      <c r="AB382" s="157"/>
      <c r="AC382" s="157"/>
      <c r="AD382" s="157"/>
      <c r="AE382" s="157"/>
      <c r="AF382" s="157"/>
      <c r="AG382" s="157"/>
      <c r="AH382" s="157"/>
      <c r="AI382" s="157"/>
      <c r="AJ382" s="157"/>
      <c r="AK382" s="157"/>
      <c r="AL382" s="157"/>
      <c r="AM382" s="157"/>
      <c r="AN382" s="157"/>
      <c r="AO382" s="157"/>
      <c r="AP382" s="157"/>
    </row>
    <row r="383" spans="1:42" x14ac:dyDescent="0.25">
      <c r="A383" s="295" t="s">
        <v>83</v>
      </c>
      <c r="B383" s="295" t="s">
        <v>435</v>
      </c>
      <c r="C383" s="295" t="s">
        <v>40</v>
      </c>
      <c r="D383" s="295" t="s">
        <v>280</v>
      </c>
      <c r="E383" s="297">
        <v>0.09</v>
      </c>
      <c r="F383" s="297">
        <v>0.09</v>
      </c>
      <c r="G383" s="297">
        <v>0.09</v>
      </c>
      <c r="H383" s="297">
        <v>0.09</v>
      </c>
      <c r="I383" s="297">
        <v>0.09</v>
      </c>
      <c r="J383" s="297">
        <v>0.09</v>
      </c>
      <c r="K383" s="297">
        <v>0.09</v>
      </c>
      <c r="L383" s="297">
        <v>0.09</v>
      </c>
      <c r="M383" s="297">
        <v>0.09</v>
      </c>
      <c r="N383" s="297">
        <v>0.09</v>
      </c>
      <c r="O383" s="297">
        <v>0.09</v>
      </c>
      <c r="P383" s="297">
        <v>0.09</v>
      </c>
      <c r="Q383" s="297">
        <v>0.09</v>
      </c>
      <c r="R383" s="297">
        <v>0.09</v>
      </c>
      <c r="S383" s="297">
        <v>0.09</v>
      </c>
      <c r="T383" s="297">
        <v>0.09</v>
      </c>
      <c r="U383" s="297">
        <v>0.09</v>
      </c>
      <c r="V383" s="328"/>
      <c r="W383" s="260" t="s">
        <v>203</v>
      </c>
      <c r="X383" s="198" t="s">
        <v>484</v>
      </c>
      <c r="Y383" s="157" t="b">
        <v>0</v>
      </c>
      <c r="Z383" s="157"/>
      <c r="AA383" s="157"/>
      <c r="AB383" s="157"/>
      <c r="AC383" s="157"/>
      <c r="AD383" s="157"/>
      <c r="AE383" s="157"/>
      <c r="AF383" s="157"/>
      <c r="AG383" s="157"/>
      <c r="AH383" s="157"/>
      <c r="AI383" s="157"/>
      <c r="AJ383" s="157"/>
      <c r="AK383" s="157"/>
      <c r="AL383" s="157"/>
      <c r="AM383" s="157"/>
      <c r="AN383" s="157"/>
      <c r="AO383" s="157"/>
      <c r="AP383" s="157"/>
    </row>
    <row r="384" spans="1:42" x14ac:dyDescent="0.25">
      <c r="A384" s="295" t="s">
        <v>83</v>
      </c>
      <c r="B384" s="295" t="s">
        <v>435</v>
      </c>
      <c r="C384" s="295" t="s">
        <v>40</v>
      </c>
      <c r="D384" s="295" t="s">
        <v>281</v>
      </c>
      <c r="E384" s="297">
        <v>0.09</v>
      </c>
      <c r="F384" s="297">
        <v>0.09</v>
      </c>
      <c r="G384" s="297">
        <v>0.09</v>
      </c>
      <c r="H384" s="297">
        <v>0.09</v>
      </c>
      <c r="I384" s="297">
        <v>0.09</v>
      </c>
      <c r="J384" s="297">
        <v>0.09</v>
      </c>
      <c r="K384" s="297">
        <v>0.09</v>
      </c>
      <c r="L384" s="297">
        <v>0.09</v>
      </c>
      <c r="M384" s="297">
        <v>0.09</v>
      </c>
      <c r="N384" s="297">
        <v>0.09</v>
      </c>
      <c r="O384" s="297">
        <v>0.09</v>
      </c>
      <c r="P384" s="297">
        <v>0.09</v>
      </c>
      <c r="Q384" s="297">
        <v>0.09</v>
      </c>
      <c r="R384" s="297">
        <v>0.09</v>
      </c>
      <c r="S384" s="297">
        <v>0.09</v>
      </c>
      <c r="T384" s="297">
        <v>0.09</v>
      </c>
      <c r="U384" s="297">
        <v>0.09</v>
      </c>
      <c r="V384" s="328"/>
      <c r="W384" s="260" t="s">
        <v>203</v>
      </c>
      <c r="X384" s="198" t="s">
        <v>484</v>
      </c>
      <c r="Y384" s="157" t="b">
        <v>0</v>
      </c>
      <c r="Z384" s="157"/>
      <c r="AA384" s="157"/>
      <c r="AB384" s="157"/>
      <c r="AC384" s="157"/>
      <c r="AD384" s="157"/>
      <c r="AE384" s="157"/>
      <c r="AF384" s="157"/>
      <c r="AG384" s="157"/>
      <c r="AH384" s="157"/>
      <c r="AI384" s="157"/>
      <c r="AJ384" s="157"/>
      <c r="AK384" s="157"/>
      <c r="AL384" s="157"/>
      <c r="AM384" s="157"/>
      <c r="AN384" s="157"/>
      <c r="AO384" s="157"/>
      <c r="AP384" s="157"/>
    </row>
    <row r="385" spans="1:42" x14ac:dyDescent="0.25">
      <c r="A385" s="295" t="s">
        <v>83</v>
      </c>
      <c r="B385" s="295" t="s">
        <v>435</v>
      </c>
      <c r="C385" s="295" t="s">
        <v>40</v>
      </c>
      <c r="D385" s="295" t="s">
        <v>282</v>
      </c>
      <c r="E385" s="297">
        <v>0.09</v>
      </c>
      <c r="F385" s="297">
        <v>0.09</v>
      </c>
      <c r="G385" s="297">
        <v>0.09</v>
      </c>
      <c r="H385" s="297">
        <v>0.09</v>
      </c>
      <c r="I385" s="297">
        <v>0.09</v>
      </c>
      <c r="J385" s="297">
        <v>0.09</v>
      </c>
      <c r="K385" s="297">
        <v>0.09</v>
      </c>
      <c r="L385" s="297">
        <v>0.09</v>
      </c>
      <c r="M385" s="297">
        <v>0.09</v>
      </c>
      <c r="N385" s="297">
        <v>0.09</v>
      </c>
      <c r="O385" s="297">
        <v>0.09</v>
      </c>
      <c r="P385" s="297">
        <v>0.09</v>
      </c>
      <c r="Q385" s="297">
        <v>0.09</v>
      </c>
      <c r="R385" s="297">
        <v>0.09</v>
      </c>
      <c r="S385" s="297">
        <v>0.09</v>
      </c>
      <c r="T385" s="297">
        <v>0.09</v>
      </c>
      <c r="U385" s="297">
        <v>0.09</v>
      </c>
      <c r="V385" s="328"/>
      <c r="W385" s="260" t="s">
        <v>203</v>
      </c>
      <c r="X385" s="198" t="s">
        <v>484</v>
      </c>
      <c r="Y385" s="157" t="b">
        <v>0</v>
      </c>
      <c r="Z385" s="157"/>
      <c r="AA385" s="157"/>
      <c r="AB385" s="157"/>
      <c r="AC385" s="157"/>
      <c r="AD385" s="157"/>
      <c r="AE385" s="157"/>
      <c r="AF385" s="157"/>
      <c r="AG385" s="157"/>
      <c r="AH385" s="157"/>
      <c r="AI385" s="157"/>
      <c r="AJ385" s="157"/>
      <c r="AK385" s="157"/>
      <c r="AL385" s="157"/>
      <c r="AM385" s="157"/>
      <c r="AN385" s="157"/>
      <c r="AO385" s="157"/>
      <c r="AP385" s="157"/>
    </row>
    <row r="386" spans="1:42" x14ac:dyDescent="0.25">
      <c r="A386" s="295" t="s">
        <v>83</v>
      </c>
      <c r="B386" s="295" t="s">
        <v>435</v>
      </c>
      <c r="C386" s="295" t="s">
        <v>42</v>
      </c>
      <c r="D386" s="295" t="s">
        <v>282</v>
      </c>
      <c r="E386" s="297">
        <v>0.09</v>
      </c>
      <c r="F386" s="297">
        <v>0.09</v>
      </c>
      <c r="G386" s="297">
        <v>0.09</v>
      </c>
      <c r="H386" s="297">
        <v>0.09</v>
      </c>
      <c r="I386" s="297">
        <v>0.09</v>
      </c>
      <c r="J386" s="297">
        <v>0.09</v>
      </c>
      <c r="K386" s="297">
        <v>0.09</v>
      </c>
      <c r="L386" s="297">
        <v>0.09</v>
      </c>
      <c r="M386" s="297">
        <v>0.09</v>
      </c>
      <c r="N386" s="297">
        <v>0.09</v>
      </c>
      <c r="O386" s="297">
        <v>0.09</v>
      </c>
      <c r="P386" s="297">
        <v>0.09</v>
      </c>
      <c r="Q386" s="297">
        <v>0.09</v>
      </c>
      <c r="R386" s="297">
        <v>0.09</v>
      </c>
      <c r="S386" s="297">
        <v>0.09</v>
      </c>
      <c r="T386" s="297">
        <v>0.09</v>
      </c>
      <c r="U386" s="297">
        <v>0.09</v>
      </c>
      <c r="V386" s="328"/>
      <c r="W386" s="260" t="s">
        <v>203</v>
      </c>
      <c r="X386" s="198" t="s">
        <v>484</v>
      </c>
      <c r="Y386" s="157" t="b">
        <v>0</v>
      </c>
      <c r="Z386" s="157"/>
      <c r="AA386" s="157"/>
      <c r="AB386" s="157"/>
      <c r="AC386" s="157"/>
      <c r="AD386" s="157"/>
      <c r="AE386" s="157"/>
      <c r="AF386" s="157"/>
      <c r="AG386" s="157"/>
      <c r="AH386" s="157"/>
      <c r="AI386" s="157"/>
      <c r="AJ386" s="157"/>
      <c r="AK386" s="157"/>
      <c r="AL386" s="157"/>
      <c r="AM386" s="157"/>
      <c r="AN386" s="157"/>
      <c r="AO386" s="157"/>
      <c r="AP386" s="157"/>
    </row>
    <row r="387" spans="1:42" x14ac:dyDescent="0.25">
      <c r="A387" s="295" t="s">
        <v>83</v>
      </c>
      <c r="B387" s="295" t="s">
        <v>435</v>
      </c>
      <c r="C387" s="295" t="s">
        <v>42</v>
      </c>
      <c r="D387" s="295" t="s">
        <v>276</v>
      </c>
      <c r="E387" s="297">
        <v>0.09</v>
      </c>
      <c r="F387" s="297">
        <v>0.09</v>
      </c>
      <c r="G387" s="297">
        <v>0.09</v>
      </c>
      <c r="H387" s="297">
        <v>0.09</v>
      </c>
      <c r="I387" s="297">
        <v>0.09</v>
      </c>
      <c r="J387" s="297">
        <v>0.09</v>
      </c>
      <c r="K387" s="297">
        <v>0.09</v>
      </c>
      <c r="L387" s="297">
        <v>0.09</v>
      </c>
      <c r="M387" s="297">
        <v>0.09</v>
      </c>
      <c r="N387" s="297">
        <v>0.09</v>
      </c>
      <c r="O387" s="297">
        <v>0.09</v>
      </c>
      <c r="P387" s="297">
        <v>0.09</v>
      </c>
      <c r="Q387" s="297">
        <v>0.09</v>
      </c>
      <c r="R387" s="297">
        <v>0.09</v>
      </c>
      <c r="S387" s="297">
        <v>0.09</v>
      </c>
      <c r="T387" s="297">
        <v>0.09</v>
      </c>
      <c r="U387" s="297">
        <v>0.09</v>
      </c>
      <c r="V387" s="328"/>
      <c r="W387" s="260" t="s">
        <v>203</v>
      </c>
      <c r="X387" s="198" t="s">
        <v>484</v>
      </c>
      <c r="Y387" s="157" t="b">
        <v>0</v>
      </c>
      <c r="Z387" s="157"/>
      <c r="AA387" s="157"/>
      <c r="AB387" s="157"/>
      <c r="AC387" s="157"/>
      <c r="AD387" s="157"/>
      <c r="AE387" s="157"/>
      <c r="AF387" s="157"/>
      <c r="AG387" s="157"/>
      <c r="AH387" s="157"/>
      <c r="AI387" s="157"/>
      <c r="AJ387" s="157"/>
      <c r="AK387" s="157"/>
      <c r="AL387" s="157"/>
      <c r="AM387" s="157"/>
      <c r="AN387" s="157"/>
      <c r="AO387" s="157"/>
      <c r="AP387" s="157"/>
    </row>
    <row r="388" spans="1:42" x14ac:dyDescent="0.25">
      <c r="A388" s="295" t="s">
        <v>83</v>
      </c>
      <c r="B388" s="295" t="s">
        <v>435</v>
      </c>
      <c r="C388" s="295" t="s">
        <v>42</v>
      </c>
      <c r="D388" s="295" t="s">
        <v>279</v>
      </c>
      <c r="E388" s="297">
        <v>0.09</v>
      </c>
      <c r="F388" s="297">
        <v>0.09</v>
      </c>
      <c r="G388" s="297">
        <v>0.09</v>
      </c>
      <c r="H388" s="297">
        <v>0.09</v>
      </c>
      <c r="I388" s="297">
        <v>0.09</v>
      </c>
      <c r="J388" s="297">
        <v>0.09</v>
      </c>
      <c r="K388" s="297">
        <v>0.09</v>
      </c>
      <c r="L388" s="297">
        <v>0.09</v>
      </c>
      <c r="M388" s="297">
        <v>0.09</v>
      </c>
      <c r="N388" s="297">
        <v>0.09</v>
      </c>
      <c r="O388" s="297">
        <v>0.09</v>
      </c>
      <c r="P388" s="297">
        <v>0.09</v>
      </c>
      <c r="Q388" s="297">
        <v>0.09</v>
      </c>
      <c r="R388" s="297">
        <v>0.09</v>
      </c>
      <c r="S388" s="297">
        <v>0.09</v>
      </c>
      <c r="T388" s="297">
        <v>0.09</v>
      </c>
      <c r="U388" s="297">
        <v>0.09</v>
      </c>
      <c r="V388" s="328"/>
      <c r="W388" s="260" t="s">
        <v>203</v>
      </c>
      <c r="X388" s="198" t="s">
        <v>484</v>
      </c>
      <c r="Y388" s="157" t="b">
        <v>0</v>
      </c>
      <c r="Z388" s="157"/>
      <c r="AA388" s="157"/>
      <c r="AB388" s="157"/>
      <c r="AC388" s="157"/>
      <c r="AD388" s="157"/>
      <c r="AE388" s="157"/>
      <c r="AF388" s="157"/>
      <c r="AG388" s="157"/>
      <c r="AH388" s="157"/>
      <c r="AI388" s="157"/>
      <c r="AJ388" s="157"/>
      <c r="AK388" s="157"/>
      <c r="AL388" s="157"/>
      <c r="AM388" s="157"/>
      <c r="AN388" s="157"/>
      <c r="AO388" s="157"/>
      <c r="AP388" s="157"/>
    </row>
    <row r="389" spans="1:42" x14ac:dyDescent="0.25">
      <c r="A389" s="295" t="s">
        <v>83</v>
      </c>
      <c r="B389" s="295" t="s">
        <v>435</v>
      </c>
      <c r="C389" s="295" t="s">
        <v>42</v>
      </c>
      <c r="D389" s="295" t="s">
        <v>280</v>
      </c>
      <c r="E389" s="297">
        <v>0.09</v>
      </c>
      <c r="F389" s="297">
        <v>0.09</v>
      </c>
      <c r="G389" s="297">
        <v>0.09</v>
      </c>
      <c r="H389" s="297">
        <v>0.09</v>
      </c>
      <c r="I389" s="297">
        <v>0.09</v>
      </c>
      <c r="J389" s="297">
        <v>0.09</v>
      </c>
      <c r="K389" s="297">
        <v>0.09</v>
      </c>
      <c r="L389" s="297">
        <v>0.09</v>
      </c>
      <c r="M389" s="297">
        <v>0.09</v>
      </c>
      <c r="N389" s="297">
        <v>0.09</v>
      </c>
      <c r="O389" s="297">
        <v>0.09</v>
      </c>
      <c r="P389" s="297">
        <v>0.09</v>
      </c>
      <c r="Q389" s="297">
        <v>0.09</v>
      </c>
      <c r="R389" s="297">
        <v>0.09</v>
      </c>
      <c r="S389" s="297">
        <v>0.09</v>
      </c>
      <c r="T389" s="297">
        <v>0.09</v>
      </c>
      <c r="U389" s="297">
        <v>0.09</v>
      </c>
      <c r="V389" s="328"/>
      <c r="W389" s="260" t="s">
        <v>203</v>
      </c>
      <c r="X389" s="198" t="s">
        <v>484</v>
      </c>
      <c r="Y389" s="157" t="b">
        <v>0</v>
      </c>
      <c r="Z389" s="157"/>
      <c r="AA389" s="157"/>
      <c r="AB389" s="157"/>
      <c r="AC389" s="157"/>
      <c r="AD389" s="157"/>
      <c r="AE389" s="157"/>
      <c r="AF389" s="157"/>
      <c r="AG389" s="157"/>
      <c r="AH389" s="157"/>
      <c r="AI389" s="157"/>
      <c r="AJ389" s="157"/>
      <c r="AK389" s="157"/>
      <c r="AL389" s="157"/>
      <c r="AM389" s="157"/>
      <c r="AN389" s="157"/>
      <c r="AO389" s="157"/>
      <c r="AP389" s="157"/>
    </row>
    <row r="390" spans="1:42" x14ac:dyDescent="0.25">
      <c r="A390" s="295" t="s">
        <v>83</v>
      </c>
      <c r="B390" s="295" t="s">
        <v>435</v>
      </c>
      <c r="C390" s="295" t="s">
        <v>42</v>
      </c>
      <c r="D390" s="295" t="s">
        <v>281</v>
      </c>
      <c r="E390" s="297">
        <v>0.09</v>
      </c>
      <c r="F390" s="297">
        <v>0.09</v>
      </c>
      <c r="G390" s="297">
        <v>0.09</v>
      </c>
      <c r="H390" s="297">
        <v>0.09</v>
      </c>
      <c r="I390" s="297">
        <v>0.09</v>
      </c>
      <c r="J390" s="297">
        <v>0.09</v>
      </c>
      <c r="K390" s="297">
        <v>0.09</v>
      </c>
      <c r="L390" s="297">
        <v>0.09</v>
      </c>
      <c r="M390" s="297">
        <v>0.09</v>
      </c>
      <c r="N390" s="297">
        <v>0.09</v>
      </c>
      <c r="O390" s="297">
        <v>0.09</v>
      </c>
      <c r="P390" s="297">
        <v>0.09</v>
      </c>
      <c r="Q390" s="297">
        <v>0.09</v>
      </c>
      <c r="R390" s="297">
        <v>0.09</v>
      </c>
      <c r="S390" s="297">
        <v>0.09</v>
      </c>
      <c r="T390" s="297">
        <v>0.09</v>
      </c>
      <c r="U390" s="297">
        <v>0.09</v>
      </c>
      <c r="V390" s="328"/>
      <c r="W390" s="260" t="s">
        <v>203</v>
      </c>
      <c r="X390" s="198" t="s">
        <v>484</v>
      </c>
      <c r="Y390" s="157" t="b">
        <v>0</v>
      </c>
      <c r="Z390" s="157"/>
      <c r="AA390" s="157"/>
      <c r="AB390" s="157"/>
      <c r="AC390" s="157"/>
      <c r="AD390" s="157"/>
      <c r="AE390" s="157"/>
      <c r="AF390" s="157"/>
      <c r="AG390" s="157"/>
      <c r="AH390" s="157"/>
      <c r="AI390" s="157"/>
      <c r="AJ390" s="157"/>
      <c r="AK390" s="157"/>
      <c r="AL390" s="157"/>
      <c r="AM390" s="157"/>
      <c r="AN390" s="157"/>
      <c r="AO390" s="157"/>
      <c r="AP390" s="157"/>
    </row>
    <row r="391" spans="1:42" x14ac:dyDescent="0.25">
      <c r="A391" s="295" t="s">
        <v>84</v>
      </c>
      <c r="B391" s="295" t="s">
        <v>435</v>
      </c>
      <c r="C391" s="295" t="s">
        <v>40</v>
      </c>
      <c r="D391" s="295" t="s">
        <v>276</v>
      </c>
      <c r="E391" s="297">
        <v>2.6256333097901485E-2</v>
      </c>
      <c r="F391" s="297">
        <v>2.8293498699336377E-2</v>
      </c>
      <c r="G391" s="297">
        <v>3.0488723069762181E-2</v>
      </c>
      <c r="H391" s="297">
        <v>3.2854269608107937E-2</v>
      </c>
      <c r="I391" s="297">
        <v>3.5906914040166153E-2</v>
      </c>
      <c r="J391" s="297">
        <v>3.9243193997826692E-2</v>
      </c>
      <c r="K391" s="297">
        <v>4.2889463389372752E-2</v>
      </c>
      <c r="L391" s="297">
        <v>4.68745247884313E-2</v>
      </c>
      <c r="M391" s="297">
        <v>5.1229856950966025E-2</v>
      </c>
      <c r="N391" s="297">
        <v>5.5989863471942264E-2</v>
      </c>
      <c r="O391" s="297">
        <v>6.1192144545850063E-2</v>
      </c>
      <c r="P391" s="297">
        <v>6.687779397777327E-2</v>
      </c>
      <c r="Q391" s="297">
        <v>7.3091723791151433E-2</v>
      </c>
      <c r="R391" s="297">
        <v>7.9883018996372859E-2</v>
      </c>
      <c r="S391" s="297">
        <v>8.7305325322583158E-2</v>
      </c>
      <c r="T391" s="297">
        <v>9.5417272975476447E-2</v>
      </c>
      <c r="U391" s="297">
        <v>0.10428293976841239</v>
      </c>
      <c r="V391" s="328"/>
      <c r="W391" s="260" t="s">
        <v>203</v>
      </c>
      <c r="X391" s="198" t="s">
        <v>485</v>
      </c>
      <c r="Y391" s="157" t="b">
        <v>1</v>
      </c>
      <c r="Z391" s="157"/>
      <c r="AA391" s="157"/>
      <c r="AB391" s="157"/>
      <c r="AC391" s="157"/>
      <c r="AD391" s="157"/>
      <c r="AE391" s="157"/>
      <c r="AF391" s="157"/>
      <c r="AG391" s="157"/>
      <c r="AH391" s="157"/>
      <c r="AI391" s="157"/>
      <c r="AJ391" s="157"/>
      <c r="AK391" s="157"/>
      <c r="AL391" s="157"/>
      <c r="AM391" s="157"/>
      <c r="AN391" s="157"/>
      <c r="AO391" s="157"/>
      <c r="AP391" s="157"/>
    </row>
    <row r="392" spans="1:42" x14ac:dyDescent="0.25">
      <c r="A392" s="295" t="s">
        <v>84</v>
      </c>
      <c r="B392" s="295" t="s">
        <v>435</v>
      </c>
      <c r="C392" s="295" t="s">
        <v>40</v>
      </c>
      <c r="D392" s="295" t="s">
        <v>279</v>
      </c>
      <c r="E392" s="297">
        <v>2.6256333097901485E-2</v>
      </c>
      <c r="F392" s="297">
        <v>2.8293498699336377E-2</v>
      </c>
      <c r="G392" s="297">
        <v>3.0488723069762181E-2</v>
      </c>
      <c r="H392" s="297">
        <v>3.2854269608107937E-2</v>
      </c>
      <c r="I392" s="297">
        <v>3.5906914040166153E-2</v>
      </c>
      <c r="J392" s="297">
        <v>3.9243193997826692E-2</v>
      </c>
      <c r="K392" s="297">
        <v>4.2889463389372752E-2</v>
      </c>
      <c r="L392" s="297">
        <v>4.68745247884313E-2</v>
      </c>
      <c r="M392" s="297">
        <v>5.1229856950966025E-2</v>
      </c>
      <c r="N392" s="297">
        <v>5.5989863471942264E-2</v>
      </c>
      <c r="O392" s="297">
        <v>6.1192144545850063E-2</v>
      </c>
      <c r="P392" s="297">
        <v>6.687779397777327E-2</v>
      </c>
      <c r="Q392" s="297">
        <v>7.3091723791151433E-2</v>
      </c>
      <c r="R392" s="297">
        <v>7.9883018996372859E-2</v>
      </c>
      <c r="S392" s="297">
        <v>8.7305325322583158E-2</v>
      </c>
      <c r="T392" s="297">
        <v>9.5417272975476447E-2</v>
      </c>
      <c r="U392" s="297">
        <v>0.10428293976841239</v>
      </c>
      <c r="V392" s="328"/>
      <c r="W392" s="260" t="s">
        <v>203</v>
      </c>
      <c r="X392" s="198" t="s">
        <v>485</v>
      </c>
      <c r="Y392" s="157" t="b">
        <v>1</v>
      </c>
      <c r="Z392" s="157"/>
      <c r="AA392" s="157"/>
      <c r="AB392" s="157"/>
      <c r="AC392" s="157"/>
      <c r="AD392" s="157"/>
      <c r="AE392" s="157"/>
      <c r="AF392" s="157"/>
      <c r="AG392" s="157"/>
      <c r="AH392" s="157"/>
      <c r="AI392" s="157"/>
      <c r="AJ392" s="157"/>
      <c r="AK392" s="157"/>
      <c r="AL392" s="157"/>
      <c r="AM392" s="157"/>
      <c r="AN392" s="157"/>
      <c r="AO392" s="157"/>
      <c r="AP392" s="157"/>
    </row>
    <row r="393" spans="1:42" x14ac:dyDescent="0.25">
      <c r="A393" s="295" t="s">
        <v>84</v>
      </c>
      <c r="B393" s="295" t="s">
        <v>435</v>
      </c>
      <c r="C393" s="295" t="s">
        <v>40</v>
      </c>
      <c r="D393" s="295" t="s">
        <v>280</v>
      </c>
      <c r="E393" s="297">
        <v>2.6256333097901485E-2</v>
      </c>
      <c r="F393" s="297">
        <v>2.8293498699336377E-2</v>
      </c>
      <c r="G393" s="297">
        <v>3.0488723069762181E-2</v>
      </c>
      <c r="H393" s="297">
        <v>3.2854269608107937E-2</v>
      </c>
      <c r="I393" s="297">
        <v>3.5906914040166153E-2</v>
      </c>
      <c r="J393" s="297">
        <v>3.9243193997826692E-2</v>
      </c>
      <c r="K393" s="297">
        <v>4.2889463389372752E-2</v>
      </c>
      <c r="L393" s="297">
        <v>4.68745247884313E-2</v>
      </c>
      <c r="M393" s="297">
        <v>5.1229856950966025E-2</v>
      </c>
      <c r="N393" s="297">
        <v>5.5989863471942264E-2</v>
      </c>
      <c r="O393" s="297">
        <v>6.1192144545850063E-2</v>
      </c>
      <c r="P393" s="297">
        <v>6.687779397777327E-2</v>
      </c>
      <c r="Q393" s="297">
        <v>7.3091723791151433E-2</v>
      </c>
      <c r="R393" s="297">
        <v>7.9883018996372859E-2</v>
      </c>
      <c r="S393" s="297">
        <v>8.7305325322583158E-2</v>
      </c>
      <c r="T393" s="297">
        <v>9.5417272975476447E-2</v>
      </c>
      <c r="U393" s="297">
        <v>0.10428293976841239</v>
      </c>
      <c r="V393" s="328"/>
      <c r="W393" s="260" t="s">
        <v>203</v>
      </c>
      <c r="X393" s="198" t="s">
        <v>485</v>
      </c>
      <c r="Y393" s="157" t="b">
        <v>1</v>
      </c>
      <c r="Z393" s="157"/>
      <c r="AA393" s="157"/>
      <c r="AB393" s="157"/>
      <c r="AC393" s="157"/>
      <c r="AD393" s="157"/>
      <c r="AE393" s="157"/>
      <c r="AF393" s="157"/>
      <c r="AG393" s="157"/>
      <c r="AH393" s="157"/>
      <c r="AI393" s="157"/>
      <c r="AJ393" s="157"/>
      <c r="AK393" s="157"/>
      <c r="AL393" s="157"/>
      <c r="AM393" s="157"/>
      <c r="AN393" s="157"/>
      <c r="AO393" s="157"/>
      <c r="AP393" s="157"/>
    </row>
    <row r="394" spans="1:42" x14ac:dyDescent="0.25">
      <c r="A394" s="295" t="s">
        <v>84</v>
      </c>
      <c r="B394" s="295" t="s">
        <v>435</v>
      </c>
      <c r="C394" s="295" t="s">
        <v>40</v>
      </c>
      <c r="D394" s="295" t="s">
        <v>281</v>
      </c>
      <c r="E394" s="297">
        <v>2.6256333097901485E-2</v>
      </c>
      <c r="F394" s="297">
        <v>2.8293498699336377E-2</v>
      </c>
      <c r="G394" s="297">
        <v>3.0488723069762181E-2</v>
      </c>
      <c r="H394" s="297">
        <v>3.2854269608107937E-2</v>
      </c>
      <c r="I394" s="297">
        <v>3.5906914040166153E-2</v>
      </c>
      <c r="J394" s="297">
        <v>3.9243193997826692E-2</v>
      </c>
      <c r="K394" s="297">
        <v>4.2889463389372752E-2</v>
      </c>
      <c r="L394" s="297">
        <v>4.68745247884313E-2</v>
      </c>
      <c r="M394" s="297">
        <v>5.1229856950966025E-2</v>
      </c>
      <c r="N394" s="297">
        <v>5.5989863471942264E-2</v>
      </c>
      <c r="O394" s="297">
        <v>6.1192144545850063E-2</v>
      </c>
      <c r="P394" s="297">
        <v>6.687779397777327E-2</v>
      </c>
      <c r="Q394" s="297">
        <v>7.3091723791151433E-2</v>
      </c>
      <c r="R394" s="297">
        <v>7.9883018996372859E-2</v>
      </c>
      <c r="S394" s="297">
        <v>8.7305325322583158E-2</v>
      </c>
      <c r="T394" s="297">
        <v>9.5417272975476447E-2</v>
      </c>
      <c r="U394" s="297">
        <v>0.10428293976841239</v>
      </c>
      <c r="V394" s="328"/>
      <c r="W394" s="260" t="s">
        <v>203</v>
      </c>
      <c r="X394" s="198" t="s">
        <v>485</v>
      </c>
      <c r="Y394" s="157" t="b">
        <v>1</v>
      </c>
      <c r="Z394" s="157"/>
      <c r="AA394" s="157"/>
      <c r="AB394" s="157"/>
      <c r="AC394" s="157"/>
      <c r="AD394" s="157"/>
      <c r="AE394" s="157"/>
      <c r="AF394" s="157"/>
      <c r="AG394" s="157"/>
      <c r="AH394" s="157"/>
      <c r="AI394" s="157"/>
      <c r="AJ394" s="157"/>
      <c r="AK394" s="157"/>
      <c r="AL394" s="157"/>
      <c r="AM394" s="157"/>
      <c r="AN394" s="157"/>
      <c r="AO394" s="157"/>
      <c r="AP394" s="157"/>
    </row>
    <row r="395" spans="1:42" x14ac:dyDescent="0.25">
      <c r="A395" s="295" t="s">
        <v>84</v>
      </c>
      <c r="B395" s="295" t="s">
        <v>435</v>
      </c>
      <c r="C395" s="295" t="s">
        <v>40</v>
      </c>
      <c r="D395" s="295" t="s">
        <v>282</v>
      </c>
      <c r="E395" s="297">
        <v>2.6256333097901485E-2</v>
      </c>
      <c r="F395" s="297">
        <v>2.8293498699336377E-2</v>
      </c>
      <c r="G395" s="297">
        <v>3.0488723069762181E-2</v>
      </c>
      <c r="H395" s="297">
        <v>3.2854269608107937E-2</v>
      </c>
      <c r="I395" s="297">
        <v>3.5906914040166153E-2</v>
      </c>
      <c r="J395" s="297">
        <v>3.9243193997826692E-2</v>
      </c>
      <c r="K395" s="297">
        <v>4.2889463389372752E-2</v>
      </c>
      <c r="L395" s="297">
        <v>4.68745247884313E-2</v>
      </c>
      <c r="M395" s="297">
        <v>5.1229856950966025E-2</v>
      </c>
      <c r="N395" s="297">
        <v>5.5989863471942264E-2</v>
      </c>
      <c r="O395" s="297">
        <v>6.1192144545850063E-2</v>
      </c>
      <c r="P395" s="297">
        <v>6.687779397777327E-2</v>
      </c>
      <c r="Q395" s="297">
        <v>7.3091723791151433E-2</v>
      </c>
      <c r="R395" s="297">
        <v>7.9883018996372859E-2</v>
      </c>
      <c r="S395" s="297">
        <v>8.7305325322583158E-2</v>
      </c>
      <c r="T395" s="297">
        <v>9.5417272975476447E-2</v>
      </c>
      <c r="U395" s="297">
        <v>0.10428293976841239</v>
      </c>
      <c r="V395" s="328"/>
      <c r="W395" s="260" t="s">
        <v>203</v>
      </c>
      <c r="X395" s="198" t="s">
        <v>485</v>
      </c>
      <c r="Y395" s="157" t="b">
        <v>1</v>
      </c>
      <c r="Z395" s="157"/>
      <c r="AA395" s="157"/>
      <c r="AB395" s="157"/>
      <c r="AC395" s="157"/>
      <c r="AD395" s="157"/>
      <c r="AE395" s="157"/>
      <c r="AF395" s="157"/>
      <c r="AG395" s="157"/>
      <c r="AH395" s="157"/>
      <c r="AI395" s="157"/>
      <c r="AJ395" s="157"/>
      <c r="AK395" s="157"/>
      <c r="AL395" s="157"/>
      <c r="AM395" s="157"/>
      <c r="AN395" s="157"/>
      <c r="AO395" s="157"/>
      <c r="AP395" s="157"/>
    </row>
    <row r="396" spans="1:42" x14ac:dyDescent="0.25">
      <c r="A396" s="295" t="s">
        <v>84</v>
      </c>
      <c r="B396" s="295" t="s">
        <v>435</v>
      </c>
      <c r="C396" s="295" t="s">
        <v>42</v>
      </c>
      <c r="D396" s="295" t="s">
        <v>282</v>
      </c>
      <c r="E396" s="297">
        <v>2.6256333097901485E-2</v>
      </c>
      <c r="F396" s="297">
        <v>2.8293498699336377E-2</v>
      </c>
      <c r="G396" s="297">
        <v>3.0488723069762181E-2</v>
      </c>
      <c r="H396" s="297">
        <v>3.2854269608107937E-2</v>
      </c>
      <c r="I396" s="297">
        <v>3.5906914040166153E-2</v>
      </c>
      <c r="J396" s="297">
        <v>3.9243193997826692E-2</v>
      </c>
      <c r="K396" s="297">
        <v>4.2889463389372752E-2</v>
      </c>
      <c r="L396" s="297">
        <v>4.68745247884313E-2</v>
      </c>
      <c r="M396" s="297">
        <v>5.1229856950966025E-2</v>
      </c>
      <c r="N396" s="297">
        <v>5.5989863471942264E-2</v>
      </c>
      <c r="O396" s="297">
        <v>6.1192144545850063E-2</v>
      </c>
      <c r="P396" s="297">
        <v>6.687779397777327E-2</v>
      </c>
      <c r="Q396" s="297">
        <v>7.3091723791151433E-2</v>
      </c>
      <c r="R396" s="297">
        <v>7.9883018996372859E-2</v>
      </c>
      <c r="S396" s="297">
        <v>8.7305325322583158E-2</v>
      </c>
      <c r="T396" s="297">
        <v>9.5417272975476447E-2</v>
      </c>
      <c r="U396" s="297">
        <v>0.10428293976841239</v>
      </c>
      <c r="V396" s="328"/>
      <c r="W396" s="260" t="s">
        <v>203</v>
      </c>
      <c r="X396" s="198" t="s">
        <v>485</v>
      </c>
      <c r="Y396" s="157" t="b">
        <v>1</v>
      </c>
      <c r="Z396" s="157"/>
      <c r="AA396" s="157"/>
      <c r="AB396" s="157"/>
      <c r="AC396" s="157"/>
      <c r="AD396" s="157"/>
      <c r="AE396" s="157"/>
      <c r="AF396" s="157"/>
      <c r="AG396" s="157"/>
      <c r="AH396" s="157"/>
      <c r="AI396" s="157"/>
      <c r="AJ396" s="157"/>
      <c r="AK396" s="157"/>
      <c r="AL396" s="157"/>
      <c r="AM396" s="157"/>
      <c r="AN396" s="157"/>
      <c r="AO396" s="157"/>
      <c r="AP396" s="157"/>
    </row>
    <row r="397" spans="1:42" x14ac:dyDescent="0.25">
      <c r="A397" s="295" t="s">
        <v>84</v>
      </c>
      <c r="B397" s="295" t="s">
        <v>435</v>
      </c>
      <c r="C397" s="295" t="s">
        <v>42</v>
      </c>
      <c r="D397" s="295" t="s">
        <v>276</v>
      </c>
      <c r="E397" s="297">
        <v>2.6256333097901485E-2</v>
      </c>
      <c r="F397" s="297">
        <v>2.8293498699336377E-2</v>
      </c>
      <c r="G397" s="297">
        <v>3.0488723069762181E-2</v>
      </c>
      <c r="H397" s="297">
        <v>3.2854269608107937E-2</v>
      </c>
      <c r="I397" s="297">
        <v>3.5906914040166153E-2</v>
      </c>
      <c r="J397" s="297">
        <v>3.9243193997826692E-2</v>
      </c>
      <c r="K397" s="297">
        <v>4.2889463389372752E-2</v>
      </c>
      <c r="L397" s="297">
        <v>4.68745247884313E-2</v>
      </c>
      <c r="M397" s="297">
        <v>5.1229856950966025E-2</v>
      </c>
      <c r="N397" s="297">
        <v>5.5989863471942264E-2</v>
      </c>
      <c r="O397" s="297">
        <v>6.1192144545850063E-2</v>
      </c>
      <c r="P397" s="297">
        <v>6.687779397777327E-2</v>
      </c>
      <c r="Q397" s="297">
        <v>7.3091723791151433E-2</v>
      </c>
      <c r="R397" s="297">
        <v>7.9883018996372859E-2</v>
      </c>
      <c r="S397" s="297">
        <v>8.7305325322583158E-2</v>
      </c>
      <c r="T397" s="297">
        <v>9.5417272975476447E-2</v>
      </c>
      <c r="U397" s="297">
        <v>0.10428293976841239</v>
      </c>
      <c r="V397" s="328"/>
      <c r="W397" s="260" t="s">
        <v>203</v>
      </c>
      <c r="X397" s="198" t="s">
        <v>485</v>
      </c>
      <c r="Y397" s="157" t="b">
        <v>1</v>
      </c>
      <c r="Z397" s="157"/>
      <c r="AA397" s="157"/>
      <c r="AB397" s="157"/>
      <c r="AC397" s="157"/>
      <c r="AD397" s="157"/>
      <c r="AE397" s="157"/>
      <c r="AF397" s="157"/>
      <c r="AG397" s="157"/>
      <c r="AH397" s="157"/>
      <c r="AI397" s="157"/>
      <c r="AJ397" s="157"/>
      <c r="AK397" s="157"/>
      <c r="AL397" s="157"/>
      <c r="AM397" s="157"/>
      <c r="AN397" s="157"/>
      <c r="AO397" s="157"/>
      <c r="AP397" s="157"/>
    </row>
    <row r="398" spans="1:42" x14ac:dyDescent="0.25">
      <c r="A398" s="295" t="s">
        <v>84</v>
      </c>
      <c r="B398" s="295" t="s">
        <v>435</v>
      </c>
      <c r="C398" s="295" t="s">
        <v>42</v>
      </c>
      <c r="D398" s="295" t="s">
        <v>279</v>
      </c>
      <c r="E398" s="297">
        <v>2.6256333097901485E-2</v>
      </c>
      <c r="F398" s="297">
        <v>2.8293498699336377E-2</v>
      </c>
      <c r="G398" s="297">
        <v>3.0488723069762181E-2</v>
      </c>
      <c r="H398" s="297">
        <v>3.2854269608107937E-2</v>
      </c>
      <c r="I398" s="297">
        <v>3.5906914040166153E-2</v>
      </c>
      <c r="J398" s="297">
        <v>3.9243193997826692E-2</v>
      </c>
      <c r="K398" s="297">
        <v>4.2889463389372752E-2</v>
      </c>
      <c r="L398" s="297">
        <v>4.68745247884313E-2</v>
      </c>
      <c r="M398" s="297">
        <v>5.1229856950966025E-2</v>
      </c>
      <c r="N398" s="297">
        <v>5.5989863471942264E-2</v>
      </c>
      <c r="O398" s="297">
        <v>6.1192144545850063E-2</v>
      </c>
      <c r="P398" s="297">
        <v>6.687779397777327E-2</v>
      </c>
      <c r="Q398" s="297">
        <v>7.3091723791151433E-2</v>
      </c>
      <c r="R398" s="297">
        <v>7.9883018996372859E-2</v>
      </c>
      <c r="S398" s="297">
        <v>8.7305325322583158E-2</v>
      </c>
      <c r="T398" s="297">
        <v>9.5417272975476447E-2</v>
      </c>
      <c r="U398" s="297">
        <v>0.10428293976841239</v>
      </c>
      <c r="V398" s="328"/>
      <c r="W398" s="260" t="s">
        <v>203</v>
      </c>
      <c r="X398" s="198" t="s">
        <v>485</v>
      </c>
      <c r="Y398" s="157" t="b">
        <v>1</v>
      </c>
      <c r="Z398" s="157"/>
      <c r="AA398" s="157"/>
      <c r="AB398" s="157"/>
      <c r="AC398" s="157"/>
      <c r="AD398" s="157"/>
      <c r="AE398" s="157"/>
      <c r="AF398" s="157"/>
      <c r="AG398" s="157"/>
      <c r="AH398" s="157"/>
      <c r="AI398" s="157"/>
      <c r="AJ398" s="157"/>
      <c r="AK398" s="157"/>
      <c r="AL398" s="157"/>
      <c r="AM398" s="157"/>
      <c r="AN398" s="157"/>
      <c r="AO398" s="157"/>
      <c r="AP398" s="157"/>
    </row>
    <row r="399" spans="1:42" x14ac:dyDescent="0.25">
      <c r="A399" s="295" t="s">
        <v>84</v>
      </c>
      <c r="B399" s="295" t="s">
        <v>435</v>
      </c>
      <c r="C399" s="295" t="s">
        <v>42</v>
      </c>
      <c r="D399" s="295" t="s">
        <v>280</v>
      </c>
      <c r="E399" s="297">
        <v>2.6256333097901485E-2</v>
      </c>
      <c r="F399" s="297">
        <v>2.8293498699336377E-2</v>
      </c>
      <c r="G399" s="297">
        <v>3.0488723069762181E-2</v>
      </c>
      <c r="H399" s="297">
        <v>3.2854269608107937E-2</v>
      </c>
      <c r="I399" s="297">
        <v>3.5906914040166153E-2</v>
      </c>
      <c r="J399" s="297">
        <v>3.9243193997826692E-2</v>
      </c>
      <c r="K399" s="297">
        <v>4.2889463389372752E-2</v>
      </c>
      <c r="L399" s="297">
        <v>4.68745247884313E-2</v>
      </c>
      <c r="M399" s="297">
        <v>5.1229856950966025E-2</v>
      </c>
      <c r="N399" s="297">
        <v>5.5989863471942264E-2</v>
      </c>
      <c r="O399" s="297">
        <v>6.1192144545850063E-2</v>
      </c>
      <c r="P399" s="297">
        <v>6.687779397777327E-2</v>
      </c>
      <c r="Q399" s="297">
        <v>7.3091723791151433E-2</v>
      </c>
      <c r="R399" s="297">
        <v>7.9883018996372859E-2</v>
      </c>
      <c r="S399" s="297">
        <v>8.7305325322583158E-2</v>
      </c>
      <c r="T399" s="297">
        <v>9.5417272975476447E-2</v>
      </c>
      <c r="U399" s="297">
        <v>0.10428293976841239</v>
      </c>
      <c r="V399" s="328"/>
      <c r="W399" s="260" t="s">
        <v>203</v>
      </c>
      <c r="X399" s="198" t="s">
        <v>485</v>
      </c>
      <c r="Y399" s="157" t="b">
        <v>1</v>
      </c>
      <c r="Z399" s="157"/>
      <c r="AA399" s="157"/>
      <c r="AB399" s="157"/>
      <c r="AC399" s="157"/>
      <c r="AD399" s="157"/>
      <c r="AE399" s="157"/>
      <c r="AF399" s="157"/>
      <c r="AG399" s="157"/>
      <c r="AH399" s="157"/>
      <c r="AI399" s="157"/>
      <c r="AJ399" s="157"/>
      <c r="AK399" s="157"/>
      <c r="AL399" s="157"/>
      <c r="AM399" s="157"/>
      <c r="AN399" s="157"/>
      <c r="AO399" s="157"/>
      <c r="AP399" s="157"/>
    </row>
    <row r="400" spans="1:42" x14ac:dyDescent="0.25">
      <c r="A400" s="295" t="s">
        <v>84</v>
      </c>
      <c r="B400" s="295" t="s">
        <v>435</v>
      </c>
      <c r="C400" s="295" t="s">
        <v>42</v>
      </c>
      <c r="D400" s="295" t="s">
        <v>281</v>
      </c>
      <c r="E400" s="297">
        <v>2.6256333097901485E-2</v>
      </c>
      <c r="F400" s="297">
        <v>2.8293498699336377E-2</v>
      </c>
      <c r="G400" s="297">
        <v>3.0488723069762181E-2</v>
      </c>
      <c r="H400" s="297">
        <v>3.2854269608107937E-2</v>
      </c>
      <c r="I400" s="297">
        <v>3.5906914040166153E-2</v>
      </c>
      <c r="J400" s="297">
        <v>3.9243193997826692E-2</v>
      </c>
      <c r="K400" s="297">
        <v>4.2889463389372752E-2</v>
      </c>
      <c r="L400" s="297">
        <v>4.68745247884313E-2</v>
      </c>
      <c r="M400" s="297">
        <v>5.1229856950966025E-2</v>
      </c>
      <c r="N400" s="297">
        <v>5.5989863471942264E-2</v>
      </c>
      <c r="O400" s="297">
        <v>6.1192144545850063E-2</v>
      </c>
      <c r="P400" s="297">
        <v>6.687779397777327E-2</v>
      </c>
      <c r="Q400" s="297">
        <v>7.3091723791151433E-2</v>
      </c>
      <c r="R400" s="297">
        <v>7.9883018996372859E-2</v>
      </c>
      <c r="S400" s="297">
        <v>8.7305325322583158E-2</v>
      </c>
      <c r="T400" s="297">
        <v>9.5417272975476447E-2</v>
      </c>
      <c r="U400" s="297">
        <v>0.10428293976841239</v>
      </c>
      <c r="V400" s="328"/>
      <c r="W400" s="260" t="s">
        <v>203</v>
      </c>
      <c r="X400" s="198" t="s">
        <v>485</v>
      </c>
      <c r="Y400" s="157" t="b">
        <v>1</v>
      </c>
      <c r="Z400" s="157"/>
      <c r="AA400" s="157"/>
      <c r="AB400" s="157"/>
      <c r="AC400" s="157"/>
      <c r="AD400" s="157"/>
      <c r="AE400" s="157"/>
      <c r="AF400" s="157"/>
      <c r="AG400" s="157"/>
      <c r="AH400" s="157"/>
      <c r="AI400" s="157"/>
      <c r="AJ400" s="157"/>
      <c r="AK400" s="157"/>
      <c r="AL400" s="157"/>
      <c r="AM400" s="157"/>
      <c r="AN400" s="157"/>
      <c r="AO400" s="157"/>
      <c r="AP400" s="157"/>
    </row>
    <row r="401" spans="1:42" x14ac:dyDescent="0.25">
      <c r="A401" s="295" t="s">
        <v>85</v>
      </c>
      <c r="B401" s="295" t="s">
        <v>435</v>
      </c>
      <c r="C401" s="295" t="s">
        <v>40</v>
      </c>
      <c r="D401" s="295" t="s">
        <v>276</v>
      </c>
      <c r="E401" s="297">
        <v>0.09</v>
      </c>
      <c r="F401" s="297">
        <v>0.09</v>
      </c>
      <c r="G401" s="297">
        <v>0.09</v>
      </c>
      <c r="H401" s="297">
        <v>0.09</v>
      </c>
      <c r="I401" s="297">
        <v>0.09</v>
      </c>
      <c r="J401" s="297">
        <v>0.09</v>
      </c>
      <c r="K401" s="297">
        <v>0.09</v>
      </c>
      <c r="L401" s="297">
        <v>0.09</v>
      </c>
      <c r="M401" s="297">
        <v>0.09</v>
      </c>
      <c r="N401" s="297">
        <v>0.09</v>
      </c>
      <c r="O401" s="297">
        <v>0.09</v>
      </c>
      <c r="P401" s="297">
        <v>0.09</v>
      </c>
      <c r="Q401" s="297">
        <v>0.09</v>
      </c>
      <c r="R401" s="297">
        <v>0.09</v>
      </c>
      <c r="S401" s="297">
        <v>0.09</v>
      </c>
      <c r="T401" s="297">
        <v>0.09</v>
      </c>
      <c r="U401" s="297">
        <v>0.09</v>
      </c>
      <c r="V401" s="328"/>
      <c r="W401" s="260" t="s">
        <v>203</v>
      </c>
      <c r="X401" s="198" t="s">
        <v>486</v>
      </c>
      <c r="Y401" s="157" t="b">
        <v>0</v>
      </c>
      <c r="Z401" s="157"/>
      <c r="AA401" s="157"/>
      <c r="AB401" s="157"/>
      <c r="AC401" s="157"/>
      <c r="AD401" s="157"/>
      <c r="AE401" s="157"/>
      <c r="AF401" s="157"/>
      <c r="AG401" s="157"/>
      <c r="AH401" s="157"/>
      <c r="AI401" s="157"/>
      <c r="AJ401" s="157"/>
      <c r="AK401" s="157"/>
      <c r="AL401" s="157"/>
      <c r="AM401" s="157"/>
      <c r="AN401" s="157"/>
      <c r="AO401" s="157"/>
      <c r="AP401" s="157"/>
    </row>
    <row r="402" spans="1:42" x14ac:dyDescent="0.25">
      <c r="A402" s="295" t="s">
        <v>85</v>
      </c>
      <c r="B402" s="295" t="s">
        <v>435</v>
      </c>
      <c r="C402" s="295" t="s">
        <v>40</v>
      </c>
      <c r="D402" s="295" t="s">
        <v>279</v>
      </c>
      <c r="E402" s="297">
        <v>0.09</v>
      </c>
      <c r="F402" s="297">
        <v>0.09</v>
      </c>
      <c r="G402" s="297">
        <v>0.09</v>
      </c>
      <c r="H402" s="297">
        <v>0.09</v>
      </c>
      <c r="I402" s="297">
        <v>0.09</v>
      </c>
      <c r="J402" s="297">
        <v>0.09</v>
      </c>
      <c r="K402" s="297">
        <v>0.09</v>
      </c>
      <c r="L402" s="297">
        <v>0.09</v>
      </c>
      <c r="M402" s="297">
        <v>0.09</v>
      </c>
      <c r="N402" s="297">
        <v>0.09</v>
      </c>
      <c r="O402" s="297">
        <v>0.09</v>
      </c>
      <c r="P402" s="297">
        <v>0.09</v>
      </c>
      <c r="Q402" s="297">
        <v>0.09</v>
      </c>
      <c r="R402" s="297">
        <v>0.09</v>
      </c>
      <c r="S402" s="297">
        <v>0.09</v>
      </c>
      <c r="T402" s="297">
        <v>0.09</v>
      </c>
      <c r="U402" s="297">
        <v>0.09</v>
      </c>
      <c r="V402" s="328"/>
      <c r="W402" s="260" t="s">
        <v>203</v>
      </c>
      <c r="X402" s="198" t="s">
        <v>486</v>
      </c>
      <c r="Y402" s="157" t="b">
        <v>0</v>
      </c>
      <c r="Z402" s="157"/>
      <c r="AA402" s="157"/>
      <c r="AB402" s="157"/>
      <c r="AC402" s="157"/>
      <c r="AD402" s="157"/>
      <c r="AE402" s="157"/>
      <c r="AF402" s="157"/>
      <c r="AG402" s="157"/>
      <c r="AH402" s="157"/>
      <c r="AI402" s="157"/>
      <c r="AJ402" s="157"/>
      <c r="AK402" s="157"/>
      <c r="AL402" s="157"/>
      <c r="AM402" s="157"/>
      <c r="AN402" s="157"/>
      <c r="AO402" s="157"/>
      <c r="AP402" s="157"/>
    </row>
    <row r="403" spans="1:42" x14ac:dyDescent="0.25">
      <c r="A403" s="295" t="s">
        <v>85</v>
      </c>
      <c r="B403" s="295" t="s">
        <v>435</v>
      </c>
      <c r="C403" s="295" t="s">
        <v>40</v>
      </c>
      <c r="D403" s="295" t="s">
        <v>280</v>
      </c>
      <c r="E403" s="297">
        <v>0.09</v>
      </c>
      <c r="F403" s="297">
        <v>0.09</v>
      </c>
      <c r="G403" s="297">
        <v>0.09</v>
      </c>
      <c r="H403" s="297">
        <v>0.09</v>
      </c>
      <c r="I403" s="297">
        <v>0.09</v>
      </c>
      <c r="J403" s="297">
        <v>0.09</v>
      </c>
      <c r="K403" s="297">
        <v>0.09</v>
      </c>
      <c r="L403" s="297">
        <v>0.09</v>
      </c>
      <c r="M403" s="297">
        <v>0.09</v>
      </c>
      <c r="N403" s="297">
        <v>0.09</v>
      </c>
      <c r="O403" s="297">
        <v>0.09</v>
      </c>
      <c r="P403" s="297">
        <v>0.09</v>
      </c>
      <c r="Q403" s="297">
        <v>0.09</v>
      </c>
      <c r="R403" s="297">
        <v>0.09</v>
      </c>
      <c r="S403" s="297">
        <v>0.09</v>
      </c>
      <c r="T403" s="297">
        <v>0.09</v>
      </c>
      <c r="U403" s="297">
        <v>0.09</v>
      </c>
      <c r="V403" s="328"/>
      <c r="W403" s="260" t="s">
        <v>203</v>
      </c>
      <c r="X403" s="198" t="s">
        <v>486</v>
      </c>
      <c r="Y403" s="157" t="b">
        <v>0</v>
      </c>
      <c r="Z403" s="157"/>
      <c r="AA403" s="157"/>
      <c r="AB403" s="157"/>
      <c r="AC403" s="157"/>
      <c r="AD403" s="157"/>
      <c r="AE403" s="157"/>
      <c r="AF403" s="157"/>
      <c r="AG403" s="157"/>
      <c r="AH403" s="157"/>
      <c r="AI403" s="157"/>
      <c r="AJ403" s="157"/>
      <c r="AK403" s="157"/>
      <c r="AL403" s="157"/>
      <c r="AM403" s="157"/>
      <c r="AN403" s="157"/>
      <c r="AO403" s="157"/>
      <c r="AP403" s="157"/>
    </row>
    <row r="404" spans="1:42" x14ac:dyDescent="0.25">
      <c r="A404" s="295" t="s">
        <v>85</v>
      </c>
      <c r="B404" s="295" t="s">
        <v>435</v>
      </c>
      <c r="C404" s="295" t="s">
        <v>40</v>
      </c>
      <c r="D404" s="295" t="s">
        <v>281</v>
      </c>
      <c r="E404" s="297">
        <v>0.09</v>
      </c>
      <c r="F404" s="297">
        <v>0.09</v>
      </c>
      <c r="G404" s="297">
        <v>0.09</v>
      </c>
      <c r="H404" s="297">
        <v>0.09</v>
      </c>
      <c r="I404" s="297">
        <v>0.09</v>
      </c>
      <c r="J404" s="297">
        <v>0.09</v>
      </c>
      <c r="K404" s="297">
        <v>0.09</v>
      </c>
      <c r="L404" s="297">
        <v>0.09</v>
      </c>
      <c r="M404" s="297">
        <v>0.09</v>
      </c>
      <c r="N404" s="297">
        <v>0.09</v>
      </c>
      <c r="O404" s="297">
        <v>0.09</v>
      </c>
      <c r="P404" s="297">
        <v>0.09</v>
      </c>
      <c r="Q404" s="297">
        <v>0.09</v>
      </c>
      <c r="R404" s="297">
        <v>0.09</v>
      </c>
      <c r="S404" s="297">
        <v>0.09</v>
      </c>
      <c r="T404" s="297">
        <v>0.09</v>
      </c>
      <c r="U404" s="297">
        <v>0.09</v>
      </c>
      <c r="V404" s="328"/>
      <c r="W404" s="260" t="s">
        <v>203</v>
      </c>
      <c r="X404" s="198" t="s">
        <v>486</v>
      </c>
      <c r="Y404" s="157" t="b">
        <v>0</v>
      </c>
      <c r="Z404" s="157"/>
      <c r="AA404" s="157"/>
      <c r="AB404" s="157"/>
      <c r="AC404" s="157"/>
      <c r="AD404" s="157"/>
      <c r="AE404" s="157"/>
      <c r="AF404" s="157"/>
      <c r="AG404" s="157"/>
      <c r="AH404" s="157"/>
      <c r="AI404" s="157"/>
      <c r="AJ404" s="157"/>
      <c r="AK404" s="157"/>
      <c r="AL404" s="157"/>
      <c r="AM404" s="157"/>
      <c r="AN404" s="157"/>
      <c r="AO404" s="157"/>
      <c r="AP404" s="157"/>
    </row>
    <row r="405" spans="1:42" x14ac:dyDescent="0.25">
      <c r="A405" s="295" t="s">
        <v>85</v>
      </c>
      <c r="B405" s="295" t="s">
        <v>435</v>
      </c>
      <c r="C405" s="295" t="s">
        <v>40</v>
      </c>
      <c r="D405" s="295" t="s">
        <v>282</v>
      </c>
      <c r="E405" s="297">
        <v>0.09</v>
      </c>
      <c r="F405" s="297">
        <v>0.09</v>
      </c>
      <c r="G405" s="297">
        <v>0.09</v>
      </c>
      <c r="H405" s="297">
        <v>0.09</v>
      </c>
      <c r="I405" s="297">
        <v>0.09</v>
      </c>
      <c r="J405" s="297">
        <v>0.09</v>
      </c>
      <c r="K405" s="297">
        <v>0.09</v>
      </c>
      <c r="L405" s="297">
        <v>0.09</v>
      </c>
      <c r="M405" s="297">
        <v>0.09</v>
      </c>
      <c r="N405" s="297">
        <v>0.09</v>
      </c>
      <c r="O405" s="297">
        <v>0.09</v>
      </c>
      <c r="P405" s="297">
        <v>0.09</v>
      </c>
      <c r="Q405" s="297">
        <v>0.09</v>
      </c>
      <c r="R405" s="297">
        <v>0.09</v>
      </c>
      <c r="S405" s="297">
        <v>0.09</v>
      </c>
      <c r="T405" s="297">
        <v>0.09</v>
      </c>
      <c r="U405" s="297">
        <v>0.09</v>
      </c>
      <c r="V405" s="328"/>
      <c r="W405" s="260" t="s">
        <v>203</v>
      </c>
      <c r="X405" s="198" t="s">
        <v>486</v>
      </c>
      <c r="Y405" s="157" t="b">
        <v>0</v>
      </c>
      <c r="Z405" s="157"/>
      <c r="AA405" s="157"/>
      <c r="AB405" s="157"/>
      <c r="AC405" s="157"/>
      <c r="AD405" s="157"/>
      <c r="AE405" s="157"/>
      <c r="AF405" s="157"/>
      <c r="AG405" s="157"/>
      <c r="AH405" s="157"/>
      <c r="AI405" s="157"/>
      <c r="AJ405" s="157"/>
      <c r="AK405" s="157"/>
      <c r="AL405" s="157"/>
      <c r="AM405" s="157"/>
      <c r="AN405" s="157"/>
      <c r="AO405" s="157"/>
      <c r="AP405" s="157"/>
    </row>
    <row r="406" spans="1:42" x14ac:dyDescent="0.25">
      <c r="A406" s="295" t="s">
        <v>85</v>
      </c>
      <c r="B406" s="295" t="s">
        <v>435</v>
      </c>
      <c r="C406" s="295" t="s">
        <v>42</v>
      </c>
      <c r="D406" s="295" t="s">
        <v>282</v>
      </c>
      <c r="E406" s="297">
        <v>0.09</v>
      </c>
      <c r="F406" s="297">
        <v>0.09</v>
      </c>
      <c r="G406" s="297">
        <v>0.09</v>
      </c>
      <c r="H406" s="297">
        <v>0.09</v>
      </c>
      <c r="I406" s="297">
        <v>0.09</v>
      </c>
      <c r="J406" s="297">
        <v>0.09</v>
      </c>
      <c r="K406" s="297">
        <v>0.09</v>
      </c>
      <c r="L406" s="297">
        <v>0.09</v>
      </c>
      <c r="M406" s="297">
        <v>0.09</v>
      </c>
      <c r="N406" s="297">
        <v>0.09</v>
      </c>
      <c r="O406" s="297">
        <v>0.09</v>
      </c>
      <c r="P406" s="297">
        <v>0.09</v>
      </c>
      <c r="Q406" s="297">
        <v>0.09</v>
      </c>
      <c r="R406" s="297">
        <v>0.09</v>
      </c>
      <c r="S406" s="297">
        <v>0.09</v>
      </c>
      <c r="T406" s="297">
        <v>0.09</v>
      </c>
      <c r="U406" s="297">
        <v>0.09</v>
      </c>
      <c r="V406" s="328"/>
      <c r="W406" s="260" t="s">
        <v>203</v>
      </c>
      <c r="X406" s="198" t="s">
        <v>486</v>
      </c>
      <c r="Y406" s="157" t="b">
        <v>0</v>
      </c>
      <c r="Z406" s="157"/>
      <c r="AA406" s="157"/>
      <c r="AB406" s="157"/>
      <c r="AC406" s="157"/>
      <c r="AD406" s="157"/>
      <c r="AE406" s="157"/>
      <c r="AF406" s="157"/>
      <c r="AG406" s="157"/>
      <c r="AH406" s="157"/>
      <c r="AI406" s="157"/>
      <c r="AJ406" s="157"/>
      <c r="AK406" s="157"/>
      <c r="AL406" s="157"/>
      <c r="AM406" s="157"/>
      <c r="AN406" s="157"/>
      <c r="AO406" s="157"/>
      <c r="AP406" s="157"/>
    </row>
    <row r="407" spans="1:42" x14ac:dyDescent="0.25">
      <c r="A407" s="295" t="s">
        <v>85</v>
      </c>
      <c r="B407" s="295" t="s">
        <v>435</v>
      </c>
      <c r="C407" s="295" t="s">
        <v>42</v>
      </c>
      <c r="D407" s="295" t="s">
        <v>276</v>
      </c>
      <c r="E407" s="297">
        <v>0.09</v>
      </c>
      <c r="F407" s="297">
        <v>0.09</v>
      </c>
      <c r="G407" s="297">
        <v>0.09</v>
      </c>
      <c r="H407" s="297">
        <v>0.09</v>
      </c>
      <c r="I407" s="297">
        <v>0.09</v>
      </c>
      <c r="J407" s="297">
        <v>0.09</v>
      </c>
      <c r="K407" s="297">
        <v>0.09</v>
      </c>
      <c r="L407" s="297">
        <v>0.09</v>
      </c>
      <c r="M407" s="297">
        <v>0.09</v>
      </c>
      <c r="N407" s="297">
        <v>0.09</v>
      </c>
      <c r="O407" s="297">
        <v>0.09</v>
      </c>
      <c r="P407" s="297">
        <v>0.09</v>
      </c>
      <c r="Q407" s="297">
        <v>0.09</v>
      </c>
      <c r="R407" s="297">
        <v>0.09</v>
      </c>
      <c r="S407" s="297">
        <v>0.09</v>
      </c>
      <c r="T407" s="297">
        <v>0.09</v>
      </c>
      <c r="U407" s="297">
        <v>0.09</v>
      </c>
      <c r="V407" s="328"/>
      <c r="W407" s="260" t="s">
        <v>203</v>
      </c>
      <c r="X407" s="198" t="s">
        <v>486</v>
      </c>
      <c r="Y407" s="157" t="b">
        <v>0</v>
      </c>
      <c r="Z407" s="157"/>
      <c r="AA407" s="157"/>
      <c r="AB407" s="157"/>
      <c r="AC407" s="157"/>
      <c r="AD407" s="157"/>
      <c r="AE407" s="157"/>
      <c r="AF407" s="157"/>
      <c r="AG407" s="157"/>
      <c r="AH407" s="157"/>
      <c r="AI407" s="157"/>
      <c r="AJ407" s="157"/>
      <c r="AK407" s="157"/>
      <c r="AL407" s="157"/>
      <c r="AM407" s="157"/>
      <c r="AN407" s="157"/>
      <c r="AO407" s="157"/>
      <c r="AP407" s="157"/>
    </row>
    <row r="408" spans="1:42" x14ac:dyDescent="0.25">
      <c r="A408" s="295" t="s">
        <v>85</v>
      </c>
      <c r="B408" s="295" t="s">
        <v>435</v>
      </c>
      <c r="C408" s="295" t="s">
        <v>42</v>
      </c>
      <c r="D408" s="295" t="s">
        <v>279</v>
      </c>
      <c r="E408" s="297">
        <v>0.09</v>
      </c>
      <c r="F408" s="297">
        <v>0.09</v>
      </c>
      <c r="G408" s="297">
        <v>0.09</v>
      </c>
      <c r="H408" s="297">
        <v>0.09</v>
      </c>
      <c r="I408" s="297">
        <v>0.09</v>
      </c>
      <c r="J408" s="297">
        <v>0.09</v>
      </c>
      <c r="K408" s="297">
        <v>0.09</v>
      </c>
      <c r="L408" s="297">
        <v>0.09</v>
      </c>
      <c r="M408" s="297">
        <v>0.09</v>
      </c>
      <c r="N408" s="297">
        <v>0.09</v>
      </c>
      <c r="O408" s="297">
        <v>0.09</v>
      </c>
      <c r="P408" s="297">
        <v>0.09</v>
      </c>
      <c r="Q408" s="297">
        <v>0.09</v>
      </c>
      <c r="R408" s="297">
        <v>0.09</v>
      </c>
      <c r="S408" s="297">
        <v>0.09</v>
      </c>
      <c r="T408" s="297">
        <v>0.09</v>
      </c>
      <c r="U408" s="297">
        <v>0.09</v>
      </c>
      <c r="V408" s="328"/>
      <c r="W408" s="260" t="s">
        <v>203</v>
      </c>
      <c r="X408" s="198" t="s">
        <v>486</v>
      </c>
      <c r="Y408" s="157" t="b">
        <v>0</v>
      </c>
      <c r="Z408" s="157"/>
      <c r="AA408" s="157"/>
      <c r="AB408" s="157"/>
      <c r="AC408" s="157"/>
      <c r="AD408" s="157"/>
      <c r="AE408" s="157"/>
      <c r="AF408" s="157"/>
      <c r="AG408" s="157"/>
      <c r="AH408" s="157"/>
      <c r="AI408" s="157"/>
      <c r="AJ408" s="157"/>
      <c r="AK408" s="157"/>
      <c r="AL408" s="157"/>
      <c r="AM408" s="157"/>
      <c r="AN408" s="157"/>
      <c r="AO408" s="157"/>
      <c r="AP408" s="157"/>
    </row>
    <row r="409" spans="1:42" x14ac:dyDescent="0.25">
      <c r="A409" s="295" t="s">
        <v>85</v>
      </c>
      <c r="B409" s="295" t="s">
        <v>435</v>
      </c>
      <c r="C409" s="295" t="s">
        <v>42</v>
      </c>
      <c r="D409" s="295" t="s">
        <v>280</v>
      </c>
      <c r="E409" s="297">
        <v>0.09</v>
      </c>
      <c r="F409" s="297">
        <v>0.09</v>
      </c>
      <c r="G409" s="297">
        <v>0.09</v>
      </c>
      <c r="H409" s="297">
        <v>0.09</v>
      </c>
      <c r="I409" s="297">
        <v>0.09</v>
      </c>
      <c r="J409" s="297">
        <v>0.09</v>
      </c>
      <c r="K409" s="297">
        <v>0.09</v>
      </c>
      <c r="L409" s="297">
        <v>0.09</v>
      </c>
      <c r="M409" s="297">
        <v>0.09</v>
      </c>
      <c r="N409" s="297">
        <v>0.09</v>
      </c>
      <c r="O409" s="297">
        <v>0.09</v>
      </c>
      <c r="P409" s="297">
        <v>0.09</v>
      </c>
      <c r="Q409" s="297">
        <v>0.09</v>
      </c>
      <c r="R409" s="297">
        <v>0.09</v>
      </c>
      <c r="S409" s="297">
        <v>0.09</v>
      </c>
      <c r="T409" s="297">
        <v>0.09</v>
      </c>
      <c r="U409" s="297">
        <v>0.09</v>
      </c>
      <c r="V409" s="328"/>
      <c r="W409" s="260" t="s">
        <v>203</v>
      </c>
      <c r="X409" s="198" t="s">
        <v>486</v>
      </c>
      <c r="Y409" s="157" t="b">
        <v>0</v>
      </c>
      <c r="Z409" s="157"/>
      <c r="AA409" s="157"/>
      <c r="AB409" s="157"/>
      <c r="AC409" s="157"/>
      <c r="AD409" s="157"/>
      <c r="AE409" s="157"/>
      <c r="AF409" s="157"/>
      <c r="AG409" s="157"/>
      <c r="AH409" s="157"/>
      <c r="AI409" s="157"/>
      <c r="AJ409" s="157"/>
      <c r="AK409" s="157"/>
      <c r="AL409" s="157"/>
      <c r="AM409" s="157"/>
      <c r="AN409" s="157"/>
      <c r="AO409" s="157"/>
      <c r="AP409" s="157"/>
    </row>
    <row r="410" spans="1:42" x14ac:dyDescent="0.25">
      <c r="A410" s="295" t="s">
        <v>85</v>
      </c>
      <c r="B410" s="295" t="s">
        <v>435</v>
      </c>
      <c r="C410" s="295" t="s">
        <v>42</v>
      </c>
      <c r="D410" s="295" t="s">
        <v>281</v>
      </c>
      <c r="E410" s="297">
        <v>0.09</v>
      </c>
      <c r="F410" s="297">
        <v>0.09</v>
      </c>
      <c r="G410" s="297">
        <v>0.09</v>
      </c>
      <c r="H410" s="297">
        <v>0.09</v>
      </c>
      <c r="I410" s="297">
        <v>0.09</v>
      </c>
      <c r="J410" s="297">
        <v>0.09</v>
      </c>
      <c r="K410" s="297">
        <v>0.09</v>
      </c>
      <c r="L410" s="297">
        <v>0.09</v>
      </c>
      <c r="M410" s="297">
        <v>0.09</v>
      </c>
      <c r="N410" s="297">
        <v>0.09</v>
      </c>
      <c r="O410" s="297">
        <v>0.09</v>
      </c>
      <c r="P410" s="297">
        <v>0.09</v>
      </c>
      <c r="Q410" s="297">
        <v>0.09</v>
      </c>
      <c r="R410" s="297">
        <v>0.09</v>
      </c>
      <c r="S410" s="297">
        <v>0.09</v>
      </c>
      <c r="T410" s="297">
        <v>0.09</v>
      </c>
      <c r="U410" s="297">
        <v>0.09</v>
      </c>
      <c r="V410" s="328"/>
      <c r="W410" s="260" t="s">
        <v>203</v>
      </c>
      <c r="X410" s="198" t="s">
        <v>486</v>
      </c>
      <c r="Y410" s="157" t="b">
        <v>0</v>
      </c>
      <c r="Z410" s="157"/>
      <c r="AA410" s="157"/>
      <c r="AB410" s="157"/>
      <c r="AC410" s="157"/>
      <c r="AD410" s="157"/>
      <c r="AE410" s="157"/>
      <c r="AF410" s="157"/>
      <c r="AG410" s="157"/>
      <c r="AH410" s="157"/>
      <c r="AI410" s="157"/>
      <c r="AJ410" s="157"/>
      <c r="AK410" s="157"/>
      <c r="AL410" s="157"/>
      <c r="AM410" s="157"/>
      <c r="AN410" s="157"/>
      <c r="AO410" s="157"/>
      <c r="AP410" s="157"/>
    </row>
    <row r="411" spans="1:42" x14ac:dyDescent="0.25">
      <c r="A411" s="295" t="s">
        <v>86</v>
      </c>
      <c r="B411" s="295" t="s">
        <v>435</v>
      </c>
      <c r="C411" s="295" t="s">
        <v>40</v>
      </c>
      <c r="D411" s="295" t="s">
        <v>276</v>
      </c>
      <c r="E411" s="297">
        <v>4.3352725983309874E-3</v>
      </c>
      <c r="F411" s="297">
        <v>4.2102989300562398E-3</v>
      </c>
      <c r="G411" s="297">
        <v>4.0889278997720217E-3</v>
      </c>
      <c r="H411" s="297">
        <v>3.9710556535971914E-3</v>
      </c>
      <c r="I411" s="297">
        <v>3.91605187198725E-3</v>
      </c>
      <c r="J411" s="297">
        <v>3.8618099573102622E-3</v>
      </c>
      <c r="K411" s="297">
        <v>3.8083193568150073E-3</v>
      </c>
      <c r="L411" s="297">
        <v>3.7555696639182544E-3</v>
      </c>
      <c r="M411" s="297">
        <v>3.7035506161801654E-3</v>
      </c>
      <c r="N411" s="297">
        <v>3.6522520933077378E-3</v>
      </c>
      <c r="O411" s="297">
        <v>3.601664115185906E-3</v>
      </c>
      <c r="P411" s="297">
        <v>3.5517768399359116E-3</v>
      </c>
      <c r="Q411" s="297">
        <v>3.502580562000568E-3</v>
      </c>
      <c r="R411" s="297">
        <v>3.4540657102560476E-3</v>
      </c>
      <c r="S411" s="297">
        <v>3.4062228461498212E-3</v>
      </c>
      <c r="T411" s="297">
        <v>3.3590426618643897E-3</v>
      </c>
      <c r="U411" s="297">
        <v>3.3125159785064515E-3</v>
      </c>
      <c r="V411" s="328"/>
      <c r="W411" s="260" t="s">
        <v>203</v>
      </c>
      <c r="X411" s="198" t="s">
        <v>487</v>
      </c>
      <c r="Y411" s="157" t="b">
        <v>1</v>
      </c>
      <c r="Z411" s="157"/>
      <c r="AA411" s="157"/>
      <c r="AB411" s="157"/>
      <c r="AC411" s="157"/>
      <c r="AD411" s="157"/>
      <c r="AE411" s="157"/>
      <c r="AF411" s="157"/>
      <c r="AG411" s="157"/>
      <c r="AH411" s="157"/>
      <c r="AI411" s="157"/>
      <c r="AJ411" s="157"/>
      <c r="AK411" s="157"/>
      <c r="AL411" s="157"/>
      <c r="AM411" s="157"/>
      <c r="AN411" s="157"/>
      <c r="AO411" s="157"/>
      <c r="AP411" s="157"/>
    </row>
    <row r="412" spans="1:42" x14ac:dyDescent="0.25">
      <c r="A412" s="295" t="s">
        <v>86</v>
      </c>
      <c r="B412" s="295" t="s">
        <v>435</v>
      </c>
      <c r="C412" s="295" t="s">
        <v>40</v>
      </c>
      <c r="D412" s="295" t="s">
        <v>279</v>
      </c>
      <c r="E412" s="297">
        <v>4.3352725983309874E-3</v>
      </c>
      <c r="F412" s="297">
        <v>4.2102989300562398E-3</v>
      </c>
      <c r="G412" s="297">
        <v>4.0889278997720217E-3</v>
      </c>
      <c r="H412" s="297">
        <v>3.9710556535971914E-3</v>
      </c>
      <c r="I412" s="297">
        <v>3.91605187198725E-3</v>
      </c>
      <c r="J412" s="297">
        <v>3.8618099573102622E-3</v>
      </c>
      <c r="K412" s="297">
        <v>3.8083193568150073E-3</v>
      </c>
      <c r="L412" s="297">
        <v>3.7555696639182544E-3</v>
      </c>
      <c r="M412" s="297">
        <v>3.7035506161801654E-3</v>
      </c>
      <c r="N412" s="297">
        <v>3.6522520933077378E-3</v>
      </c>
      <c r="O412" s="297">
        <v>3.601664115185906E-3</v>
      </c>
      <c r="P412" s="297">
        <v>3.5517768399359116E-3</v>
      </c>
      <c r="Q412" s="297">
        <v>3.502580562000568E-3</v>
      </c>
      <c r="R412" s="297">
        <v>3.4540657102560476E-3</v>
      </c>
      <c r="S412" s="297">
        <v>3.4062228461498212E-3</v>
      </c>
      <c r="T412" s="297">
        <v>3.3590426618643897E-3</v>
      </c>
      <c r="U412" s="297">
        <v>3.3125159785064515E-3</v>
      </c>
      <c r="V412" s="328"/>
      <c r="W412" s="260" t="s">
        <v>203</v>
      </c>
      <c r="X412" s="198" t="s">
        <v>487</v>
      </c>
      <c r="Y412" s="157" t="b">
        <v>1</v>
      </c>
      <c r="Z412" s="157"/>
      <c r="AA412" s="157"/>
      <c r="AB412" s="157"/>
      <c r="AC412" s="157"/>
      <c r="AD412" s="157"/>
      <c r="AE412" s="157"/>
      <c r="AF412" s="157"/>
      <c r="AG412" s="157"/>
      <c r="AH412" s="157"/>
      <c r="AI412" s="157"/>
      <c r="AJ412" s="157"/>
      <c r="AK412" s="157"/>
      <c r="AL412" s="157"/>
      <c r="AM412" s="157"/>
      <c r="AN412" s="157"/>
      <c r="AO412" s="157"/>
      <c r="AP412" s="157"/>
    </row>
    <row r="413" spans="1:42" x14ac:dyDescent="0.25">
      <c r="A413" s="295" t="s">
        <v>86</v>
      </c>
      <c r="B413" s="295" t="s">
        <v>435</v>
      </c>
      <c r="C413" s="295" t="s">
        <v>40</v>
      </c>
      <c r="D413" s="295" t="s">
        <v>280</v>
      </c>
      <c r="E413" s="297">
        <v>4.3352725983309874E-3</v>
      </c>
      <c r="F413" s="297">
        <v>4.2102989300562398E-3</v>
      </c>
      <c r="G413" s="297">
        <v>4.0889278997720217E-3</v>
      </c>
      <c r="H413" s="297">
        <v>3.9710556535971914E-3</v>
      </c>
      <c r="I413" s="297">
        <v>3.91605187198725E-3</v>
      </c>
      <c r="J413" s="297">
        <v>3.8618099573102622E-3</v>
      </c>
      <c r="K413" s="297">
        <v>3.8083193568150073E-3</v>
      </c>
      <c r="L413" s="297">
        <v>3.7555696639182544E-3</v>
      </c>
      <c r="M413" s="297">
        <v>3.7035506161801654E-3</v>
      </c>
      <c r="N413" s="297">
        <v>3.6522520933077378E-3</v>
      </c>
      <c r="O413" s="297">
        <v>3.601664115185906E-3</v>
      </c>
      <c r="P413" s="297">
        <v>3.5517768399359116E-3</v>
      </c>
      <c r="Q413" s="297">
        <v>3.502580562000568E-3</v>
      </c>
      <c r="R413" s="297">
        <v>3.4540657102560476E-3</v>
      </c>
      <c r="S413" s="297">
        <v>3.4062228461498212E-3</v>
      </c>
      <c r="T413" s="297">
        <v>3.3590426618643897E-3</v>
      </c>
      <c r="U413" s="297">
        <v>3.3125159785064515E-3</v>
      </c>
      <c r="V413" s="328"/>
      <c r="W413" s="260" t="s">
        <v>203</v>
      </c>
      <c r="X413" s="198" t="s">
        <v>487</v>
      </c>
      <c r="Y413" s="157" t="b">
        <v>1</v>
      </c>
      <c r="Z413" s="157"/>
      <c r="AA413" s="157"/>
      <c r="AB413" s="157"/>
      <c r="AC413" s="157"/>
      <c r="AD413" s="157"/>
      <c r="AE413" s="157"/>
      <c r="AF413" s="157"/>
      <c r="AG413" s="157"/>
      <c r="AH413" s="157"/>
      <c r="AI413" s="157"/>
      <c r="AJ413" s="157"/>
      <c r="AK413" s="157"/>
      <c r="AL413" s="157"/>
      <c r="AM413" s="157"/>
      <c r="AN413" s="157"/>
      <c r="AO413" s="157"/>
      <c r="AP413" s="157"/>
    </row>
    <row r="414" spans="1:42" x14ac:dyDescent="0.25">
      <c r="A414" s="295" t="s">
        <v>86</v>
      </c>
      <c r="B414" s="295" t="s">
        <v>435</v>
      </c>
      <c r="C414" s="295" t="s">
        <v>40</v>
      </c>
      <c r="D414" s="295" t="s">
        <v>281</v>
      </c>
      <c r="E414" s="297">
        <v>4.3352725983309874E-3</v>
      </c>
      <c r="F414" s="297">
        <v>4.2102989300562398E-3</v>
      </c>
      <c r="G414" s="297">
        <v>4.0889278997720217E-3</v>
      </c>
      <c r="H414" s="297">
        <v>3.9710556535971914E-3</v>
      </c>
      <c r="I414" s="297">
        <v>3.91605187198725E-3</v>
      </c>
      <c r="J414" s="297">
        <v>3.8618099573102622E-3</v>
      </c>
      <c r="K414" s="297">
        <v>3.8083193568150073E-3</v>
      </c>
      <c r="L414" s="297">
        <v>3.7555696639182544E-3</v>
      </c>
      <c r="M414" s="297">
        <v>3.7035506161801654E-3</v>
      </c>
      <c r="N414" s="297">
        <v>3.6522520933077378E-3</v>
      </c>
      <c r="O414" s="297">
        <v>3.601664115185906E-3</v>
      </c>
      <c r="P414" s="297">
        <v>3.5517768399359116E-3</v>
      </c>
      <c r="Q414" s="297">
        <v>3.502580562000568E-3</v>
      </c>
      <c r="R414" s="297">
        <v>3.4540657102560476E-3</v>
      </c>
      <c r="S414" s="297">
        <v>3.4062228461498212E-3</v>
      </c>
      <c r="T414" s="297">
        <v>3.3590426618643897E-3</v>
      </c>
      <c r="U414" s="297">
        <v>3.3125159785064515E-3</v>
      </c>
      <c r="V414" s="328"/>
      <c r="W414" s="260" t="s">
        <v>203</v>
      </c>
      <c r="X414" s="198" t="s">
        <v>487</v>
      </c>
      <c r="Y414" s="157" t="b">
        <v>1</v>
      </c>
      <c r="Z414" s="157"/>
      <c r="AA414" s="157"/>
      <c r="AB414" s="157"/>
      <c r="AC414" s="157"/>
      <c r="AD414" s="157"/>
      <c r="AE414" s="157"/>
      <c r="AF414" s="157"/>
      <c r="AG414" s="157"/>
      <c r="AH414" s="157"/>
      <c r="AI414" s="157"/>
      <c r="AJ414" s="157"/>
      <c r="AK414" s="157"/>
      <c r="AL414" s="157"/>
      <c r="AM414" s="157"/>
      <c r="AN414" s="157"/>
      <c r="AO414" s="157"/>
      <c r="AP414" s="157"/>
    </row>
    <row r="415" spans="1:42" x14ac:dyDescent="0.25">
      <c r="A415" s="295" t="s">
        <v>86</v>
      </c>
      <c r="B415" s="295" t="s">
        <v>435</v>
      </c>
      <c r="C415" s="295" t="s">
        <v>40</v>
      </c>
      <c r="D415" s="295" t="s">
        <v>282</v>
      </c>
      <c r="E415" s="297">
        <v>4.3352725983309874E-3</v>
      </c>
      <c r="F415" s="297">
        <v>4.2102989300562398E-3</v>
      </c>
      <c r="G415" s="297">
        <v>4.0889278997720217E-3</v>
      </c>
      <c r="H415" s="297">
        <v>3.9710556535971914E-3</v>
      </c>
      <c r="I415" s="297">
        <v>3.91605187198725E-3</v>
      </c>
      <c r="J415" s="297">
        <v>3.8618099573102622E-3</v>
      </c>
      <c r="K415" s="297">
        <v>3.8083193568150073E-3</v>
      </c>
      <c r="L415" s="297">
        <v>3.7555696639182544E-3</v>
      </c>
      <c r="M415" s="297">
        <v>3.7035506161801654E-3</v>
      </c>
      <c r="N415" s="297">
        <v>3.6522520933077378E-3</v>
      </c>
      <c r="O415" s="297">
        <v>3.601664115185906E-3</v>
      </c>
      <c r="P415" s="297">
        <v>3.5517768399359116E-3</v>
      </c>
      <c r="Q415" s="297">
        <v>3.502580562000568E-3</v>
      </c>
      <c r="R415" s="297">
        <v>3.4540657102560476E-3</v>
      </c>
      <c r="S415" s="297">
        <v>3.4062228461498212E-3</v>
      </c>
      <c r="T415" s="297">
        <v>3.3590426618643897E-3</v>
      </c>
      <c r="U415" s="297">
        <v>3.3125159785064515E-3</v>
      </c>
      <c r="V415" s="328"/>
      <c r="W415" s="260" t="s">
        <v>203</v>
      </c>
      <c r="X415" s="198" t="s">
        <v>487</v>
      </c>
      <c r="Y415" s="157" t="b">
        <v>1</v>
      </c>
      <c r="Z415" s="157"/>
      <c r="AA415" s="157"/>
      <c r="AB415" s="157"/>
      <c r="AC415" s="157"/>
      <c r="AD415" s="157"/>
      <c r="AE415" s="157"/>
      <c r="AF415" s="157"/>
      <c r="AG415" s="157"/>
      <c r="AH415" s="157"/>
      <c r="AI415" s="157"/>
      <c r="AJ415" s="157"/>
      <c r="AK415" s="157"/>
      <c r="AL415" s="157"/>
      <c r="AM415" s="157"/>
      <c r="AN415" s="157"/>
      <c r="AO415" s="157"/>
      <c r="AP415" s="157"/>
    </row>
    <row r="416" spans="1:42" x14ac:dyDescent="0.25">
      <c r="A416" s="295" t="s">
        <v>86</v>
      </c>
      <c r="B416" s="295" t="s">
        <v>435</v>
      </c>
      <c r="C416" s="295" t="s">
        <v>42</v>
      </c>
      <c r="D416" s="295" t="s">
        <v>282</v>
      </c>
      <c r="E416" s="297">
        <v>4.3352725983309874E-3</v>
      </c>
      <c r="F416" s="297">
        <v>4.2102989300562398E-3</v>
      </c>
      <c r="G416" s="297">
        <v>4.0889278997720217E-3</v>
      </c>
      <c r="H416" s="297">
        <v>3.9710556535971914E-3</v>
      </c>
      <c r="I416" s="297">
        <v>3.91605187198725E-3</v>
      </c>
      <c r="J416" s="297">
        <v>3.8618099573102622E-3</v>
      </c>
      <c r="K416" s="297">
        <v>3.8083193568150073E-3</v>
      </c>
      <c r="L416" s="297">
        <v>3.7555696639182544E-3</v>
      </c>
      <c r="M416" s="297">
        <v>3.7035506161801654E-3</v>
      </c>
      <c r="N416" s="297">
        <v>3.6522520933077378E-3</v>
      </c>
      <c r="O416" s="297">
        <v>3.601664115185906E-3</v>
      </c>
      <c r="P416" s="297">
        <v>3.5517768399359116E-3</v>
      </c>
      <c r="Q416" s="297">
        <v>3.502580562000568E-3</v>
      </c>
      <c r="R416" s="297">
        <v>3.4540657102560476E-3</v>
      </c>
      <c r="S416" s="297">
        <v>3.4062228461498212E-3</v>
      </c>
      <c r="T416" s="297">
        <v>3.3590426618643897E-3</v>
      </c>
      <c r="U416" s="297">
        <v>3.3125159785064515E-3</v>
      </c>
      <c r="V416" s="328"/>
      <c r="W416" s="260" t="s">
        <v>203</v>
      </c>
      <c r="X416" s="198" t="s">
        <v>487</v>
      </c>
      <c r="Y416" s="157" t="b">
        <v>1</v>
      </c>
      <c r="Z416" s="157"/>
      <c r="AA416" s="157"/>
      <c r="AB416" s="157"/>
      <c r="AC416" s="157"/>
      <c r="AD416" s="157"/>
      <c r="AE416" s="157"/>
      <c r="AF416" s="157"/>
      <c r="AG416" s="157"/>
      <c r="AH416" s="157"/>
      <c r="AI416" s="157"/>
      <c r="AJ416" s="157"/>
      <c r="AK416" s="157"/>
      <c r="AL416" s="157"/>
      <c r="AM416" s="157"/>
      <c r="AN416" s="157"/>
      <c r="AO416" s="157"/>
      <c r="AP416" s="157"/>
    </row>
    <row r="417" spans="1:42" x14ac:dyDescent="0.25">
      <c r="A417" s="295" t="s">
        <v>86</v>
      </c>
      <c r="B417" s="295" t="s">
        <v>435</v>
      </c>
      <c r="C417" s="295" t="s">
        <v>42</v>
      </c>
      <c r="D417" s="295" t="s">
        <v>276</v>
      </c>
      <c r="E417" s="297">
        <v>4.3352725983309874E-3</v>
      </c>
      <c r="F417" s="297">
        <v>4.2102989300562398E-3</v>
      </c>
      <c r="G417" s="297">
        <v>4.0889278997720217E-3</v>
      </c>
      <c r="H417" s="297">
        <v>3.9710556535971914E-3</v>
      </c>
      <c r="I417" s="297">
        <v>3.91605187198725E-3</v>
      </c>
      <c r="J417" s="297">
        <v>3.8618099573102622E-3</v>
      </c>
      <c r="K417" s="297">
        <v>3.8083193568150073E-3</v>
      </c>
      <c r="L417" s="297">
        <v>3.7555696639182544E-3</v>
      </c>
      <c r="M417" s="297">
        <v>3.7035506161801654E-3</v>
      </c>
      <c r="N417" s="297">
        <v>3.6522520933077378E-3</v>
      </c>
      <c r="O417" s="297">
        <v>3.601664115185906E-3</v>
      </c>
      <c r="P417" s="297">
        <v>3.5517768399359116E-3</v>
      </c>
      <c r="Q417" s="297">
        <v>3.502580562000568E-3</v>
      </c>
      <c r="R417" s="297">
        <v>3.4540657102560476E-3</v>
      </c>
      <c r="S417" s="297">
        <v>3.4062228461498212E-3</v>
      </c>
      <c r="T417" s="297">
        <v>3.3590426618643897E-3</v>
      </c>
      <c r="U417" s="297">
        <v>3.3125159785064515E-3</v>
      </c>
      <c r="V417" s="328"/>
      <c r="W417" s="260" t="s">
        <v>203</v>
      </c>
      <c r="X417" s="198" t="s">
        <v>487</v>
      </c>
      <c r="Y417" s="157" t="b">
        <v>1</v>
      </c>
      <c r="Z417" s="157"/>
      <c r="AA417" s="157"/>
      <c r="AB417" s="157"/>
      <c r="AC417" s="157"/>
      <c r="AD417" s="157"/>
      <c r="AE417" s="157"/>
      <c r="AF417" s="157"/>
      <c r="AG417" s="157"/>
      <c r="AH417" s="157"/>
      <c r="AI417" s="157"/>
      <c r="AJ417" s="157"/>
      <c r="AK417" s="157"/>
      <c r="AL417" s="157"/>
      <c r="AM417" s="157"/>
      <c r="AN417" s="157"/>
      <c r="AO417" s="157"/>
      <c r="AP417" s="157"/>
    </row>
    <row r="418" spans="1:42" x14ac:dyDescent="0.25">
      <c r="A418" s="295" t="s">
        <v>86</v>
      </c>
      <c r="B418" s="295" t="s">
        <v>435</v>
      </c>
      <c r="C418" s="295" t="s">
        <v>42</v>
      </c>
      <c r="D418" s="295" t="s">
        <v>279</v>
      </c>
      <c r="E418" s="297">
        <v>4.3352725983309874E-3</v>
      </c>
      <c r="F418" s="297">
        <v>4.2102989300562398E-3</v>
      </c>
      <c r="G418" s="297">
        <v>4.0889278997720217E-3</v>
      </c>
      <c r="H418" s="297">
        <v>3.9710556535971914E-3</v>
      </c>
      <c r="I418" s="297">
        <v>3.91605187198725E-3</v>
      </c>
      <c r="J418" s="297">
        <v>3.8618099573102622E-3</v>
      </c>
      <c r="K418" s="297">
        <v>3.8083193568150073E-3</v>
      </c>
      <c r="L418" s="297">
        <v>3.7555696639182544E-3</v>
      </c>
      <c r="M418" s="297">
        <v>3.7035506161801654E-3</v>
      </c>
      <c r="N418" s="297">
        <v>3.6522520933077378E-3</v>
      </c>
      <c r="O418" s="297">
        <v>3.601664115185906E-3</v>
      </c>
      <c r="P418" s="297">
        <v>3.5517768399359116E-3</v>
      </c>
      <c r="Q418" s="297">
        <v>3.502580562000568E-3</v>
      </c>
      <c r="R418" s="297">
        <v>3.4540657102560476E-3</v>
      </c>
      <c r="S418" s="297">
        <v>3.4062228461498212E-3</v>
      </c>
      <c r="T418" s="297">
        <v>3.3590426618643897E-3</v>
      </c>
      <c r="U418" s="297">
        <v>3.3125159785064515E-3</v>
      </c>
      <c r="V418" s="328"/>
      <c r="W418" s="260" t="s">
        <v>203</v>
      </c>
      <c r="X418" s="198" t="s">
        <v>487</v>
      </c>
      <c r="Y418" s="157" t="b">
        <v>1</v>
      </c>
      <c r="Z418" s="157"/>
      <c r="AA418" s="157"/>
      <c r="AB418" s="157"/>
      <c r="AC418" s="157"/>
      <c r="AD418" s="157"/>
      <c r="AE418" s="157"/>
      <c r="AF418" s="157"/>
      <c r="AG418" s="157"/>
      <c r="AH418" s="157"/>
      <c r="AI418" s="157"/>
      <c r="AJ418" s="157"/>
      <c r="AK418" s="157"/>
      <c r="AL418" s="157"/>
      <c r="AM418" s="157"/>
      <c r="AN418" s="157"/>
      <c r="AO418" s="157"/>
      <c r="AP418" s="157"/>
    </row>
    <row r="419" spans="1:42" x14ac:dyDescent="0.25">
      <c r="A419" s="295" t="s">
        <v>86</v>
      </c>
      <c r="B419" s="295" t="s">
        <v>435</v>
      </c>
      <c r="C419" s="295" t="s">
        <v>42</v>
      </c>
      <c r="D419" s="295" t="s">
        <v>280</v>
      </c>
      <c r="E419" s="297">
        <v>4.3352725983309874E-3</v>
      </c>
      <c r="F419" s="297">
        <v>4.2102989300562398E-3</v>
      </c>
      <c r="G419" s="297">
        <v>4.0889278997720217E-3</v>
      </c>
      <c r="H419" s="297">
        <v>3.9710556535971914E-3</v>
      </c>
      <c r="I419" s="297">
        <v>3.91605187198725E-3</v>
      </c>
      <c r="J419" s="297">
        <v>3.8618099573102622E-3</v>
      </c>
      <c r="K419" s="297">
        <v>3.8083193568150073E-3</v>
      </c>
      <c r="L419" s="297">
        <v>3.7555696639182544E-3</v>
      </c>
      <c r="M419" s="297">
        <v>3.7035506161801654E-3</v>
      </c>
      <c r="N419" s="297">
        <v>3.6522520933077378E-3</v>
      </c>
      <c r="O419" s="297">
        <v>3.601664115185906E-3</v>
      </c>
      <c r="P419" s="297">
        <v>3.5517768399359116E-3</v>
      </c>
      <c r="Q419" s="297">
        <v>3.502580562000568E-3</v>
      </c>
      <c r="R419" s="297">
        <v>3.4540657102560476E-3</v>
      </c>
      <c r="S419" s="297">
        <v>3.4062228461498212E-3</v>
      </c>
      <c r="T419" s="297">
        <v>3.3590426618643897E-3</v>
      </c>
      <c r="U419" s="297">
        <v>3.3125159785064515E-3</v>
      </c>
      <c r="V419" s="328"/>
      <c r="W419" s="260" t="s">
        <v>203</v>
      </c>
      <c r="X419" s="198" t="s">
        <v>487</v>
      </c>
      <c r="Y419" s="157" t="b">
        <v>1</v>
      </c>
      <c r="Z419" s="157"/>
      <c r="AA419" s="157"/>
      <c r="AB419" s="157"/>
      <c r="AC419" s="157"/>
      <c r="AD419" s="157"/>
      <c r="AE419" s="157"/>
      <c r="AF419" s="157"/>
      <c r="AG419" s="157"/>
      <c r="AH419" s="157"/>
      <c r="AI419" s="157"/>
      <c r="AJ419" s="157"/>
      <c r="AK419" s="157"/>
      <c r="AL419" s="157"/>
      <c r="AM419" s="157"/>
      <c r="AN419" s="157"/>
      <c r="AO419" s="157"/>
      <c r="AP419" s="157"/>
    </row>
    <row r="420" spans="1:42" x14ac:dyDescent="0.25">
      <c r="A420" s="295" t="s">
        <v>86</v>
      </c>
      <c r="B420" s="295" t="s">
        <v>435</v>
      </c>
      <c r="C420" s="295" t="s">
        <v>42</v>
      </c>
      <c r="D420" s="295" t="s">
        <v>281</v>
      </c>
      <c r="E420" s="297">
        <v>4.3352725983309874E-3</v>
      </c>
      <c r="F420" s="297">
        <v>4.2102989300562398E-3</v>
      </c>
      <c r="G420" s="297">
        <v>4.0889278997720217E-3</v>
      </c>
      <c r="H420" s="297">
        <v>3.9710556535971914E-3</v>
      </c>
      <c r="I420" s="297">
        <v>3.91605187198725E-3</v>
      </c>
      <c r="J420" s="297">
        <v>3.8618099573102622E-3</v>
      </c>
      <c r="K420" s="297">
        <v>3.8083193568150073E-3</v>
      </c>
      <c r="L420" s="297">
        <v>3.7555696639182544E-3</v>
      </c>
      <c r="M420" s="297">
        <v>3.7035506161801654E-3</v>
      </c>
      <c r="N420" s="297">
        <v>3.6522520933077378E-3</v>
      </c>
      <c r="O420" s="297">
        <v>3.601664115185906E-3</v>
      </c>
      <c r="P420" s="297">
        <v>3.5517768399359116E-3</v>
      </c>
      <c r="Q420" s="297">
        <v>3.502580562000568E-3</v>
      </c>
      <c r="R420" s="297">
        <v>3.4540657102560476E-3</v>
      </c>
      <c r="S420" s="297">
        <v>3.4062228461498212E-3</v>
      </c>
      <c r="T420" s="297">
        <v>3.3590426618643897E-3</v>
      </c>
      <c r="U420" s="297">
        <v>3.3125159785064515E-3</v>
      </c>
      <c r="V420" s="328"/>
      <c r="W420" s="260" t="s">
        <v>203</v>
      </c>
      <c r="X420" s="198" t="s">
        <v>487</v>
      </c>
      <c r="Y420" s="157" t="b">
        <v>1</v>
      </c>
      <c r="Z420" s="157"/>
      <c r="AA420" s="157"/>
      <c r="AB420" s="157"/>
      <c r="AC420" s="157"/>
      <c r="AD420" s="157"/>
      <c r="AE420" s="157"/>
      <c r="AF420" s="157"/>
      <c r="AG420" s="157"/>
      <c r="AH420" s="157"/>
      <c r="AI420" s="157"/>
      <c r="AJ420" s="157"/>
      <c r="AK420" s="157"/>
      <c r="AL420" s="157"/>
      <c r="AM420" s="157"/>
      <c r="AN420" s="157"/>
      <c r="AO420" s="157"/>
      <c r="AP420" s="157"/>
    </row>
    <row r="421" spans="1:42" x14ac:dyDescent="0.25">
      <c r="A421" s="295" t="s">
        <v>87</v>
      </c>
      <c r="B421" s="295" t="s">
        <v>435</v>
      </c>
      <c r="C421" s="295" t="s">
        <v>40</v>
      </c>
      <c r="D421" s="295" t="s">
        <v>276</v>
      </c>
      <c r="E421" s="297">
        <v>0.09</v>
      </c>
      <c r="F421" s="297">
        <v>0.09</v>
      </c>
      <c r="G421" s="297">
        <v>0.09</v>
      </c>
      <c r="H421" s="297">
        <v>0.09</v>
      </c>
      <c r="I421" s="297">
        <v>0.09</v>
      </c>
      <c r="J421" s="297">
        <v>0.09</v>
      </c>
      <c r="K421" s="297">
        <v>0.09</v>
      </c>
      <c r="L421" s="297">
        <v>0.09</v>
      </c>
      <c r="M421" s="297">
        <v>0.09</v>
      </c>
      <c r="N421" s="297">
        <v>0.09</v>
      </c>
      <c r="O421" s="297">
        <v>0.09</v>
      </c>
      <c r="P421" s="297">
        <v>0.09</v>
      </c>
      <c r="Q421" s="297">
        <v>0.09</v>
      </c>
      <c r="R421" s="297">
        <v>0.09</v>
      </c>
      <c r="S421" s="297">
        <v>0.09</v>
      </c>
      <c r="T421" s="297">
        <v>0.09</v>
      </c>
      <c r="U421" s="297">
        <v>0.09</v>
      </c>
      <c r="V421" s="328"/>
      <c r="W421" s="260" t="s">
        <v>203</v>
      </c>
      <c r="X421" s="198" t="s">
        <v>488</v>
      </c>
      <c r="Y421" s="157" t="b">
        <v>0</v>
      </c>
      <c r="Z421" s="157"/>
      <c r="AA421" s="157"/>
      <c r="AB421" s="157"/>
      <c r="AC421" s="157"/>
      <c r="AD421" s="157"/>
      <c r="AE421" s="157"/>
      <c r="AF421" s="157"/>
      <c r="AG421" s="157"/>
      <c r="AH421" s="157"/>
      <c r="AI421" s="157"/>
      <c r="AJ421" s="157"/>
      <c r="AK421" s="157"/>
      <c r="AL421" s="157"/>
      <c r="AM421" s="157"/>
      <c r="AN421" s="157"/>
      <c r="AO421" s="157"/>
      <c r="AP421" s="157"/>
    </row>
    <row r="422" spans="1:42" x14ac:dyDescent="0.25">
      <c r="A422" s="295" t="s">
        <v>87</v>
      </c>
      <c r="B422" s="295" t="s">
        <v>435</v>
      </c>
      <c r="C422" s="295" t="s">
        <v>40</v>
      </c>
      <c r="D422" s="295" t="s">
        <v>279</v>
      </c>
      <c r="E422" s="297">
        <v>0.09</v>
      </c>
      <c r="F422" s="297">
        <v>0.09</v>
      </c>
      <c r="G422" s="297">
        <v>0.09</v>
      </c>
      <c r="H422" s="297">
        <v>0.09</v>
      </c>
      <c r="I422" s="297">
        <v>0.09</v>
      </c>
      <c r="J422" s="297">
        <v>0.09</v>
      </c>
      <c r="K422" s="297">
        <v>0.09</v>
      </c>
      <c r="L422" s="297">
        <v>0.09</v>
      </c>
      <c r="M422" s="297">
        <v>0.09</v>
      </c>
      <c r="N422" s="297">
        <v>0.09</v>
      </c>
      <c r="O422" s="297">
        <v>0.09</v>
      </c>
      <c r="P422" s="297">
        <v>0.09</v>
      </c>
      <c r="Q422" s="297">
        <v>0.09</v>
      </c>
      <c r="R422" s="297">
        <v>0.09</v>
      </c>
      <c r="S422" s="297">
        <v>0.09</v>
      </c>
      <c r="T422" s="297">
        <v>0.09</v>
      </c>
      <c r="U422" s="297">
        <v>0.09</v>
      </c>
      <c r="V422" s="328"/>
      <c r="W422" s="260" t="s">
        <v>203</v>
      </c>
      <c r="X422" s="198" t="s">
        <v>488</v>
      </c>
      <c r="Y422" s="157" t="b">
        <v>0</v>
      </c>
      <c r="Z422" s="157"/>
      <c r="AA422" s="157"/>
      <c r="AB422" s="157"/>
      <c r="AC422" s="157"/>
      <c r="AD422" s="157"/>
      <c r="AE422" s="157"/>
      <c r="AF422" s="157"/>
      <c r="AG422" s="157"/>
      <c r="AH422" s="157"/>
      <c r="AI422" s="157"/>
      <c r="AJ422" s="157"/>
      <c r="AK422" s="157"/>
      <c r="AL422" s="157"/>
      <c r="AM422" s="157"/>
      <c r="AN422" s="157"/>
      <c r="AO422" s="157"/>
      <c r="AP422" s="157"/>
    </row>
    <row r="423" spans="1:42" x14ac:dyDescent="0.25">
      <c r="A423" s="295" t="s">
        <v>87</v>
      </c>
      <c r="B423" s="295" t="s">
        <v>435</v>
      </c>
      <c r="C423" s="295" t="s">
        <v>40</v>
      </c>
      <c r="D423" s="295" t="s">
        <v>280</v>
      </c>
      <c r="E423" s="297">
        <v>0.09</v>
      </c>
      <c r="F423" s="297">
        <v>0.09</v>
      </c>
      <c r="G423" s="297">
        <v>0.09</v>
      </c>
      <c r="H423" s="297">
        <v>0.09</v>
      </c>
      <c r="I423" s="297">
        <v>0.09</v>
      </c>
      <c r="J423" s="297">
        <v>0.09</v>
      </c>
      <c r="K423" s="297">
        <v>0.09</v>
      </c>
      <c r="L423" s="297">
        <v>0.09</v>
      </c>
      <c r="M423" s="297">
        <v>0.09</v>
      </c>
      <c r="N423" s="297">
        <v>0.09</v>
      </c>
      <c r="O423" s="297">
        <v>0.09</v>
      </c>
      <c r="P423" s="297">
        <v>0.09</v>
      </c>
      <c r="Q423" s="297">
        <v>0.09</v>
      </c>
      <c r="R423" s="297">
        <v>0.09</v>
      </c>
      <c r="S423" s="297">
        <v>0.09</v>
      </c>
      <c r="T423" s="297">
        <v>0.09</v>
      </c>
      <c r="U423" s="297">
        <v>0.09</v>
      </c>
      <c r="V423" s="328"/>
      <c r="W423" s="260" t="s">
        <v>203</v>
      </c>
      <c r="X423" s="198" t="s">
        <v>488</v>
      </c>
      <c r="Y423" s="157" t="b">
        <v>0</v>
      </c>
      <c r="Z423" s="157"/>
      <c r="AA423" s="157"/>
      <c r="AB423" s="157"/>
      <c r="AC423" s="157"/>
      <c r="AD423" s="157"/>
      <c r="AE423" s="157"/>
      <c r="AF423" s="157"/>
      <c r="AG423" s="157"/>
      <c r="AH423" s="157"/>
      <c r="AI423" s="157"/>
      <c r="AJ423" s="157"/>
      <c r="AK423" s="157"/>
      <c r="AL423" s="157"/>
      <c r="AM423" s="157"/>
      <c r="AN423" s="157"/>
      <c r="AO423" s="157"/>
      <c r="AP423" s="157"/>
    </row>
    <row r="424" spans="1:42" x14ac:dyDescent="0.25">
      <c r="A424" s="295" t="s">
        <v>87</v>
      </c>
      <c r="B424" s="295" t="s">
        <v>435</v>
      </c>
      <c r="C424" s="295" t="s">
        <v>40</v>
      </c>
      <c r="D424" s="295" t="s">
        <v>281</v>
      </c>
      <c r="E424" s="297">
        <v>0.09</v>
      </c>
      <c r="F424" s="297">
        <v>0.09</v>
      </c>
      <c r="G424" s="297">
        <v>0.09</v>
      </c>
      <c r="H424" s="297">
        <v>0.09</v>
      </c>
      <c r="I424" s="297">
        <v>0.09</v>
      </c>
      <c r="J424" s="297">
        <v>0.09</v>
      </c>
      <c r="K424" s="297">
        <v>0.09</v>
      </c>
      <c r="L424" s="297">
        <v>0.09</v>
      </c>
      <c r="M424" s="297">
        <v>0.09</v>
      </c>
      <c r="N424" s="297">
        <v>0.09</v>
      </c>
      <c r="O424" s="297">
        <v>0.09</v>
      </c>
      <c r="P424" s="297">
        <v>0.09</v>
      </c>
      <c r="Q424" s="297">
        <v>0.09</v>
      </c>
      <c r="R424" s="297">
        <v>0.09</v>
      </c>
      <c r="S424" s="297">
        <v>0.09</v>
      </c>
      <c r="T424" s="297">
        <v>0.09</v>
      </c>
      <c r="U424" s="297">
        <v>0.09</v>
      </c>
      <c r="V424" s="328"/>
      <c r="W424" s="260" t="s">
        <v>203</v>
      </c>
      <c r="X424" s="198" t="s">
        <v>488</v>
      </c>
      <c r="Y424" s="157" t="b">
        <v>0</v>
      </c>
      <c r="Z424" s="157"/>
      <c r="AA424" s="157"/>
      <c r="AB424" s="157"/>
      <c r="AC424" s="157"/>
      <c r="AD424" s="157"/>
      <c r="AE424" s="157"/>
      <c r="AF424" s="157"/>
      <c r="AG424" s="157"/>
      <c r="AH424" s="157"/>
      <c r="AI424" s="157"/>
      <c r="AJ424" s="157"/>
      <c r="AK424" s="157"/>
      <c r="AL424" s="157"/>
      <c r="AM424" s="157"/>
      <c r="AN424" s="157"/>
      <c r="AO424" s="157"/>
      <c r="AP424" s="157"/>
    </row>
    <row r="425" spans="1:42" x14ac:dyDescent="0.25">
      <c r="A425" s="295" t="s">
        <v>87</v>
      </c>
      <c r="B425" s="295" t="s">
        <v>435</v>
      </c>
      <c r="C425" s="295" t="s">
        <v>40</v>
      </c>
      <c r="D425" s="295" t="s">
        <v>282</v>
      </c>
      <c r="E425" s="297">
        <v>0.09</v>
      </c>
      <c r="F425" s="297">
        <v>0.09</v>
      </c>
      <c r="G425" s="297">
        <v>0.09</v>
      </c>
      <c r="H425" s="297">
        <v>0.09</v>
      </c>
      <c r="I425" s="297">
        <v>0.09</v>
      </c>
      <c r="J425" s="297">
        <v>0.09</v>
      </c>
      <c r="K425" s="297">
        <v>0.09</v>
      </c>
      <c r="L425" s="297">
        <v>0.09</v>
      </c>
      <c r="M425" s="297">
        <v>0.09</v>
      </c>
      <c r="N425" s="297">
        <v>0.09</v>
      </c>
      <c r="O425" s="297">
        <v>0.09</v>
      </c>
      <c r="P425" s="297">
        <v>0.09</v>
      </c>
      <c r="Q425" s="297">
        <v>0.09</v>
      </c>
      <c r="R425" s="297">
        <v>0.09</v>
      </c>
      <c r="S425" s="297">
        <v>0.09</v>
      </c>
      <c r="T425" s="297">
        <v>0.09</v>
      </c>
      <c r="U425" s="297">
        <v>0.09</v>
      </c>
      <c r="V425" s="328"/>
      <c r="W425" s="260" t="s">
        <v>203</v>
      </c>
      <c r="X425" s="198" t="s">
        <v>488</v>
      </c>
      <c r="Y425" s="157" t="b">
        <v>0</v>
      </c>
      <c r="Z425" s="157"/>
      <c r="AA425" s="157"/>
      <c r="AB425" s="157"/>
      <c r="AC425" s="157"/>
      <c r="AD425" s="157"/>
      <c r="AE425" s="157"/>
      <c r="AF425" s="157"/>
      <c r="AG425" s="157"/>
      <c r="AH425" s="157"/>
      <c r="AI425" s="157"/>
      <c r="AJ425" s="157"/>
      <c r="AK425" s="157"/>
      <c r="AL425" s="157"/>
      <c r="AM425" s="157"/>
      <c r="AN425" s="157"/>
      <c r="AO425" s="157"/>
      <c r="AP425" s="157"/>
    </row>
    <row r="426" spans="1:42" x14ac:dyDescent="0.25">
      <c r="A426" s="295" t="s">
        <v>87</v>
      </c>
      <c r="B426" s="295" t="s">
        <v>435</v>
      </c>
      <c r="C426" s="295" t="s">
        <v>42</v>
      </c>
      <c r="D426" s="295" t="s">
        <v>282</v>
      </c>
      <c r="E426" s="297">
        <v>0.09</v>
      </c>
      <c r="F426" s="297">
        <v>0.09</v>
      </c>
      <c r="G426" s="297">
        <v>0.09</v>
      </c>
      <c r="H426" s="297">
        <v>0.09</v>
      </c>
      <c r="I426" s="297">
        <v>0.09</v>
      </c>
      <c r="J426" s="297">
        <v>0.09</v>
      </c>
      <c r="K426" s="297">
        <v>0.09</v>
      </c>
      <c r="L426" s="297">
        <v>0.09</v>
      </c>
      <c r="M426" s="297">
        <v>0.09</v>
      </c>
      <c r="N426" s="297">
        <v>0.09</v>
      </c>
      <c r="O426" s="297">
        <v>0.09</v>
      </c>
      <c r="P426" s="297">
        <v>0.09</v>
      </c>
      <c r="Q426" s="297">
        <v>0.09</v>
      </c>
      <c r="R426" s="297">
        <v>0.09</v>
      </c>
      <c r="S426" s="297">
        <v>0.09</v>
      </c>
      <c r="T426" s="297">
        <v>0.09</v>
      </c>
      <c r="U426" s="297">
        <v>0.09</v>
      </c>
      <c r="V426" s="328"/>
      <c r="W426" s="260" t="s">
        <v>203</v>
      </c>
      <c r="X426" s="198" t="s">
        <v>488</v>
      </c>
      <c r="Y426" s="157" t="b">
        <v>0</v>
      </c>
      <c r="Z426" s="157"/>
      <c r="AA426" s="157"/>
      <c r="AB426" s="157"/>
      <c r="AC426" s="157"/>
      <c r="AD426" s="157"/>
      <c r="AE426" s="157"/>
      <c r="AF426" s="157"/>
      <c r="AG426" s="157"/>
      <c r="AH426" s="157"/>
      <c r="AI426" s="157"/>
      <c r="AJ426" s="157"/>
      <c r="AK426" s="157"/>
      <c r="AL426" s="157"/>
      <c r="AM426" s="157"/>
      <c r="AN426" s="157"/>
      <c r="AO426" s="157"/>
      <c r="AP426" s="157"/>
    </row>
    <row r="427" spans="1:42" x14ac:dyDescent="0.25">
      <c r="A427" s="295" t="s">
        <v>87</v>
      </c>
      <c r="B427" s="295" t="s">
        <v>435</v>
      </c>
      <c r="C427" s="295" t="s">
        <v>42</v>
      </c>
      <c r="D427" s="295" t="s">
        <v>276</v>
      </c>
      <c r="E427" s="297">
        <v>0.09</v>
      </c>
      <c r="F427" s="297">
        <v>0.09</v>
      </c>
      <c r="G427" s="297">
        <v>0.09</v>
      </c>
      <c r="H427" s="297">
        <v>0.09</v>
      </c>
      <c r="I427" s="297">
        <v>0.09</v>
      </c>
      <c r="J427" s="297">
        <v>0.09</v>
      </c>
      <c r="K427" s="297">
        <v>0.09</v>
      </c>
      <c r="L427" s="297">
        <v>0.09</v>
      </c>
      <c r="M427" s="297">
        <v>0.09</v>
      </c>
      <c r="N427" s="297">
        <v>0.09</v>
      </c>
      <c r="O427" s="297">
        <v>0.09</v>
      </c>
      <c r="P427" s="297">
        <v>0.09</v>
      </c>
      <c r="Q427" s="297">
        <v>0.09</v>
      </c>
      <c r="R427" s="297">
        <v>0.09</v>
      </c>
      <c r="S427" s="297">
        <v>0.09</v>
      </c>
      <c r="T427" s="297">
        <v>0.09</v>
      </c>
      <c r="U427" s="297">
        <v>0.09</v>
      </c>
      <c r="V427" s="328"/>
      <c r="W427" s="260" t="s">
        <v>203</v>
      </c>
      <c r="X427" s="198" t="s">
        <v>488</v>
      </c>
      <c r="Y427" s="157" t="b">
        <v>0</v>
      </c>
      <c r="Z427" s="157"/>
      <c r="AA427" s="157"/>
      <c r="AB427" s="157"/>
      <c r="AC427" s="157"/>
      <c r="AD427" s="157"/>
      <c r="AE427" s="157"/>
      <c r="AF427" s="157"/>
      <c r="AG427" s="157"/>
      <c r="AH427" s="157"/>
      <c r="AI427" s="157"/>
      <c r="AJ427" s="157"/>
      <c r="AK427" s="157"/>
      <c r="AL427" s="157"/>
      <c r="AM427" s="157"/>
      <c r="AN427" s="157"/>
      <c r="AO427" s="157"/>
      <c r="AP427" s="157"/>
    </row>
    <row r="428" spans="1:42" x14ac:dyDescent="0.25">
      <c r="A428" s="295" t="s">
        <v>87</v>
      </c>
      <c r="B428" s="295" t="s">
        <v>435</v>
      </c>
      <c r="C428" s="295" t="s">
        <v>42</v>
      </c>
      <c r="D428" s="295" t="s">
        <v>279</v>
      </c>
      <c r="E428" s="297">
        <v>0.09</v>
      </c>
      <c r="F428" s="297">
        <v>0.09</v>
      </c>
      <c r="G428" s="297">
        <v>0.09</v>
      </c>
      <c r="H428" s="297">
        <v>0.09</v>
      </c>
      <c r="I428" s="297">
        <v>0.09</v>
      </c>
      <c r="J428" s="297">
        <v>0.09</v>
      </c>
      <c r="K428" s="297">
        <v>0.09</v>
      </c>
      <c r="L428" s="297">
        <v>0.09</v>
      </c>
      <c r="M428" s="297">
        <v>0.09</v>
      </c>
      <c r="N428" s="297">
        <v>0.09</v>
      </c>
      <c r="O428" s="297">
        <v>0.09</v>
      </c>
      <c r="P428" s="297">
        <v>0.09</v>
      </c>
      <c r="Q428" s="297">
        <v>0.09</v>
      </c>
      <c r="R428" s="297">
        <v>0.09</v>
      </c>
      <c r="S428" s="297">
        <v>0.09</v>
      </c>
      <c r="T428" s="297">
        <v>0.09</v>
      </c>
      <c r="U428" s="297">
        <v>0.09</v>
      </c>
      <c r="V428" s="328"/>
      <c r="W428" s="260" t="s">
        <v>203</v>
      </c>
      <c r="X428" s="198" t="s">
        <v>488</v>
      </c>
      <c r="Y428" s="157" t="b">
        <v>0</v>
      </c>
      <c r="Z428" s="157"/>
      <c r="AA428" s="157"/>
      <c r="AB428" s="157"/>
      <c r="AC428" s="157"/>
      <c r="AD428" s="157"/>
      <c r="AE428" s="157"/>
      <c r="AF428" s="157"/>
      <c r="AG428" s="157"/>
      <c r="AH428" s="157"/>
      <c r="AI428" s="157"/>
      <c r="AJ428" s="157"/>
      <c r="AK428" s="157"/>
      <c r="AL428" s="157"/>
      <c r="AM428" s="157"/>
      <c r="AN428" s="157"/>
      <c r="AO428" s="157"/>
      <c r="AP428" s="157"/>
    </row>
    <row r="429" spans="1:42" x14ac:dyDescent="0.25">
      <c r="A429" s="295" t="s">
        <v>87</v>
      </c>
      <c r="B429" s="295" t="s">
        <v>435</v>
      </c>
      <c r="C429" s="295" t="s">
        <v>42</v>
      </c>
      <c r="D429" s="295" t="s">
        <v>280</v>
      </c>
      <c r="E429" s="297">
        <v>0.09</v>
      </c>
      <c r="F429" s="297">
        <v>0.09</v>
      </c>
      <c r="G429" s="297">
        <v>0.09</v>
      </c>
      <c r="H429" s="297">
        <v>0.09</v>
      </c>
      <c r="I429" s="297">
        <v>0.09</v>
      </c>
      <c r="J429" s="297">
        <v>0.09</v>
      </c>
      <c r="K429" s="297">
        <v>0.09</v>
      </c>
      <c r="L429" s="297">
        <v>0.09</v>
      </c>
      <c r="M429" s="297">
        <v>0.09</v>
      </c>
      <c r="N429" s="297">
        <v>0.09</v>
      </c>
      <c r="O429" s="297">
        <v>0.09</v>
      </c>
      <c r="P429" s="297">
        <v>0.09</v>
      </c>
      <c r="Q429" s="297">
        <v>0.09</v>
      </c>
      <c r="R429" s="297">
        <v>0.09</v>
      </c>
      <c r="S429" s="297">
        <v>0.09</v>
      </c>
      <c r="T429" s="297">
        <v>0.09</v>
      </c>
      <c r="U429" s="297">
        <v>0.09</v>
      </c>
      <c r="V429" s="328"/>
      <c r="W429" s="260" t="s">
        <v>203</v>
      </c>
      <c r="X429" s="198" t="s">
        <v>488</v>
      </c>
      <c r="Y429" s="157" t="b">
        <v>0</v>
      </c>
      <c r="Z429" s="157"/>
      <c r="AA429" s="157"/>
      <c r="AB429" s="157"/>
      <c r="AC429" s="157"/>
      <c r="AD429" s="157"/>
      <c r="AE429" s="157"/>
      <c r="AF429" s="157"/>
      <c r="AG429" s="157"/>
      <c r="AH429" s="157"/>
      <c r="AI429" s="157"/>
      <c r="AJ429" s="157"/>
      <c r="AK429" s="157"/>
      <c r="AL429" s="157"/>
      <c r="AM429" s="157"/>
      <c r="AN429" s="157"/>
      <c r="AO429" s="157"/>
      <c r="AP429" s="157"/>
    </row>
    <row r="430" spans="1:42" x14ac:dyDescent="0.25">
      <c r="A430" s="295" t="s">
        <v>87</v>
      </c>
      <c r="B430" s="295" t="s">
        <v>435</v>
      </c>
      <c r="C430" s="295" t="s">
        <v>42</v>
      </c>
      <c r="D430" s="295" t="s">
        <v>281</v>
      </c>
      <c r="E430" s="297">
        <v>0.09</v>
      </c>
      <c r="F430" s="297">
        <v>0.09</v>
      </c>
      <c r="G430" s="297">
        <v>0.09</v>
      </c>
      <c r="H430" s="297">
        <v>0.09</v>
      </c>
      <c r="I430" s="297">
        <v>0.09</v>
      </c>
      <c r="J430" s="297">
        <v>0.09</v>
      </c>
      <c r="K430" s="297">
        <v>0.09</v>
      </c>
      <c r="L430" s="297">
        <v>0.09</v>
      </c>
      <c r="M430" s="297">
        <v>0.09</v>
      </c>
      <c r="N430" s="297">
        <v>0.09</v>
      </c>
      <c r="O430" s="297">
        <v>0.09</v>
      </c>
      <c r="P430" s="297">
        <v>0.09</v>
      </c>
      <c r="Q430" s="297">
        <v>0.09</v>
      </c>
      <c r="R430" s="297">
        <v>0.09</v>
      </c>
      <c r="S430" s="297">
        <v>0.09</v>
      </c>
      <c r="T430" s="297">
        <v>0.09</v>
      </c>
      <c r="U430" s="297">
        <v>0.09</v>
      </c>
      <c r="V430" s="328"/>
      <c r="W430" s="260" t="s">
        <v>203</v>
      </c>
      <c r="X430" s="198" t="s">
        <v>488</v>
      </c>
      <c r="Y430" s="157" t="b">
        <v>0</v>
      </c>
      <c r="Z430" s="157"/>
      <c r="AA430" s="157"/>
      <c r="AB430" s="157"/>
      <c r="AC430" s="157"/>
      <c r="AD430" s="157"/>
      <c r="AE430" s="157"/>
      <c r="AF430" s="157"/>
      <c r="AG430" s="157"/>
      <c r="AH430" s="157"/>
      <c r="AI430" s="157"/>
      <c r="AJ430" s="157"/>
      <c r="AK430" s="157"/>
      <c r="AL430" s="157"/>
      <c r="AM430" s="157"/>
      <c r="AN430" s="157"/>
      <c r="AO430" s="157"/>
      <c r="AP430" s="157"/>
    </row>
    <row r="431" spans="1:42" x14ac:dyDescent="0.25">
      <c r="A431" s="295" t="s">
        <v>54</v>
      </c>
      <c r="B431" s="295" t="s">
        <v>435</v>
      </c>
      <c r="C431" s="295" t="s">
        <v>44</v>
      </c>
      <c r="D431" s="295" t="s">
        <v>276</v>
      </c>
      <c r="E431" s="297">
        <v>1</v>
      </c>
      <c r="F431" s="297">
        <v>1</v>
      </c>
      <c r="G431" s="297">
        <v>1</v>
      </c>
      <c r="H431" s="297">
        <v>1</v>
      </c>
      <c r="I431" s="297">
        <v>1</v>
      </c>
      <c r="J431" s="297">
        <v>1</v>
      </c>
      <c r="K431" s="297">
        <v>1</v>
      </c>
      <c r="L431" s="297">
        <v>1</v>
      </c>
      <c r="M431" s="297">
        <v>1</v>
      </c>
      <c r="N431" s="297">
        <v>1</v>
      </c>
      <c r="O431" s="297">
        <v>1</v>
      </c>
      <c r="P431" s="297">
        <v>1</v>
      </c>
      <c r="Q431" s="297">
        <v>1</v>
      </c>
      <c r="R431" s="297">
        <v>1</v>
      </c>
      <c r="S431" s="297">
        <v>1</v>
      </c>
      <c r="T431" s="297">
        <v>1</v>
      </c>
      <c r="U431" s="297">
        <v>1</v>
      </c>
      <c r="V431" s="328"/>
      <c r="W431" s="260" t="s">
        <v>200</v>
      </c>
      <c r="X431" s="198" t="s">
        <v>489</v>
      </c>
      <c r="Y431" s="157" t="b">
        <v>0</v>
      </c>
      <c r="Z431" s="157"/>
      <c r="AA431" s="157"/>
      <c r="AB431" s="157"/>
      <c r="AC431" s="157"/>
      <c r="AD431" s="157"/>
      <c r="AE431" s="157"/>
      <c r="AF431" s="157"/>
      <c r="AG431" s="157"/>
      <c r="AH431" s="157"/>
      <c r="AI431" s="157"/>
      <c r="AJ431" s="157"/>
      <c r="AK431" s="157"/>
      <c r="AL431" s="157"/>
      <c r="AM431" s="157"/>
      <c r="AN431" s="157"/>
      <c r="AO431" s="157"/>
      <c r="AP431" s="157"/>
    </row>
    <row r="432" spans="1:42" x14ac:dyDescent="0.25">
      <c r="A432" s="295" t="s">
        <v>54</v>
      </c>
      <c r="B432" s="295" t="s">
        <v>435</v>
      </c>
      <c r="C432" s="295" t="s">
        <v>44</v>
      </c>
      <c r="D432" s="295" t="s">
        <v>279</v>
      </c>
      <c r="E432" s="297">
        <v>1</v>
      </c>
      <c r="F432" s="297">
        <v>1</v>
      </c>
      <c r="G432" s="297">
        <v>1</v>
      </c>
      <c r="H432" s="297">
        <v>1</v>
      </c>
      <c r="I432" s="297">
        <v>1</v>
      </c>
      <c r="J432" s="297">
        <v>1</v>
      </c>
      <c r="K432" s="297">
        <v>1</v>
      </c>
      <c r="L432" s="297">
        <v>1</v>
      </c>
      <c r="M432" s="297">
        <v>1</v>
      </c>
      <c r="N432" s="297">
        <v>1</v>
      </c>
      <c r="O432" s="297">
        <v>1</v>
      </c>
      <c r="P432" s="297">
        <v>1</v>
      </c>
      <c r="Q432" s="297">
        <v>1</v>
      </c>
      <c r="R432" s="297">
        <v>1</v>
      </c>
      <c r="S432" s="297">
        <v>1</v>
      </c>
      <c r="T432" s="297">
        <v>1</v>
      </c>
      <c r="U432" s="297">
        <v>1</v>
      </c>
      <c r="V432" s="328"/>
      <c r="W432" s="260" t="s">
        <v>200</v>
      </c>
      <c r="X432" s="198" t="s">
        <v>489</v>
      </c>
      <c r="Y432" s="157" t="b">
        <v>0</v>
      </c>
      <c r="Z432" s="157"/>
      <c r="AA432" s="157"/>
      <c r="AB432" s="157"/>
      <c r="AC432" s="157"/>
      <c r="AD432" s="157"/>
      <c r="AE432" s="157"/>
      <c r="AF432" s="157"/>
      <c r="AG432" s="157"/>
      <c r="AH432" s="157"/>
      <c r="AI432" s="157"/>
      <c r="AJ432" s="157"/>
      <c r="AK432" s="157"/>
      <c r="AL432" s="157"/>
      <c r="AM432" s="157"/>
      <c r="AN432" s="157"/>
      <c r="AO432" s="157"/>
      <c r="AP432" s="157"/>
    </row>
    <row r="433" spans="1:42" x14ac:dyDescent="0.25">
      <c r="A433" s="295" t="s">
        <v>54</v>
      </c>
      <c r="B433" s="295" t="s">
        <v>435</v>
      </c>
      <c r="C433" s="295" t="s">
        <v>44</v>
      </c>
      <c r="D433" s="295" t="s">
        <v>281</v>
      </c>
      <c r="E433" s="297">
        <v>1</v>
      </c>
      <c r="F433" s="297">
        <v>1</v>
      </c>
      <c r="G433" s="297">
        <v>1</v>
      </c>
      <c r="H433" s="297">
        <v>1</v>
      </c>
      <c r="I433" s="297">
        <v>1</v>
      </c>
      <c r="J433" s="297">
        <v>1</v>
      </c>
      <c r="K433" s="297">
        <v>1</v>
      </c>
      <c r="L433" s="297">
        <v>1</v>
      </c>
      <c r="M433" s="297">
        <v>1</v>
      </c>
      <c r="N433" s="297">
        <v>1</v>
      </c>
      <c r="O433" s="297">
        <v>1</v>
      </c>
      <c r="P433" s="297">
        <v>1</v>
      </c>
      <c r="Q433" s="297">
        <v>1</v>
      </c>
      <c r="R433" s="297">
        <v>1</v>
      </c>
      <c r="S433" s="297">
        <v>1</v>
      </c>
      <c r="T433" s="297">
        <v>1</v>
      </c>
      <c r="U433" s="297">
        <v>1</v>
      </c>
      <c r="V433" s="328"/>
      <c r="W433" s="260" t="s">
        <v>200</v>
      </c>
      <c r="X433" s="198" t="s">
        <v>489</v>
      </c>
      <c r="Y433" s="157" t="b">
        <v>0</v>
      </c>
      <c r="Z433" s="157"/>
      <c r="AA433" s="157"/>
      <c r="AB433" s="157"/>
      <c r="AC433" s="157"/>
      <c r="AD433" s="157"/>
      <c r="AE433" s="157"/>
      <c r="AF433" s="157"/>
      <c r="AG433" s="157"/>
      <c r="AH433" s="157"/>
      <c r="AI433" s="157"/>
      <c r="AJ433" s="157"/>
      <c r="AK433" s="157"/>
      <c r="AL433" s="157"/>
      <c r="AM433" s="157"/>
      <c r="AN433" s="157"/>
      <c r="AO433" s="157"/>
      <c r="AP433" s="157"/>
    </row>
    <row r="434" spans="1:42" x14ac:dyDescent="0.25">
      <c r="A434" s="295" t="s">
        <v>54</v>
      </c>
      <c r="B434" s="295" t="s">
        <v>435</v>
      </c>
      <c r="C434" s="295" t="s">
        <v>41</v>
      </c>
      <c r="D434" s="295" t="s">
        <v>280</v>
      </c>
      <c r="E434" s="297">
        <v>1</v>
      </c>
      <c r="F434" s="297">
        <v>1</v>
      </c>
      <c r="G434" s="297">
        <v>1</v>
      </c>
      <c r="H434" s="297">
        <v>1</v>
      </c>
      <c r="I434" s="297">
        <v>1</v>
      </c>
      <c r="J434" s="297">
        <v>1</v>
      </c>
      <c r="K434" s="297">
        <v>1</v>
      </c>
      <c r="L434" s="297">
        <v>1</v>
      </c>
      <c r="M434" s="297">
        <v>1</v>
      </c>
      <c r="N434" s="297">
        <v>1</v>
      </c>
      <c r="O434" s="297">
        <v>1</v>
      </c>
      <c r="P434" s="297">
        <v>1</v>
      </c>
      <c r="Q434" s="297">
        <v>1</v>
      </c>
      <c r="R434" s="297">
        <v>1</v>
      </c>
      <c r="S434" s="297">
        <v>1</v>
      </c>
      <c r="T434" s="297">
        <v>1</v>
      </c>
      <c r="U434" s="297">
        <v>1</v>
      </c>
      <c r="V434" s="328"/>
      <c r="W434" s="260" t="s">
        <v>200</v>
      </c>
      <c r="X434" s="198" t="s">
        <v>489</v>
      </c>
      <c r="Y434" s="157" t="b">
        <v>0</v>
      </c>
      <c r="Z434" s="157"/>
      <c r="AA434" s="157"/>
      <c r="AB434" s="157"/>
      <c r="AC434" s="157"/>
      <c r="AD434" s="157"/>
      <c r="AE434" s="157"/>
      <c r="AF434" s="157"/>
      <c r="AG434" s="157"/>
      <c r="AH434" s="157"/>
      <c r="AI434" s="157"/>
      <c r="AJ434" s="157"/>
      <c r="AK434" s="157"/>
      <c r="AL434" s="157"/>
      <c r="AM434" s="157"/>
      <c r="AN434" s="157"/>
      <c r="AO434" s="157"/>
      <c r="AP434" s="157"/>
    </row>
    <row r="435" spans="1:42" x14ac:dyDescent="0.25">
      <c r="A435" s="295" t="s">
        <v>54</v>
      </c>
      <c r="B435" s="295" t="s">
        <v>435</v>
      </c>
      <c r="C435" s="295" t="s">
        <v>41</v>
      </c>
      <c r="D435" s="295" t="s">
        <v>282</v>
      </c>
      <c r="E435" s="297">
        <v>1</v>
      </c>
      <c r="F435" s="297">
        <v>1</v>
      </c>
      <c r="G435" s="297">
        <v>1</v>
      </c>
      <c r="H435" s="297">
        <v>1</v>
      </c>
      <c r="I435" s="297">
        <v>1</v>
      </c>
      <c r="J435" s="297">
        <v>1</v>
      </c>
      <c r="K435" s="297">
        <v>1</v>
      </c>
      <c r="L435" s="297">
        <v>1</v>
      </c>
      <c r="M435" s="297">
        <v>1</v>
      </c>
      <c r="N435" s="297">
        <v>1</v>
      </c>
      <c r="O435" s="297">
        <v>1</v>
      </c>
      <c r="P435" s="297">
        <v>1</v>
      </c>
      <c r="Q435" s="297">
        <v>1</v>
      </c>
      <c r="R435" s="297">
        <v>1</v>
      </c>
      <c r="S435" s="297">
        <v>1</v>
      </c>
      <c r="T435" s="297">
        <v>1</v>
      </c>
      <c r="U435" s="297">
        <v>1</v>
      </c>
      <c r="V435" s="328"/>
      <c r="W435" s="260" t="s">
        <v>200</v>
      </c>
      <c r="X435" s="198" t="s">
        <v>489</v>
      </c>
      <c r="Y435" s="157" t="b">
        <v>0</v>
      </c>
      <c r="Z435" s="157"/>
      <c r="AA435" s="157"/>
      <c r="AB435" s="157"/>
      <c r="AC435" s="157"/>
      <c r="AD435" s="157"/>
      <c r="AE435" s="157"/>
      <c r="AF435" s="157"/>
      <c r="AG435" s="157"/>
      <c r="AH435" s="157"/>
      <c r="AI435" s="157"/>
      <c r="AJ435" s="157"/>
      <c r="AK435" s="157"/>
      <c r="AL435" s="157"/>
      <c r="AM435" s="157"/>
      <c r="AN435" s="157"/>
      <c r="AO435" s="157"/>
      <c r="AP435" s="157"/>
    </row>
    <row r="436" spans="1:42" x14ac:dyDescent="0.25">
      <c r="A436" s="295" t="s">
        <v>54</v>
      </c>
      <c r="B436" s="295" t="s">
        <v>435</v>
      </c>
      <c r="C436" s="295" t="s">
        <v>43</v>
      </c>
      <c r="D436" s="295" t="s">
        <v>276</v>
      </c>
      <c r="E436" s="297">
        <v>1</v>
      </c>
      <c r="F436" s="297">
        <v>1</v>
      </c>
      <c r="G436" s="297">
        <v>1</v>
      </c>
      <c r="H436" s="297">
        <v>1</v>
      </c>
      <c r="I436" s="297">
        <v>1</v>
      </c>
      <c r="J436" s="297">
        <v>1</v>
      </c>
      <c r="K436" s="297">
        <v>1</v>
      </c>
      <c r="L436" s="297">
        <v>1</v>
      </c>
      <c r="M436" s="297">
        <v>1</v>
      </c>
      <c r="N436" s="297">
        <v>1</v>
      </c>
      <c r="O436" s="297">
        <v>1</v>
      </c>
      <c r="P436" s="297">
        <v>1</v>
      </c>
      <c r="Q436" s="297">
        <v>1</v>
      </c>
      <c r="R436" s="297">
        <v>1</v>
      </c>
      <c r="S436" s="297">
        <v>1</v>
      </c>
      <c r="T436" s="297">
        <v>1</v>
      </c>
      <c r="U436" s="297">
        <v>1</v>
      </c>
      <c r="V436" s="328"/>
      <c r="W436" s="260" t="s">
        <v>200</v>
      </c>
      <c r="X436" s="198" t="s">
        <v>489</v>
      </c>
      <c r="Y436" s="157" t="b">
        <v>0</v>
      </c>
      <c r="Z436" s="157"/>
      <c r="AA436" s="157"/>
      <c r="AB436" s="157"/>
      <c r="AC436" s="157"/>
      <c r="AD436" s="157"/>
      <c r="AE436" s="157"/>
      <c r="AF436" s="157"/>
      <c r="AG436" s="157"/>
      <c r="AH436" s="157"/>
      <c r="AI436" s="157"/>
      <c r="AJ436" s="157"/>
      <c r="AK436" s="157"/>
      <c r="AL436" s="157"/>
      <c r="AM436" s="157"/>
      <c r="AN436" s="157"/>
      <c r="AO436" s="157"/>
      <c r="AP436" s="157"/>
    </row>
    <row r="437" spans="1:42" x14ac:dyDescent="0.25">
      <c r="A437" s="295" t="s">
        <v>54</v>
      </c>
      <c r="B437" s="295" t="s">
        <v>435</v>
      </c>
      <c r="C437" s="295" t="s">
        <v>43</v>
      </c>
      <c r="D437" s="295" t="s">
        <v>279</v>
      </c>
      <c r="E437" s="297">
        <v>1</v>
      </c>
      <c r="F437" s="297">
        <v>1</v>
      </c>
      <c r="G437" s="297">
        <v>1</v>
      </c>
      <c r="H437" s="297">
        <v>1</v>
      </c>
      <c r="I437" s="297">
        <v>1</v>
      </c>
      <c r="J437" s="297">
        <v>1</v>
      </c>
      <c r="K437" s="297">
        <v>1</v>
      </c>
      <c r="L437" s="297">
        <v>1</v>
      </c>
      <c r="M437" s="297">
        <v>1</v>
      </c>
      <c r="N437" s="297">
        <v>1</v>
      </c>
      <c r="O437" s="297">
        <v>1</v>
      </c>
      <c r="P437" s="297">
        <v>1</v>
      </c>
      <c r="Q437" s="297">
        <v>1</v>
      </c>
      <c r="R437" s="297">
        <v>1</v>
      </c>
      <c r="S437" s="297">
        <v>1</v>
      </c>
      <c r="T437" s="297">
        <v>1</v>
      </c>
      <c r="U437" s="297">
        <v>1</v>
      </c>
      <c r="V437" s="328"/>
      <c r="W437" s="260" t="s">
        <v>200</v>
      </c>
      <c r="X437" s="198" t="s">
        <v>489</v>
      </c>
      <c r="Y437" s="157" t="b">
        <v>0</v>
      </c>
      <c r="Z437" s="157"/>
      <c r="AA437" s="157"/>
      <c r="AB437" s="157"/>
      <c r="AC437" s="157"/>
      <c r="AD437" s="157"/>
      <c r="AE437" s="157"/>
      <c r="AF437" s="157"/>
      <c r="AG437" s="157"/>
      <c r="AH437" s="157"/>
      <c r="AI437" s="157"/>
      <c r="AJ437" s="157"/>
      <c r="AK437" s="157"/>
      <c r="AL437" s="157"/>
      <c r="AM437" s="157"/>
      <c r="AN437" s="157"/>
      <c r="AO437" s="157"/>
      <c r="AP437" s="157"/>
    </row>
    <row r="438" spans="1:42" x14ac:dyDescent="0.25">
      <c r="A438" s="295" t="s">
        <v>54</v>
      </c>
      <c r="B438" s="295" t="s">
        <v>435</v>
      </c>
      <c r="C438" s="295" t="s">
        <v>43</v>
      </c>
      <c r="D438" s="295" t="s">
        <v>280</v>
      </c>
      <c r="E438" s="297">
        <v>1</v>
      </c>
      <c r="F438" s="297">
        <v>1</v>
      </c>
      <c r="G438" s="297">
        <v>1</v>
      </c>
      <c r="H438" s="297">
        <v>1</v>
      </c>
      <c r="I438" s="297">
        <v>1</v>
      </c>
      <c r="J438" s="297">
        <v>1</v>
      </c>
      <c r="K438" s="297">
        <v>1</v>
      </c>
      <c r="L438" s="297">
        <v>1</v>
      </c>
      <c r="M438" s="297">
        <v>1</v>
      </c>
      <c r="N438" s="297">
        <v>1</v>
      </c>
      <c r="O438" s="297">
        <v>1</v>
      </c>
      <c r="P438" s="297">
        <v>1</v>
      </c>
      <c r="Q438" s="297">
        <v>1</v>
      </c>
      <c r="R438" s="297">
        <v>1</v>
      </c>
      <c r="S438" s="297">
        <v>1</v>
      </c>
      <c r="T438" s="297">
        <v>1</v>
      </c>
      <c r="U438" s="297">
        <v>1</v>
      </c>
      <c r="V438" s="328"/>
      <c r="W438" s="260" t="s">
        <v>200</v>
      </c>
      <c r="X438" s="198" t="s">
        <v>489</v>
      </c>
      <c r="Y438" s="157" t="b">
        <v>0</v>
      </c>
      <c r="Z438" s="157"/>
      <c r="AA438" s="157"/>
      <c r="AB438" s="157"/>
      <c r="AC438" s="157"/>
      <c r="AD438" s="157"/>
      <c r="AE438" s="157"/>
      <c r="AF438" s="157"/>
      <c r="AG438" s="157"/>
      <c r="AH438" s="157"/>
      <c r="AI438" s="157"/>
      <c r="AJ438" s="157"/>
      <c r="AK438" s="157"/>
      <c r="AL438" s="157"/>
      <c r="AM438" s="157"/>
      <c r="AN438" s="157"/>
      <c r="AO438" s="157"/>
      <c r="AP438" s="157"/>
    </row>
    <row r="439" spans="1:42" x14ac:dyDescent="0.25">
      <c r="A439" s="295" t="s">
        <v>54</v>
      </c>
      <c r="B439" s="295" t="s">
        <v>435</v>
      </c>
      <c r="C439" s="295" t="s">
        <v>43</v>
      </c>
      <c r="D439" s="295" t="s">
        <v>281</v>
      </c>
      <c r="E439" s="297">
        <v>1</v>
      </c>
      <c r="F439" s="297">
        <v>1</v>
      </c>
      <c r="G439" s="297">
        <v>1</v>
      </c>
      <c r="H439" s="297">
        <v>1</v>
      </c>
      <c r="I439" s="297">
        <v>1</v>
      </c>
      <c r="J439" s="297">
        <v>1</v>
      </c>
      <c r="K439" s="297">
        <v>1</v>
      </c>
      <c r="L439" s="297">
        <v>1</v>
      </c>
      <c r="M439" s="297">
        <v>1</v>
      </c>
      <c r="N439" s="297">
        <v>1</v>
      </c>
      <c r="O439" s="297">
        <v>1</v>
      </c>
      <c r="P439" s="297">
        <v>1</v>
      </c>
      <c r="Q439" s="297">
        <v>1</v>
      </c>
      <c r="R439" s="297">
        <v>1</v>
      </c>
      <c r="S439" s="297">
        <v>1</v>
      </c>
      <c r="T439" s="297">
        <v>1</v>
      </c>
      <c r="U439" s="297">
        <v>1</v>
      </c>
      <c r="V439" s="328"/>
      <c r="W439" s="260" t="s">
        <v>200</v>
      </c>
      <c r="X439" s="198" t="s">
        <v>489</v>
      </c>
      <c r="Y439" s="157" t="b">
        <v>0</v>
      </c>
      <c r="Z439" s="157"/>
      <c r="AA439" s="157"/>
      <c r="AB439" s="157"/>
      <c r="AC439" s="157"/>
      <c r="AD439" s="157"/>
      <c r="AE439" s="157"/>
      <c r="AF439" s="157"/>
      <c r="AG439" s="157"/>
      <c r="AH439" s="157"/>
      <c r="AI439" s="157"/>
      <c r="AJ439" s="157"/>
      <c r="AK439" s="157"/>
      <c r="AL439" s="157"/>
      <c r="AM439" s="157"/>
      <c r="AN439" s="157"/>
      <c r="AO439" s="157"/>
      <c r="AP439" s="157"/>
    </row>
    <row r="440" spans="1:42" x14ac:dyDescent="0.25">
      <c r="A440" s="295" t="s">
        <v>54</v>
      </c>
      <c r="B440" s="295" t="s">
        <v>435</v>
      </c>
      <c r="C440" s="295" t="s">
        <v>43</v>
      </c>
      <c r="D440" s="295" t="s">
        <v>282</v>
      </c>
      <c r="E440" s="297">
        <v>1</v>
      </c>
      <c r="F440" s="297">
        <v>1</v>
      </c>
      <c r="G440" s="297">
        <v>1</v>
      </c>
      <c r="H440" s="297">
        <v>1</v>
      </c>
      <c r="I440" s="297">
        <v>1</v>
      </c>
      <c r="J440" s="297">
        <v>1</v>
      </c>
      <c r="K440" s="297">
        <v>1</v>
      </c>
      <c r="L440" s="297">
        <v>1</v>
      </c>
      <c r="M440" s="297">
        <v>1</v>
      </c>
      <c r="N440" s="297">
        <v>1</v>
      </c>
      <c r="O440" s="297">
        <v>1</v>
      </c>
      <c r="P440" s="297">
        <v>1</v>
      </c>
      <c r="Q440" s="297">
        <v>1</v>
      </c>
      <c r="R440" s="297">
        <v>1</v>
      </c>
      <c r="S440" s="297">
        <v>1</v>
      </c>
      <c r="T440" s="297">
        <v>1</v>
      </c>
      <c r="U440" s="297">
        <v>1</v>
      </c>
      <c r="V440" s="328"/>
      <c r="W440" s="260" t="s">
        <v>200</v>
      </c>
      <c r="X440" s="198" t="s">
        <v>489</v>
      </c>
      <c r="Y440" s="157" t="b">
        <v>0</v>
      </c>
      <c r="Z440" s="157"/>
      <c r="AA440" s="157"/>
      <c r="AB440" s="157"/>
      <c r="AC440" s="157"/>
      <c r="AD440" s="157"/>
      <c r="AE440" s="157"/>
      <c r="AF440" s="157"/>
      <c r="AG440" s="157"/>
      <c r="AH440" s="157"/>
      <c r="AI440" s="157"/>
      <c r="AJ440" s="157"/>
      <c r="AK440" s="157"/>
      <c r="AL440" s="157"/>
      <c r="AM440" s="157"/>
      <c r="AN440" s="157"/>
      <c r="AO440" s="157"/>
      <c r="AP440" s="157"/>
    </row>
    <row r="441" spans="1:42" x14ac:dyDescent="0.25">
      <c r="A441" s="295" t="s">
        <v>54</v>
      </c>
      <c r="B441" s="295" t="s">
        <v>435</v>
      </c>
      <c r="C441" s="295" t="s">
        <v>40</v>
      </c>
      <c r="D441" s="295" t="s">
        <v>276</v>
      </c>
      <c r="E441" s="297">
        <v>1</v>
      </c>
      <c r="F441" s="297">
        <v>1</v>
      </c>
      <c r="G441" s="297">
        <v>1</v>
      </c>
      <c r="H441" s="297">
        <v>1</v>
      </c>
      <c r="I441" s="297">
        <v>1</v>
      </c>
      <c r="J441" s="297">
        <v>1</v>
      </c>
      <c r="K441" s="297">
        <v>1</v>
      </c>
      <c r="L441" s="297">
        <v>1</v>
      </c>
      <c r="M441" s="297">
        <v>1</v>
      </c>
      <c r="N441" s="297">
        <v>1</v>
      </c>
      <c r="O441" s="297">
        <v>1</v>
      </c>
      <c r="P441" s="297">
        <v>1</v>
      </c>
      <c r="Q441" s="297">
        <v>1</v>
      </c>
      <c r="R441" s="297">
        <v>1</v>
      </c>
      <c r="S441" s="297">
        <v>1</v>
      </c>
      <c r="T441" s="297">
        <v>1</v>
      </c>
      <c r="U441" s="297">
        <v>1</v>
      </c>
      <c r="V441" s="328"/>
      <c r="W441" s="260" t="s">
        <v>203</v>
      </c>
      <c r="X441" s="198" t="s">
        <v>490</v>
      </c>
      <c r="Y441" s="157" t="b">
        <v>0</v>
      </c>
      <c r="Z441" s="157"/>
      <c r="AA441" s="157"/>
      <c r="AB441" s="157"/>
      <c r="AC441" s="157"/>
      <c r="AD441" s="157"/>
      <c r="AE441" s="157"/>
      <c r="AF441" s="157"/>
      <c r="AG441" s="157"/>
      <c r="AH441" s="157"/>
      <c r="AI441" s="157"/>
      <c r="AJ441" s="157"/>
      <c r="AK441" s="157"/>
      <c r="AL441" s="157"/>
      <c r="AM441" s="157"/>
      <c r="AN441" s="157"/>
      <c r="AO441" s="157"/>
      <c r="AP441" s="157"/>
    </row>
    <row r="442" spans="1:42" x14ac:dyDescent="0.25">
      <c r="A442" s="295" t="s">
        <v>54</v>
      </c>
      <c r="B442" s="295" t="s">
        <v>435</v>
      </c>
      <c r="C442" s="295" t="s">
        <v>40</v>
      </c>
      <c r="D442" s="295" t="s">
        <v>279</v>
      </c>
      <c r="E442" s="297">
        <v>1</v>
      </c>
      <c r="F442" s="297">
        <v>1</v>
      </c>
      <c r="G442" s="297">
        <v>1</v>
      </c>
      <c r="H442" s="297">
        <v>1</v>
      </c>
      <c r="I442" s="297">
        <v>1</v>
      </c>
      <c r="J442" s="297">
        <v>1</v>
      </c>
      <c r="K442" s="297">
        <v>1</v>
      </c>
      <c r="L442" s="297">
        <v>1</v>
      </c>
      <c r="M442" s="297">
        <v>1</v>
      </c>
      <c r="N442" s="297">
        <v>1</v>
      </c>
      <c r="O442" s="297">
        <v>1</v>
      </c>
      <c r="P442" s="297">
        <v>1</v>
      </c>
      <c r="Q442" s="297">
        <v>1</v>
      </c>
      <c r="R442" s="297">
        <v>1</v>
      </c>
      <c r="S442" s="297">
        <v>1</v>
      </c>
      <c r="T442" s="297">
        <v>1</v>
      </c>
      <c r="U442" s="297">
        <v>1</v>
      </c>
      <c r="V442" s="328"/>
      <c r="W442" s="260" t="s">
        <v>203</v>
      </c>
      <c r="X442" s="198" t="s">
        <v>490</v>
      </c>
      <c r="Y442" s="157" t="b">
        <v>0</v>
      </c>
      <c r="Z442" s="157"/>
      <c r="AA442" s="157"/>
      <c r="AB442" s="157"/>
      <c r="AC442" s="157"/>
      <c r="AD442" s="157"/>
      <c r="AE442" s="157"/>
      <c r="AF442" s="157"/>
      <c r="AG442" s="157"/>
      <c r="AH442" s="157"/>
      <c r="AI442" s="157"/>
      <c r="AJ442" s="157"/>
      <c r="AK442" s="157"/>
      <c r="AL442" s="157"/>
      <c r="AM442" s="157"/>
      <c r="AN442" s="157"/>
      <c r="AO442" s="157"/>
      <c r="AP442" s="157"/>
    </row>
    <row r="443" spans="1:42" x14ac:dyDescent="0.25">
      <c r="A443" s="295" t="s">
        <v>54</v>
      </c>
      <c r="B443" s="295" t="s">
        <v>435</v>
      </c>
      <c r="C443" s="295" t="s">
        <v>40</v>
      </c>
      <c r="D443" s="295" t="s">
        <v>280</v>
      </c>
      <c r="E443" s="297">
        <v>1</v>
      </c>
      <c r="F443" s="297">
        <v>1</v>
      </c>
      <c r="G443" s="297">
        <v>1</v>
      </c>
      <c r="H443" s="297">
        <v>1</v>
      </c>
      <c r="I443" s="297">
        <v>1</v>
      </c>
      <c r="J443" s="297">
        <v>1</v>
      </c>
      <c r="K443" s="297">
        <v>1</v>
      </c>
      <c r="L443" s="297">
        <v>1</v>
      </c>
      <c r="M443" s="297">
        <v>1</v>
      </c>
      <c r="N443" s="297">
        <v>1</v>
      </c>
      <c r="O443" s="297">
        <v>1</v>
      </c>
      <c r="P443" s="297">
        <v>1</v>
      </c>
      <c r="Q443" s="297">
        <v>1</v>
      </c>
      <c r="R443" s="297">
        <v>1</v>
      </c>
      <c r="S443" s="297">
        <v>1</v>
      </c>
      <c r="T443" s="297">
        <v>1</v>
      </c>
      <c r="U443" s="297">
        <v>1</v>
      </c>
      <c r="V443" s="328"/>
      <c r="W443" s="260" t="s">
        <v>203</v>
      </c>
      <c r="X443" s="198" t="s">
        <v>490</v>
      </c>
      <c r="Y443" s="157" t="b">
        <v>0</v>
      </c>
      <c r="Z443" s="157"/>
      <c r="AA443" s="157"/>
      <c r="AB443" s="157"/>
      <c r="AC443" s="157"/>
      <c r="AD443" s="157"/>
      <c r="AE443" s="157"/>
      <c r="AF443" s="157"/>
      <c r="AG443" s="157"/>
      <c r="AH443" s="157"/>
      <c r="AI443" s="157"/>
      <c r="AJ443" s="157"/>
      <c r="AK443" s="157"/>
      <c r="AL443" s="157"/>
      <c r="AM443" s="157"/>
      <c r="AN443" s="157"/>
      <c r="AO443" s="157"/>
      <c r="AP443" s="157"/>
    </row>
    <row r="444" spans="1:42" x14ac:dyDescent="0.25">
      <c r="A444" s="295" t="s">
        <v>54</v>
      </c>
      <c r="B444" s="295" t="s">
        <v>435</v>
      </c>
      <c r="C444" s="295" t="s">
        <v>40</v>
      </c>
      <c r="D444" s="295" t="s">
        <v>281</v>
      </c>
      <c r="E444" s="297">
        <v>1</v>
      </c>
      <c r="F444" s="297">
        <v>1</v>
      </c>
      <c r="G444" s="297">
        <v>1</v>
      </c>
      <c r="H444" s="297">
        <v>1</v>
      </c>
      <c r="I444" s="297">
        <v>1</v>
      </c>
      <c r="J444" s="297">
        <v>1</v>
      </c>
      <c r="K444" s="297">
        <v>1</v>
      </c>
      <c r="L444" s="297">
        <v>1</v>
      </c>
      <c r="M444" s="297">
        <v>1</v>
      </c>
      <c r="N444" s="297">
        <v>1</v>
      </c>
      <c r="O444" s="297">
        <v>1</v>
      </c>
      <c r="P444" s="297">
        <v>1</v>
      </c>
      <c r="Q444" s="297">
        <v>1</v>
      </c>
      <c r="R444" s="297">
        <v>1</v>
      </c>
      <c r="S444" s="297">
        <v>1</v>
      </c>
      <c r="T444" s="297">
        <v>1</v>
      </c>
      <c r="U444" s="297">
        <v>1</v>
      </c>
      <c r="V444" s="328"/>
      <c r="W444" s="260" t="s">
        <v>203</v>
      </c>
      <c r="X444" s="198" t="s">
        <v>490</v>
      </c>
      <c r="Y444" s="157" t="b">
        <v>0</v>
      </c>
      <c r="Z444" s="157"/>
      <c r="AA444" s="157"/>
      <c r="AB444" s="157"/>
      <c r="AC444" s="157"/>
      <c r="AD444" s="157"/>
      <c r="AE444" s="157"/>
      <c r="AF444" s="157"/>
      <c r="AG444" s="157"/>
      <c r="AH444" s="157"/>
      <c r="AI444" s="157"/>
      <c r="AJ444" s="157"/>
      <c r="AK444" s="157"/>
      <c r="AL444" s="157"/>
      <c r="AM444" s="157"/>
      <c r="AN444" s="157"/>
      <c r="AO444" s="157"/>
      <c r="AP444" s="157"/>
    </row>
    <row r="445" spans="1:42" x14ac:dyDescent="0.25">
      <c r="A445" s="295" t="s">
        <v>54</v>
      </c>
      <c r="B445" s="295" t="s">
        <v>435</v>
      </c>
      <c r="C445" s="295" t="s">
        <v>40</v>
      </c>
      <c r="D445" s="295" t="s">
        <v>282</v>
      </c>
      <c r="E445" s="297">
        <v>1</v>
      </c>
      <c r="F445" s="297">
        <v>1</v>
      </c>
      <c r="G445" s="297">
        <v>1</v>
      </c>
      <c r="H445" s="297">
        <v>1</v>
      </c>
      <c r="I445" s="297">
        <v>1</v>
      </c>
      <c r="J445" s="297">
        <v>1</v>
      </c>
      <c r="K445" s="297">
        <v>1</v>
      </c>
      <c r="L445" s="297">
        <v>1</v>
      </c>
      <c r="M445" s="297">
        <v>1</v>
      </c>
      <c r="N445" s="297">
        <v>1</v>
      </c>
      <c r="O445" s="297">
        <v>1</v>
      </c>
      <c r="P445" s="297">
        <v>1</v>
      </c>
      <c r="Q445" s="297">
        <v>1</v>
      </c>
      <c r="R445" s="297">
        <v>1</v>
      </c>
      <c r="S445" s="297">
        <v>1</v>
      </c>
      <c r="T445" s="297">
        <v>1</v>
      </c>
      <c r="U445" s="297">
        <v>1</v>
      </c>
      <c r="V445" s="328"/>
      <c r="W445" s="260" t="s">
        <v>203</v>
      </c>
      <c r="X445" s="198" t="s">
        <v>490</v>
      </c>
      <c r="Y445" s="157" t="b">
        <v>0</v>
      </c>
      <c r="Z445" s="157"/>
      <c r="AA445" s="157"/>
      <c r="AB445" s="157"/>
      <c r="AC445" s="157"/>
      <c r="AD445" s="157"/>
      <c r="AE445" s="157"/>
      <c r="AF445" s="157"/>
      <c r="AG445" s="157"/>
      <c r="AH445" s="157"/>
      <c r="AI445" s="157"/>
      <c r="AJ445" s="157"/>
      <c r="AK445" s="157"/>
      <c r="AL445" s="157"/>
      <c r="AM445" s="157"/>
      <c r="AN445" s="157"/>
      <c r="AO445" s="157"/>
      <c r="AP445" s="157"/>
    </row>
    <row r="446" spans="1:42" x14ac:dyDescent="0.25">
      <c r="A446" s="295" t="s">
        <v>54</v>
      </c>
      <c r="B446" s="295" t="s">
        <v>435</v>
      </c>
      <c r="C446" s="295" t="s">
        <v>42</v>
      </c>
      <c r="D446" s="295" t="s">
        <v>276</v>
      </c>
      <c r="E446" s="297">
        <v>1</v>
      </c>
      <c r="F446" s="297">
        <v>1</v>
      </c>
      <c r="G446" s="297">
        <v>1</v>
      </c>
      <c r="H446" s="297">
        <v>1</v>
      </c>
      <c r="I446" s="297">
        <v>1</v>
      </c>
      <c r="J446" s="297">
        <v>1</v>
      </c>
      <c r="K446" s="297">
        <v>1</v>
      </c>
      <c r="L446" s="297">
        <v>1</v>
      </c>
      <c r="M446" s="297">
        <v>1</v>
      </c>
      <c r="N446" s="297">
        <v>1</v>
      </c>
      <c r="O446" s="297">
        <v>1</v>
      </c>
      <c r="P446" s="297">
        <v>1</v>
      </c>
      <c r="Q446" s="297">
        <v>1</v>
      </c>
      <c r="R446" s="297">
        <v>1</v>
      </c>
      <c r="S446" s="297">
        <v>1</v>
      </c>
      <c r="T446" s="297">
        <v>1</v>
      </c>
      <c r="U446" s="297">
        <v>1</v>
      </c>
      <c r="V446" s="328"/>
      <c r="W446" s="260" t="s">
        <v>203</v>
      </c>
      <c r="X446" s="198" t="s">
        <v>490</v>
      </c>
      <c r="Y446" s="157" t="b">
        <v>0</v>
      </c>
      <c r="Z446" s="157"/>
      <c r="AA446" s="157"/>
      <c r="AB446" s="157"/>
      <c r="AC446" s="157"/>
      <c r="AD446" s="157"/>
      <c r="AE446" s="157"/>
      <c r="AF446" s="157"/>
      <c r="AG446" s="157"/>
      <c r="AH446" s="157"/>
      <c r="AI446" s="157"/>
      <c r="AJ446" s="157"/>
      <c r="AK446" s="157"/>
      <c r="AL446" s="157"/>
      <c r="AM446" s="157"/>
      <c r="AN446" s="157"/>
      <c r="AO446" s="157"/>
      <c r="AP446" s="157"/>
    </row>
    <row r="447" spans="1:42" x14ac:dyDescent="0.25">
      <c r="A447" s="295" t="s">
        <v>54</v>
      </c>
      <c r="B447" s="295" t="s">
        <v>435</v>
      </c>
      <c r="C447" s="295" t="s">
        <v>42</v>
      </c>
      <c r="D447" s="295" t="s">
        <v>279</v>
      </c>
      <c r="E447" s="297">
        <v>1</v>
      </c>
      <c r="F447" s="297">
        <v>1</v>
      </c>
      <c r="G447" s="297">
        <v>1</v>
      </c>
      <c r="H447" s="297">
        <v>1</v>
      </c>
      <c r="I447" s="297">
        <v>1</v>
      </c>
      <c r="J447" s="297">
        <v>1</v>
      </c>
      <c r="K447" s="297">
        <v>1</v>
      </c>
      <c r="L447" s="297">
        <v>1</v>
      </c>
      <c r="M447" s="297">
        <v>1</v>
      </c>
      <c r="N447" s="297">
        <v>1</v>
      </c>
      <c r="O447" s="297">
        <v>1</v>
      </c>
      <c r="P447" s="297">
        <v>1</v>
      </c>
      <c r="Q447" s="297">
        <v>1</v>
      </c>
      <c r="R447" s="297">
        <v>1</v>
      </c>
      <c r="S447" s="297">
        <v>1</v>
      </c>
      <c r="T447" s="297">
        <v>1</v>
      </c>
      <c r="U447" s="297">
        <v>1</v>
      </c>
      <c r="V447" s="328"/>
      <c r="W447" s="260" t="s">
        <v>203</v>
      </c>
      <c r="X447" s="198" t="s">
        <v>490</v>
      </c>
      <c r="Y447" s="157" t="b">
        <v>0</v>
      </c>
      <c r="Z447" s="157"/>
      <c r="AA447" s="157"/>
      <c r="AB447" s="157"/>
      <c r="AC447" s="157"/>
      <c r="AD447" s="157"/>
      <c r="AE447" s="157"/>
      <c r="AF447" s="157"/>
      <c r="AG447" s="157"/>
      <c r="AH447" s="157"/>
      <c r="AI447" s="157"/>
      <c r="AJ447" s="157"/>
      <c r="AK447" s="157"/>
      <c r="AL447" s="157"/>
      <c r="AM447" s="157"/>
      <c r="AN447" s="157"/>
      <c r="AO447" s="157"/>
      <c r="AP447" s="157"/>
    </row>
    <row r="448" spans="1:42" x14ac:dyDescent="0.25">
      <c r="A448" s="295" t="s">
        <v>54</v>
      </c>
      <c r="B448" s="295" t="s">
        <v>435</v>
      </c>
      <c r="C448" s="295" t="s">
        <v>42</v>
      </c>
      <c r="D448" s="295" t="s">
        <v>280</v>
      </c>
      <c r="E448" s="297">
        <v>1</v>
      </c>
      <c r="F448" s="297">
        <v>1</v>
      </c>
      <c r="G448" s="297">
        <v>1</v>
      </c>
      <c r="H448" s="297">
        <v>1</v>
      </c>
      <c r="I448" s="297">
        <v>1</v>
      </c>
      <c r="J448" s="297">
        <v>1</v>
      </c>
      <c r="K448" s="297">
        <v>1</v>
      </c>
      <c r="L448" s="297">
        <v>1</v>
      </c>
      <c r="M448" s="297">
        <v>1</v>
      </c>
      <c r="N448" s="297">
        <v>1</v>
      </c>
      <c r="O448" s="297">
        <v>1</v>
      </c>
      <c r="P448" s="297">
        <v>1</v>
      </c>
      <c r="Q448" s="297">
        <v>1</v>
      </c>
      <c r="R448" s="297">
        <v>1</v>
      </c>
      <c r="S448" s="297">
        <v>1</v>
      </c>
      <c r="T448" s="297">
        <v>1</v>
      </c>
      <c r="U448" s="297">
        <v>1</v>
      </c>
      <c r="V448" s="328"/>
      <c r="W448" s="260" t="s">
        <v>203</v>
      </c>
      <c r="X448" s="198" t="s">
        <v>490</v>
      </c>
      <c r="Y448" s="157" t="b">
        <v>0</v>
      </c>
      <c r="Z448" s="157"/>
      <c r="AA448" s="157"/>
      <c r="AB448" s="157"/>
      <c r="AC448" s="157"/>
      <c r="AD448" s="157"/>
      <c r="AE448" s="157"/>
      <c r="AF448" s="157"/>
      <c r="AG448" s="157"/>
      <c r="AH448" s="157"/>
      <c r="AI448" s="157"/>
      <c r="AJ448" s="157"/>
      <c r="AK448" s="157"/>
      <c r="AL448" s="157"/>
      <c r="AM448" s="157"/>
      <c r="AN448" s="157"/>
      <c r="AO448" s="157"/>
      <c r="AP448" s="157"/>
    </row>
    <row r="449" spans="1:42" x14ac:dyDescent="0.25">
      <c r="A449" s="295" t="s">
        <v>54</v>
      </c>
      <c r="B449" s="295" t="s">
        <v>435</v>
      </c>
      <c r="C449" s="295" t="s">
        <v>42</v>
      </c>
      <c r="D449" s="295" t="s">
        <v>281</v>
      </c>
      <c r="E449" s="297">
        <v>1</v>
      </c>
      <c r="F449" s="297">
        <v>1</v>
      </c>
      <c r="G449" s="297">
        <v>1</v>
      </c>
      <c r="H449" s="297">
        <v>1</v>
      </c>
      <c r="I449" s="297">
        <v>1</v>
      </c>
      <c r="J449" s="297">
        <v>1</v>
      </c>
      <c r="K449" s="297">
        <v>1</v>
      </c>
      <c r="L449" s="297">
        <v>1</v>
      </c>
      <c r="M449" s="297">
        <v>1</v>
      </c>
      <c r="N449" s="297">
        <v>1</v>
      </c>
      <c r="O449" s="297">
        <v>1</v>
      </c>
      <c r="P449" s="297">
        <v>1</v>
      </c>
      <c r="Q449" s="297">
        <v>1</v>
      </c>
      <c r="R449" s="297">
        <v>1</v>
      </c>
      <c r="S449" s="297">
        <v>1</v>
      </c>
      <c r="T449" s="297">
        <v>1</v>
      </c>
      <c r="U449" s="297">
        <v>1</v>
      </c>
      <c r="V449" s="328"/>
      <c r="W449" s="260" t="s">
        <v>203</v>
      </c>
      <c r="X449" s="198" t="s">
        <v>490</v>
      </c>
      <c r="Y449" s="157" t="b">
        <v>0</v>
      </c>
      <c r="Z449" s="157"/>
      <c r="AA449" s="157"/>
      <c r="AB449" s="157"/>
      <c r="AC449" s="157"/>
      <c r="AD449" s="157"/>
      <c r="AE449" s="157"/>
      <c r="AF449" s="157"/>
      <c r="AG449" s="157"/>
      <c r="AH449" s="157"/>
      <c r="AI449" s="157"/>
      <c r="AJ449" s="157"/>
      <c r="AK449" s="157"/>
      <c r="AL449" s="157"/>
      <c r="AM449" s="157"/>
      <c r="AN449" s="157"/>
      <c r="AO449" s="157"/>
      <c r="AP449" s="157"/>
    </row>
    <row r="450" spans="1:42" x14ac:dyDescent="0.25">
      <c r="A450" s="295" t="s">
        <v>54</v>
      </c>
      <c r="B450" s="295" t="s">
        <v>435</v>
      </c>
      <c r="C450" s="295" t="s">
        <v>42</v>
      </c>
      <c r="D450" s="295" t="s">
        <v>282</v>
      </c>
      <c r="E450" s="297">
        <v>1</v>
      </c>
      <c r="F450" s="297">
        <v>1</v>
      </c>
      <c r="G450" s="297">
        <v>1</v>
      </c>
      <c r="H450" s="297">
        <v>1</v>
      </c>
      <c r="I450" s="297">
        <v>1</v>
      </c>
      <c r="J450" s="297">
        <v>1</v>
      </c>
      <c r="K450" s="297">
        <v>1</v>
      </c>
      <c r="L450" s="297">
        <v>1</v>
      </c>
      <c r="M450" s="297">
        <v>1</v>
      </c>
      <c r="N450" s="297">
        <v>1</v>
      </c>
      <c r="O450" s="297">
        <v>1</v>
      </c>
      <c r="P450" s="297">
        <v>1</v>
      </c>
      <c r="Q450" s="297">
        <v>1</v>
      </c>
      <c r="R450" s="297">
        <v>1</v>
      </c>
      <c r="S450" s="297">
        <v>1</v>
      </c>
      <c r="T450" s="297">
        <v>1</v>
      </c>
      <c r="U450" s="297">
        <v>1</v>
      </c>
      <c r="V450" s="328"/>
      <c r="W450" s="260" t="s">
        <v>203</v>
      </c>
      <c r="X450" s="198" t="s">
        <v>490</v>
      </c>
      <c r="Y450" s="157" t="b">
        <v>0</v>
      </c>
      <c r="Z450" s="157"/>
      <c r="AA450" s="157"/>
      <c r="AB450" s="157"/>
      <c r="AC450" s="157"/>
      <c r="AD450" s="157"/>
      <c r="AE450" s="157"/>
      <c r="AF450" s="157"/>
      <c r="AG450" s="157"/>
      <c r="AH450" s="157"/>
      <c r="AI450" s="157"/>
      <c r="AJ450" s="157"/>
      <c r="AK450" s="157"/>
      <c r="AL450" s="157"/>
      <c r="AM450" s="157"/>
      <c r="AN450" s="157"/>
      <c r="AO450" s="157"/>
      <c r="AP450" s="157"/>
    </row>
    <row r="451" spans="1:42" x14ac:dyDescent="0.25">
      <c r="A451" s="295" t="s">
        <v>89</v>
      </c>
      <c r="B451" s="295" t="s">
        <v>435</v>
      </c>
      <c r="C451" s="295" t="s">
        <v>41</v>
      </c>
      <c r="D451" s="295" t="s">
        <v>280</v>
      </c>
      <c r="E451" s="297">
        <v>0.49748766163793101</v>
      </c>
      <c r="F451" s="297">
        <v>0.49665021551724137</v>
      </c>
      <c r="G451" s="297">
        <v>0.49553362068965517</v>
      </c>
      <c r="H451" s="297">
        <v>0.49404482758620688</v>
      </c>
      <c r="I451" s="297">
        <v>0.49255603448275864</v>
      </c>
      <c r="J451" s="297">
        <v>0.4906950431034483</v>
      </c>
      <c r="K451" s="297">
        <v>0.48836880387931036</v>
      </c>
      <c r="L451" s="297">
        <v>0.48546100484913796</v>
      </c>
      <c r="M451" s="297">
        <v>0.48182625606142243</v>
      </c>
      <c r="N451" s="297">
        <v>0.47728282007677802</v>
      </c>
      <c r="O451" s="297">
        <v>0.47160352509597253</v>
      </c>
      <c r="P451" s="297">
        <v>0.46450440636996571</v>
      </c>
      <c r="Q451" s="297">
        <v>0.45563050796245713</v>
      </c>
      <c r="R451" s="297">
        <v>0.44453813495307143</v>
      </c>
      <c r="S451" s="297">
        <v>0.4306726686913393</v>
      </c>
      <c r="T451" s="297">
        <v>0.41334083586417414</v>
      </c>
      <c r="U451" s="297">
        <v>0.39167604483021767</v>
      </c>
      <c r="V451" s="328" t="s">
        <v>307</v>
      </c>
      <c r="W451" s="260" t="s">
        <v>200</v>
      </c>
      <c r="X451" s="198" t="s">
        <v>491</v>
      </c>
      <c r="Y451" s="157" t="b">
        <v>0</v>
      </c>
      <c r="Z451" s="157"/>
      <c r="AA451" s="157"/>
      <c r="AB451" s="157"/>
      <c r="AC451" s="157"/>
      <c r="AD451" s="157"/>
      <c r="AE451" s="157"/>
      <c r="AF451" s="157"/>
      <c r="AG451" s="157"/>
      <c r="AH451" s="157"/>
      <c r="AI451" s="157"/>
      <c r="AJ451" s="157"/>
      <c r="AK451" s="157"/>
      <c r="AL451" s="157"/>
      <c r="AM451" s="157"/>
      <c r="AN451" s="157"/>
      <c r="AO451" s="157"/>
      <c r="AP451" s="157"/>
    </row>
    <row r="452" spans="1:42" x14ac:dyDescent="0.25">
      <c r="A452" s="295" t="s">
        <v>89</v>
      </c>
      <c r="B452" s="295" t="s">
        <v>435</v>
      </c>
      <c r="C452" s="295" t="s">
        <v>41</v>
      </c>
      <c r="D452" s="295" t="s">
        <v>282</v>
      </c>
      <c r="E452" s="297">
        <v>0.49748766163793101</v>
      </c>
      <c r="F452" s="297">
        <v>0.49665021551724137</v>
      </c>
      <c r="G452" s="297">
        <v>0.49553362068965517</v>
      </c>
      <c r="H452" s="297">
        <v>0.49404482758620688</v>
      </c>
      <c r="I452" s="297">
        <v>0.49255603448275864</v>
      </c>
      <c r="J452" s="297">
        <v>0.4906950431034483</v>
      </c>
      <c r="K452" s="297">
        <v>0.48836880387931036</v>
      </c>
      <c r="L452" s="297">
        <v>0.48546100484913796</v>
      </c>
      <c r="M452" s="297">
        <v>0.48182625606142243</v>
      </c>
      <c r="N452" s="297">
        <v>0.47728282007677802</v>
      </c>
      <c r="O452" s="297">
        <v>0.47160352509597253</v>
      </c>
      <c r="P452" s="297">
        <v>0.46450440636996571</v>
      </c>
      <c r="Q452" s="297">
        <v>0.45563050796245713</v>
      </c>
      <c r="R452" s="297">
        <v>0.44453813495307143</v>
      </c>
      <c r="S452" s="297">
        <v>0.4306726686913393</v>
      </c>
      <c r="T452" s="297">
        <v>0.41334083586417414</v>
      </c>
      <c r="U452" s="297">
        <v>0.39167604483021767</v>
      </c>
      <c r="V452" s="328"/>
      <c r="W452" s="260" t="s">
        <v>200</v>
      </c>
      <c r="X452" s="198" t="s">
        <v>491</v>
      </c>
      <c r="Y452" s="157" t="b">
        <v>0</v>
      </c>
      <c r="Z452" s="157"/>
      <c r="AA452" s="157"/>
      <c r="AB452" s="157"/>
      <c r="AC452" s="157"/>
      <c r="AD452" s="157"/>
      <c r="AE452" s="157"/>
      <c r="AF452" s="157"/>
      <c r="AG452" s="157"/>
      <c r="AH452" s="157"/>
      <c r="AI452" s="157"/>
      <c r="AJ452" s="157"/>
      <c r="AK452" s="157"/>
      <c r="AL452" s="157"/>
      <c r="AM452" s="157"/>
      <c r="AN452" s="157"/>
      <c r="AO452" s="157"/>
      <c r="AP452" s="157"/>
    </row>
    <row r="453" spans="1:42" x14ac:dyDescent="0.25">
      <c r="A453" s="295" t="s">
        <v>89</v>
      </c>
      <c r="B453" s="295" t="s">
        <v>435</v>
      </c>
      <c r="C453" s="295" t="s">
        <v>43</v>
      </c>
      <c r="D453" s="295" t="s">
        <v>276</v>
      </c>
      <c r="E453" s="297">
        <v>0.49748766163793101</v>
      </c>
      <c r="F453" s="297">
        <v>0.49665021551724137</v>
      </c>
      <c r="G453" s="297">
        <v>0.49553362068965517</v>
      </c>
      <c r="H453" s="297">
        <v>0.49404482758620688</v>
      </c>
      <c r="I453" s="297">
        <v>0.49255603448275864</v>
      </c>
      <c r="J453" s="297">
        <v>0.4906950431034483</v>
      </c>
      <c r="K453" s="297">
        <v>0.48836880387931036</v>
      </c>
      <c r="L453" s="297">
        <v>0.48546100484913796</v>
      </c>
      <c r="M453" s="297">
        <v>0.48182625606142243</v>
      </c>
      <c r="N453" s="297">
        <v>0.47728282007677802</v>
      </c>
      <c r="O453" s="297">
        <v>0.47160352509597253</v>
      </c>
      <c r="P453" s="297">
        <v>0.46450440636996571</v>
      </c>
      <c r="Q453" s="297">
        <v>0.45563050796245713</v>
      </c>
      <c r="R453" s="297">
        <v>0.44453813495307143</v>
      </c>
      <c r="S453" s="297">
        <v>0.4306726686913393</v>
      </c>
      <c r="T453" s="297">
        <v>0.41334083586417414</v>
      </c>
      <c r="U453" s="297">
        <v>0.39167604483021767</v>
      </c>
      <c r="V453" s="328"/>
      <c r="W453" s="260" t="s">
        <v>200</v>
      </c>
      <c r="X453" s="198" t="s">
        <v>491</v>
      </c>
      <c r="Y453" s="157" t="b">
        <v>0</v>
      </c>
      <c r="Z453" s="157"/>
      <c r="AA453" s="157"/>
      <c r="AB453" s="157"/>
      <c r="AC453" s="157"/>
      <c r="AD453" s="157"/>
      <c r="AE453" s="157"/>
      <c r="AF453" s="157"/>
      <c r="AG453" s="157"/>
      <c r="AH453" s="157"/>
      <c r="AI453" s="157"/>
      <c r="AJ453" s="157"/>
      <c r="AK453" s="157"/>
      <c r="AL453" s="157"/>
      <c r="AM453" s="157"/>
      <c r="AN453" s="157"/>
      <c r="AO453" s="157"/>
      <c r="AP453" s="157"/>
    </row>
    <row r="454" spans="1:42" x14ac:dyDescent="0.25">
      <c r="A454" s="295" t="s">
        <v>89</v>
      </c>
      <c r="B454" s="295" t="s">
        <v>435</v>
      </c>
      <c r="C454" s="295" t="s">
        <v>43</v>
      </c>
      <c r="D454" s="295" t="s">
        <v>279</v>
      </c>
      <c r="E454" s="297">
        <v>0.49748766163793101</v>
      </c>
      <c r="F454" s="297">
        <v>0.49665021551724137</v>
      </c>
      <c r="G454" s="297">
        <v>0.49553362068965517</v>
      </c>
      <c r="H454" s="297">
        <v>0.49404482758620688</v>
      </c>
      <c r="I454" s="297">
        <v>0.49255603448275864</v>
      </c>
      <c r="J454" s="297">
        <v>0.4906950431034483</v>
      </c>
      <c r="K454" s="297">
        <v>0.48836880387931036</v>
      </c>
      <c r="L454" s="297">
        <v>0.48546100484913796</v>
      </c>
      <c r="M454" s="297">
        <v>0.48182625606142243</v>
      </c>
      <c r="N454" s="297">
        <v>0.47728282007677802</v>
      </c>
      <c r="O454" s="297">
        <v>0.47160352509597253</v>
      </c>
      <c r="P454" s="297">
        <v>0.46450440636996571</v>
      </c>
      <c r="Q454" s="297">
        <v>0.45563050796245713</v>
      </c>
      <c r="R454" s="297">
        <v>0.44453813495307143</v>
      </c>
      <c r="S454" s="297">
        <v>0.4306726686913393</v>
      </c>
      <c r="T454" s="297">
        <v>0.41334083586417414</v>
      </c>
      <c r="U454" s="297">
        <v>0.39167604483021767</v>
      </c>
      <c r="V454" s="328"/>
      <c r="W454" s="260" t="s">
        <v>200</v>
      </c>
      <c r="X454" s="198" t="s">
        <v>491</v>
      </c>
      <c r="Y454" s="157" t="b">
        <v>0</v>
      </c>
      <c r="Z454" s="157"/>
      <c r="AA454" s="157"/>
      <c r="AB454" s="157"/>
      <c r="AC454" s="157"/>
      <c r="AD454" s="157"/>
      <c r="AE454" s="157"/>
      <c r="AF454" s="157"/>
      <c r="AG454" s="157"/>
      <c r="AH454" s="157"/>
      <c r="AI454" s="157"/>
      <c r="AJ454" s="157"/>
      <c r="AK454" s="157"/>
      <c r="AL454" s="157"/>
      <c r="AM454" s="157"/>
      <c r="AN454" s="157"/>
      <c r="AO454" s="157"/>
      <c r="AP454" s="157"/>
    </row>
    <row r="455" spans="1:42" x14ac:dyDescent="0.25">
      <c r="A455" s="295" t="s">
        <v>89</v>
      </c>
      <c r="B455" s="295" t="s">
        <v>435</v>
      </c>
      <c r="C455" s="295" t="s">
        <v>43</v>
      </c>
      <c r="D455" s="295" t="s">
        <v>280</v>
      </c>
      <c r="E455" s="297">
        <v>0.49748766163793101</v>
      </c>
      <c r="F455" s="297">
        <v>0.49665021551724137</v>
      </c>
      <c r="G455" s="297">
        <v>0.49553362068965517</v>
      </c>
      <c r="H455" s="297">
        <v>0.49404482758620688</v>
      </c>
      <c r="I455" s="297">
        <v>0.49255603448275864</v>
      </c>
      <c r="J455" s="297">
        <v>0.4906950431034483</v>
      </c>
      <c r="K455" s="297">
        <v>0.48836880387931036</v>
      </c>
      <c r="L455" s="297">
        <v>0.48546100484913796</v>
      </c>
      <c r="M455" s="297">
        <v>0.48182625606142243</v>
      </c>
      <c r="N455" s="297">
        <v>0.47728282007677802</v>
      </c>
      <c r="O455" s="297">
        <v>0.47160352509597253</v>
      </c>
      <c r="P455" s="297">
        <v>0.46450440636996571</v>
      </c>
      <c r="Q455" s="297">
        <v>0.45563050796245713</v>
      </c>
      <c r="R455" s="297">
        <v>0.44453813495307143</v>
      </c>
      <c r="S455" s="297">
        <v>0.4306726686913393</v>
      </c>
      <c r="T455" s="297">
        <v>0.41334083586417414</v>
      </c>
      <c r="U455" s="297">
        <v>0.39167604483021767</v>
      </c>
      <c r="V455" s="328"/>
      <c r="W455" s="260" t="s">
        <v>200</v>
      </c>
      <c r="X455" s="198" t="s">
        <v>491</v>
      </c>
      <c r="Y455" s="157" t="b">
        <v>0</v>
      </c>
      <c r="Z455" s="157"/>
      <c r="AA455" s="157"/>
      <c r="AB455" s="157"/>
      <c r="AC455" s="157"/>
      <c r="AD455" s="157"/>
      <c r="AE455" s="157"/>
      <c r="AF455" s="157"/>
      <c r="AG455" s="157"/>
      <c r="AH455" s="157"/>
      <c r="AI455" s="157"/>
      <c r="AJ455" s="157"/>
      <c r="AK455" s="157"/>
      <c r="AL455" s="157"/>
      <c r="AM455" s="157"/>
      <c r="AN455" s="157"/>
      <c r="AO455" s="157"/>
      <c r="AP455" s="157"/>
    </row>
    <row r="456" spans="1:42" x14ac:dyDescent="0.25">
      <c r="A456" s="295" t="s">
        <v>89</v>
      </c>
      <c r="B456" s="295" t="s">
        <v>435</v>
      </c>
      <c r="C456" s="295" t="s">
        <v>43</v>
      </c>
      <c r="D456" s="295" t="s">
        <v>281</v>
      </c>
      <c r="E456" s="297">
        <v>0.49748766163793101</v>
      </c>
      <c r="F456" s="297">
        <v>0.49665021551724137</v>
      </c>
      <c r="G456" s="297">
        <v>0.49553362068965517</v>
      </c>
      <c r="H456" s="297">
        <v>0.49404482758620688</v>
      </c>
      <c r="I456" s="297">
        <v>0.49255603448275864</v>
      </c>
      <c r="J456" s="297">
        <v>0.4906950431034483</v>
      </c>
      <c r="K456" s="297">
        <v>0.48836880387931036</v>
      </c>
      <c r="L456" s="297">
        <v>0.48546100484913796</v>
      </c>
      <c r="M456" s="297">
        <v>0.48182625606142243</v>
      </c>
      <c r="N456" s="297">
        <v>0.47728282007677802</v>
      </c>
      <c r="O456" s="297">
        <v>0.47160352509597253</v>
      </c>
      <c r="P456" s="297">
        <v>0.46450440636996571</v>
      </c>
      <c r="Q456" s="297">
        <v>0.45563050796245713</v>
      </c>
      <c r="R456" s="297">
        <v>0.44453813495307143</v>
      </c>
      <c r="S456" s="297">
        <v>0.4306726686913393</v>
      </c>
      <c r="T456" s="297">
        <v>0.41334083586417414</v>
      </c>
      <c r="U456" s="297">
        <v>0.39167604483021767</v>
      </c>
      <c r="V456" s="328"/>
      <c r="W456" s="260" t="s">
        <v>200</v>
      </c>
      <c r="X456" s="198" t="s">
        <v>491</v>
      </c>
      <c r="Y456" s="157" t="b">
        <v>0</v>
      </c>
      <c r="Z456" s="157"/>
      <c r="AA456" s="157"/>
      <c r="AB456" s="157"/>
      <c r="AC456" s="157"/>
      <c r="AD456" s="157"/>
      <c r="AE456" s="157"/>
      <c r="AF456" s="157"/>
      <c r="AG456" s="157"/>
      <c r="AH456" s="157"/>
      <c r="AI456" s="157"/>
      <c r="AJ456" s="157"/>
      <c r="AK456" s="157"/>
      <c r="AL456" s="157"/>
      <c r="AM456" s="157"/>
      <c r="AN456" s="157"/>
      <c r="AO456" s="157"/>
      <c r="AP456" s="157"/>
    </row>
    <row r="457" spans="1:42" x14ac:dyDescent="0.25">
      <c r="A457" s="295" t="s">
        <v>89</v>
      </c>
      <c r="B457" s="295" t="s">
        <v>435</v>
      </c>
      <c r="C457" s="295" t="s">
        <v>43</v>
      </c>
      <c r="D457" s="295" t="s">
        <v>282</v>
      </c>
      <c r="E457" s="297">
        <v>0.49748766163793101</v>
      </c>
      <c r="F457" s="297">
        <v>0.49665021551724137</v>
      </c>
      <c r="G457" s="297">
        <v>0.49553362068965517</v>
      </c>
      <c r="H457" s="297">
        <v>0.49404482758620688</v>
      </c>
      <c r="I457" s="297">
        <v>0.49255603448275864</v>
      </c>
      <c r="J457" s="297">
        <v>0.4906950431034483</v>
      </c>
      <c r="K457" s="297">
        <v>0.48836880387931036</v>
      </c>
      <c r="L457" s="297">
        <v>0.48546100484913796</v>
      </c>
      <c r="M457" s="297">
        <v>0.48182625606142243</v>
      </c>
      <c r="N457" s="297">
        <v>0.47728282007677802</v>
      </c>
      <c r="O457" s="297">
        <v>0.47160352509597253</v>
      </c>
      <c r="P457" s="297">
        <v>0.46450440636996571</v>
      </c>
      <c r="Q457" s="297">
        <v>0.45563050796245713</v>
      </c>
      <c r="R457" s="297">
        <v>0.44453813495307143</v>
      </c>
      <c r="S457" s="297">
        <v>0.4306726686913393</v>
      </c>
      <c r="T457" s="297">
        <v>0.41334083586417414</v>
      </c>
      <c r="U457" s="297">
        <v>0.39167604483021767</v>
      </c>
      <c r="V457" s="328"/>
      <c r="W457" s="260" t="s">
        <v>200</v>
      </c>
      <c r="X457" s="198" t="s">
        <v>491</v>
      </c>
      <c r="Y457" s="157" t="b">
        <v>0</v>
      </c>
      <c r="Z457" s="157"/>
      <c r="AA457" s="157"/>
      <c r="AB457" s="157"/>
      <c r="AC457" s="157"/>
      <c r="AD457" s="157"/>
      <c r="AE457" s="157"/>
      <c r="AF457" s="157"/>
      <c r="AG457" s="157"/>
      <c r="AH457" s="157"/>
      <c r="AI457" s="157"/>
      <c r="AJ457" s="157"/>
      <c r="AK457" s="157"/>
      <c r="AL457" s="157"/>
      <c r="AM457" s="157"/>
      <c r="AN457" s="157"/>
      <c r="AO457" s="157"/>
      <c r="AP457" s="157"/>
    </row>
    <row r="458" spans="1:42" x14ac:dyDescent="0.25">
      <c r="A458" s="295" t="s">
        <v>89</v>
      </c>
      <c r="B458" s="295" t="s">
        <v>435</v>
      </c>
      <c r="C458" s="295" t="s">
        <v>44</v>
      </c>
      <c r="D458" s="295" t="s">
        <v>276</v>
      </c>
      <c r="E458" s="297">
        <v>0.49748766163793101</v>
      </c>
      <c r="F458" s="297">
        <v>0.49665021551724137</v>
      </c>
      <c r="G458" s="297">
        <v>0.49553362068965517</v>
      </c>
      <c r="H458" s="297">
        <v>0.49404482758620688</v>
      </c>
      <c r="I458" s="297">
        <v>0.49255603448275864</v>
      </c>
      <c r="J458" s="297">
        <v>0.4906950431034483</v>
      </c>
      <c r="K458" s="297">
        <v>0.48836880387931036</v>
      </c>
      <c r="L458" s="297">
        <v>0.48546100484913796</v>
      </c>
      <c r="M458" s="297">
        <v>0.48182625606142243</v>
      </c>
      <c r="N458" s="297">
        <v>0.47728282007677802</v>
      </c>
      <c r="O458" s="297">
        <v>0.47160352509597253</v>
      </c>
      <c r="P458" s="297">
        <v>0.46450440636996571</v>
      </c>
      <c r="Q458" s="297">
        <v>0.45563050796245713</v>
      </c>
      <c r="R458" s="297">
        <v>0.44453813495307143</v>
      </c>
      <c r="S458" s="297">
        <v>0.4306726686913393</v>
      </c>
      <c r="T458" s="297">
        <v>0.41334083586417414</v>
      </c>
      <c r="U458" s="297">
        <v>0.39167604483021767</v>
      </c>
      <c r="V458" s="328"/>
      <c r="W458" s="260" t="s">
        <v>200</v>
      </c>
      <c r="X458" s="198" t="s">
        <v>491</v>
      </c>
      <c r="Y458" s="157" t="b">
        <v>0</v>
      </c>
      <c r="Z458" s="157"/>
      <c r="AA458" s="157"/>
      <c r="AB458" s="157"/>
      <c r="AC458" s="157"/>
      <c r="AD458" s="157"/>
      <c r="AE458" s="157"/>
      <c r="AF458" s="157"/>
      <c r="AG458" s="157"/>
      <c r="AH458" s="157"/>
      <c r="AI458" s="157"/>
      <c r="AJ458" s="157"/>
      <c r="AK458" s="157"/>
      <c r="AL458" s="157"/>
      <c r="AM458" s="157"/>
      <c r="AN458" s="157"/>
      <c r="AO458" s="157"/>
      <c r="AP458" s="157"/>
    </row>
    <row r="459" spans="1:42" x14ac:dyDescent="0.25">
      <c r="A459" s="295" t="s">
        <v>89</v>
      </c>
      <c r="B459" s="295" t="s">
        <v>435</v>
      </c>
      <c r="C459" s="295" t="s">
        <v>44</v>
      </c>
      <c r="D459" s="295" t="s">
        <v>279</v>
      </c>
      <c r="E459" s="297">
        <v>0.49748766163793101</v>
      </c>
      <c r="F459" s="297">
        <v>0.49665021551724137</v>
      </c>
      <c r="G459" s="297">
        <v>0.49553362068965517</v>
      </c>
      <c r="H459" s="297">
        <v>0.49404482758620688</v>
      </c>
      <c r="I459" s="297">
        <v>0.49255603448275864</v>
      </c>
      <c r="J459" s="297">
        <v>0.4906950431034483</v>
      </c>
      <c r="K459" s="297">
        <v>0.48836880387931036</v>
      </c>
      <c r="L459" s="297">
        <v>0.48546100484913796</v>
      </c>
      <c r="M459" s="297">
        <v>0.48182625606142243</v>
      </c>
      <c r="N459" s="297">
        <v>0.47728282007677802</v>
      </c>
      <c r="O459" s="297">
        <v>0.47160352509597253</v>
      </c>
      <c r="P459" s="297">
        <v>0.46450440636996571</v>
      </c>
      <c r="Q459" s="297">
        <v>0.45563050796245713</v>
      </c>
      <c r="R459" s="297">
        <v>0.44453813495307143</v>
      </c>
      <c r="S459" s="297">
        <v>0.4306726686913393</v>
      </c>
      <c r="T459" s="297">
        <v>0.41334083586417414</v>
      </c>
      <c r="U459" s="297">
        <v>0.39167604483021767</v>
      </c>
      <c r="V459" s="328"/>
      <c r="W459" s="260" t="s">
        <v>200</v>
      </c>
      <c r="X459" s="198" t="s">
        <v>491</v>
      </c>
      <c r="Y459" s="157" t="b">
        <v>0</v>
      </c>
      <c r="Z459" s="157"/>
      <c r="AA459" s="157"/>
      <c r="AB459" s="157"/>
      <c r="AC459" s="157"/>
      <c r="AD459" s="157"/>
      <c r="AE459" s="157"/>
      <c r="AF459" s="157"/>
      <c r="AG459" s="157"/>
      <c r="AH459" s="157"/>
      <c r="AI459" s="157"/>
      <c r="AJ459" s="157"/>
      <c r="AK459" s="157"/>
      <c r="AL459" s="157"/>
      <c r="AM459" s="157"/>
      <c r="AN459" s="157"/>
      <c r="AO459" s="157"/>
      <c r="AP459" s="157"/>
    </row>
    <row r="460" spans="1:42" x14ac:dyDescent="0.25">
      <c r="A460" s="295" t="s">
        <v>89</v>
      </c>
      <c r="B460" s="295" t="s">
        <v>435</v>
      </c>
      <c r="C460" s="295" t="s">
        <v>44</v>
      </c>
      <c r="D460" s="295" t="s">
        <v>281</v>
      </c>
      <c r="E460" s="297">
        <v>0.49748766163793101</v>
      </c>
      <c r="F460" s="297">
        <v>0.49665021551724137</v>
      </c>
      <c r="G460" s="297">
        <v>0.49553362068965517</v>
      </c>
      <c r="H460" s="297">
        <v>0.49404482758620688</v>
      </c>
      <c r="I460" s="297">
        <v>0.49255603448275864</v>
      </c>
      <c r="J460" s="297">
        <v>0.4906950431034483</v>
      </c>
      <c r="K460" s="297">
        <v>0.48836880387931036</v>
      </c>
      <c r="L460" s="297">
        <v>0.48546100484913796</v>
      </c>
      <c r="M460" s="297">
        <v>0.48182625606142243</v>
      </c>
      <c r="N460" s="297">
        <v>0.47728282007677802</v>
      </c>
      <c r="O460" s="297">
        <v>0.47160352509597253</v>
      </c>
      <c r="P460" s="297">
        <v>0.46450440636996571</v>
      </c>
      <c r="Q460" s="297">
        <v>0.45563050796245713</v>
      </c>
      <c r="R460" s="297">
        <v>0.44453813495307143</v>
      </c>
      <c r="S460" s="297">
        <v>0.4306726686913393</v>
      </c>
      <c r="T460" s="297">
        <v>0.41334083586417414</v>
      </c>
      <c r="U460" s="297">
        <v>0.39167604483021767</v>
      </c>
      <c r="V460" s="328"/>
      <c r="W460" s="260" t="s">
        <v>200</v>
      </c>
      <c r="X460" s="198" t="s">
        <v>491</v>
      </c>
      <c r="Y460" s="157" t="b">
        <v>0</v>
      </c>
      <c r="Z460" s="157"/>
      <c r="AA460" s="157"/>
      <c r="AB460" s="157"/>
      <c r="AC460" s="157"/>
      <c r="AD460" s="157"/>
      <c r="AE460" s="157"/>
      <c r="AF460" s="157"/>
      <c r="AG460" s="157"/>
      <c r="AH460" s="157"/>
      <c r="AI460" s="157"/>
      <c r="AJ460" s="157"/>
      <c r="AK460" s="157"/>
      <c r="AL460" s="157"/>
      <c r="AM460" s="157"/>
      <c r="AN460" s="157"/>
      <c r="AO460" s="157"/>
      <c r="AP460" s="157"/>
    </row>
    <row r="461" spans="1:42" ht="27.6" x14ac:dyDescent="0.25">
      <c r="A461" s="295" t="s">
        <v>90</v>
      </c>
      <c r="B461" s="295" t="s">
        <v>435</v>
      </c>
      <c r="C461" s="295" t="s">
        <v>41</v>
      </c>
      <c r="D461" s="295" t="s">
        <v>280</v>
      </c>
      <c r="E461" s="297">
        <v>2.512338362068964E-3</v>
      </c>
      <c r="F461" s="297">
        <v>3.3497844827586197E-3</v>
      </c>
      <c r="G461" s="297">
        <v>4.4663793103448274E-3</v>
      </c>
      <c r="H461" s="297">
        <v>5.9551724137931047E-3</v>
      </c>
      <c r="I461" s="297">
        <v>7.4439655172413794E-3</v>
      </c>
      <c r="J461" s="297">
        <v>9.3049568965517231E-3</v>
      </c>
      <c r="K461" s="297">
        <v>1.1631196120689653E-2</v>
      </c>
      <c r="L461" s="297">
        <v>1.4538995150862063E-2</v>
      </c>
      <c r="M461" s="297">
        <v>1.8173743938577576E-2</v>
      </c>
      <c r="N461" s="297">
        <v>2.2717179923221965E-2</v>
      </c>
      <c r="O461" s="297">
        <v>2.8396474904027452E-2</v>
      </c>
      <c r="P461" s="297">
        <v>3.5495593630034308E-2</v>
      </c>
      <c r="Q461" s="297">
        <v>4.4369492037542875E-2</v>
      </c>
      <c r="R461" s="297">
        <v>5.5461865046928585E-2</v>
      </c>
      <c r="S461" s="297">
        <v>6.9327331308660714E-2</v>
      </c>
      <c r="T461" s="297">
        <v>8.6659164135825875E-2</v>
      </c>
      <c r="U461" s="297">
        <v>0.10832395516978233</v>
      </c>
      <c r="V461" s="328" t="s">
        <v>308</v>
      </c>
      <c r="W461" s="260" t="s">
        <v>200</v>
      </c>
      <c r="X461" s="198" t="s">
        <v>492</v>
      </c>
      <c r="Y461" s="157" t="b">
        <v>1</v>
      </c>
      <c r="Z461" s="157"/>
      <c r="AA461" s="157"/>
      <c r="AB461" s="157"/>
      <c r="AC461" s="157"/>
      <c r="AD461" s="157"/>
      <c r="AE461" s="157"/>
      <c r="AF461" s="157"/>
      <c r="AG461" s="157"/>
      <c r="AH461" s="157"/>
      <c r="AI461" s="157"/>
      <c r="AJ461" s="157"/>
      <c r="AK461" s="157"/>
      <c r="AL461" s="157"/>
      <c r="AM461" s="157"/>
      <c r="AN461" s="157"/>
      <c r="AO461" s="157"/>
      <c r="AP461" s="157"/>
    </row>
    <row r="462" spans="1:42" x14ac:dyDescent="0.25">
      <c r="A462" s="295" t="s">
        <v>90</v>
      </c>
      <c r="B462" s="295" t="s">
        <v>435</v>
      </c>
      <c r="C462" s="295" t="s">
        <v>41</v>
      </c>
      <c r="D462" s="295" t="s">
        <v>282</v>
      </c>
      <c r="E462" s="297">
        <v>2.512338362068964E-3</v>
      </c>
      <c r="F462" s="297">
        <v>3.3497844827586197E-3</v>
      </c>
      <c r="G462" s="297">
        <v>4.4663793103448274E-3</v>
      </c>
      <c r="H462" s="297">
        <v>5.9551724137931047E-3</v>
      </c>
      <c r="I462" s="297">
        <v>7.4439655172413794E-3</v>
      </c>
      <c r="J462" s="297">
        <v>9.3049568965517231E-3</v>
      </c>
      <c r="K462" s="297">
        <v>1.1631196120689653E-2</v>
      </c>
      <c r="L462" s="297">
        <v>1.4538995150862063E-2</v>
      </c>
      <c r="M462" s="297">
        <v>1.8173743938577576E-2</v>
      </c>
      <c r="N462" s="297">
        <v>2.2717179923221965E-2</v>
      </c>
      <c r="O462" s="297">
        <v>2.8396474904027452E-2</v>
      </c>
      <c r="P462" s="297">
        <v>3.5495593630034308E-2</v>
      </c>
      <c r="Q462" s="297">
        <v>4.4369492037542875E-2</v>
      </c>
      <c r="R462" s="297">
        <v>5.5461865046928585E-2</v>
      </c>
      <c r="S462" s="297">
        <v>6.9327331308660714E-2</v>
      </c>
      <c r="T462" s="297">
        <v>8.6659164135825875E-2</v>
      </c>
      <c r="U462" s="297">
        <v>0.10832395516978233</v>
      </c>
      <c r="V462" s="328"/>
      <c r="W462" s="260" t="s">
        <v>200</v>
      </c>
      <c r="X462" s="198" t="s">
        <v>492</v>
      </c>
      <c r="Y462" s="157" t="b">
        <v>1</v>
      </c>
      <c r="Z462" s="157"/>
      <c r="AA462" s="157"/>
      <c r="AB462" s="157"/>
      <c r="AC462" s="157"/>
      <c r="AD462" s="157"/>
      <c r="AE462" s="157"/>
      <c r="AF462" s="157"/>
      <c r="AG462" s="157"/>
      <c r="AH462" s="157"/>
      <c r="AI462" s="157"/>
      <c r="AJ462" s="157"/>
      <c r="AK462" s="157"/>
      <c r="AL462" s="157"/>
      <c r="AM462" s="157"/>
      <c r="AN462" s="157"/>
      <c r="AO462" s="157"/>
      <c r="AP462" s="157"/>
    </row>
    <row r="463" spans="1:42" x14ac:dyDescent="0.25">
      <c r="A463" s="295" t="s">
        <v>90</v>
      </c>
      <c r="B463" s="295" t="s">
        <v>435</v>
      </c>
      <c r="C463" s="295" t="s">
        <v>43</v>
      </c>
      <c r="D463" s="295" t="s">
        <v>276</v>
      </c>
      <c r="E463" s="297">
        <v>2.512338362068964E-3</v>
      </c>
      <c r="F463" s="297">
        <v>3.3497844827586197E-3</v>
      </c>
      <c r="G463" s="297">
        <v>4.4663793103448274E-3</v>
      </c>
      <c r="H463" s="297">
        <v>5.9551724137931047E-3</v>
      </c>
      <c r="I463" s="297">
        <v>7.4439655172413794E-3</v>
      </c>
      <c r="J463" s="297">
        <v>9.3049568965517231E-3</v>
      </c>
      <c r="K463" s="297">
        <v>1.1631196120689653E-2</v>
      </c>
      <c r="L463" s="297">
        <v>1.4538995150862063E-2</v>
      </c>
      <c r="M463" s="297">
        <v>1.8173743938577576E-2</v>
      </c>
      <c r="N463" s="297">
        <v>2.2717179923221965E-2</v>
      </c>
      <c r="O463" s="297">
        <v>2.8396474904027452E-2</v>
      </c>
      <c r="P463" s="297">
        <v>3.5495593630034308E-2</v>
      </c>
      <c r="Q463" s="297">
        <v>4.4369492037542875E-2</v>
      </c>
      <c r="R463" s="297">
        <v>5.5461865046928585E-2</v>
      </c>
      <c r="S463" s="297">
        <v>6.9327331308660714E-2</v>
      </c>
      <c r="T463" s="297">
        <v>8.6659164135825875E-2</v>
      </c>
      <c r="U463" s="297">
        <v>0.10832395516978233</v>
      </c>
      <c r="V463" s="328"/>
      <c r="W463" s="260" t="s">
        <v>200</v>
      </c>
      <c r="X463" s="198" t="s">
        <v>492</v>
      </c>
      <c r="Y463" s="157" t="b">
        <v>1</v>
      </c>
      <c r="Z463" s="157"/>
      <c r="AA463" s="157"/>
      <c r="AB463" s="157"/>
      <c r="AC463" s="157"/>
      <c r="AD463" s="157"/>
      <c r="AE463" s="157"/>
      <c r="AF463" s="157"/>
      <c r="AG463" s="157"/>
      <c r="AH463" s="157"/>
      <c r="AI463" s="157"/>
      <c r="AJ463" s="157"/>
      <c r="AK463" s="157"/>
      <c r="AL463" s="157"/>
      <c r="AM463" s="157"/>
      <c r="AN463" s="157"/>
      <c r="AO463" s="157"/>
      <c r="AP463" s="157"/>
    </row>
    <row r="464" spans="1:42" x14ac:dyDescent="0.25">
      <c r="A464" s="295" t="s">
        <v>90</v>
      </c>
      <c r="B464" s="295" t="s">
        <v>435</v>
      </c>
      <c r="C464" s="295" t="s">
        <v>43</v>
      </c>
      <c r="D464" s="295" t="s">
        <v>279</v>
      </c>
      <c r="E464" s="297">
        <v>2.512338362068964E-3</v>
      </c>
      <c r="F464" s="297">
        <v>3.3497844827586197E-3</v>
      </c>
      <c r="G464" s="297">
        <v>4.4663793103448274E-3</v>
      </c>
      <c r="H464" s="297">
        <v>5.9551724137931047E-3</v>
      </c>
      <c r="I464" s="297">
        <v>7.4439655172413794E-3</v>
      </c>
      <c r="J464" s="297">
        <v>9.3049568965517231E-3</v>
      </c>
      <c r="K464" s="297">
        <v>1.1631196120689653E-2</v>
      </c>
      <c r="L464" s="297">
        <v>1.4538995150862063E-2</v>
      </c>
      <c r="M464" s="297">
        <v>1.8173743938577576E-2</v>
      </c>
      <c r="N464" s="297">
        <v>2.2717179923221965E-2</v>
      </c>
      <c r="O464" s="297">
        <v>2.8396474904027452E-2</v>
      </c>
      <c r="P464" s="297">
        <v>3.5495593630034308E-2</v>
      </c>
      <c r="Q464" s="297">
        <v>4.4369492037542875E-2</v>
      </c>
      <c r="R464" s="297">
        <v>5.5461865046928585E-2</v>
      </c>
      <c r="S464" s="297">
        <v>6.9327331308660714E-2</v>
      </c>
      <c r="T464" s="297">
        <v>8.6659164135825875E-2</v>
      </c>
      <c r="U464" s="297">
        <v>0.10832395516978233</v>
      </c>
      <c r="V464" s="328"/>
      <c r="W464" s="260" t="s">
        <v>200</v>
      </c>
      <c r="X464" s="198" t="s">
        <v>492</v>
      </c>
      <c r="Y464" s="157" t="b">
        <v>1</v>
      </c>
      <c r="Z464" s="157"/>
      <c r="AA464" s="157"/>
      <c r="AB464" s="157"/>
      <c r="AC464" s="157"/>
      <c r="AD464" s="157"/>
      <c r="AE464" s="157"/>
      <c r="AF464" s="157"/>
      <c r="AG464" s="157"/>
      <c r="AH464" s="157"/>
      <c r="AI464" s="157"/>
      <c r="AJ464" s="157"/>
      <c r="AK464" s="157"/>
      <c r="AL464" s="157"/>
      <c r="AM464" s="157"/>
      <c r="AN464" s="157"/>
      <c r="AO464" s="157"/>
      <c r="AP464" s="157"/>
    </row>
    <row r="465" spans="1:42" x14ac:dyDescent="0.25">
      <c r="A465" s="295" t="s">
        <v>90</v>
      </c>
      <c r="B465" s="295" t="s">
        <v>435</v>
      </c>
      <c r="C465" s="295" t="s">
        <v>43</v>
      </c>
      <c r="D465" s="295" t="s">
        <v>280</v>
      </c>
      <c r="E465" s="297">
        <v>2.512338362068964E-3</v>
      </c>
      <c r="F465" s="297">
        <v>3.3497844827586197E-3</v>
      </c>
      <c r="G465" s="297">
        <v>4.4663793103448274E-3</v>
      </c>
      <c r="H465" s="297">
        <v>5.9551724137931047E-3</v>
      </c>
      <c r="I465" s="297">
        <v>7.4439655172413794E-3</v>
      </c>
      <c r="J465" s="297">
        <v>9.3049568965517231E-3</v>
      </c>
      <c r="K465" s="297">
        <v>1.1631196120689653E-2</v>
      </c>
      <c r="L465" s="297">
        <v>1.4538995150862063E-2</v>
      </c>
      <c r="M465" s="297">
        <v>1.8173743938577576E-2</v>
      </c>
      <c r="N465" s="297">
        <v>2.2717179923221965E-2</v>
      </c>
      <c r="O465" s="297">
        <v>2.8396474904027452E-2</v>
      </c>
      <c r="P465" s="297">
        <v>3.5495593630034308E-2</v>
      </c>
      <c r="Q465" s="297">
        <v>4.4369492037542875E-2</v>
      </c>
      <c r="R465" s="297">
        <v>5.5461865046928585E-2</v>
      </c>
      <c r="S465" s="297">
        <v>6.9327331308660714E-2</v>
      </c>
      <c r="T465" s="297">
        <v>8.6659164135825875E-2</v>
      </c>
      <c r="U465" s="297">
        <v>0.10832395516978233</v>
      </c>
      <c r="V465" s="328"/>
      <c r="W465" s="260" t="s">
        <v>200</v>
      </c>
      <c r="X465" s="198" t="s">
        <v>492</v>
      </c>
      <c r="Y465" s="157" t="b">
        <v>1</v>
      </c>
      <c r="Z465" s="157"/>
      <c r="AA465" s="157"/>
      <c r="AB465" s="157"/>
      <c r="AC465" s="157"/>
      <c r="AD465" s="157"/>
      <c r="AE465" s="157"/>
      <c r="AF465" s="157"/>
      <c r="AG465" s="157"/>
      <c r="AH465" s="157"/>
      <c r="AI465" s="157"/>
      <c r="AJ465" s="157"/>
      <c r="AK465" s="157"/>
      <c r="AL465" s="157"/>
      <c r="AM465" s="157"/>
      <c r="AN465" s="157"/>
      <c r="AO465" s="157"/>
      <c r="AP465" s="157"/>
    </row>
    <row r="466" spans="1:42" x14ac:dyDescent="0.25">
      <c r="A466" s="295" t="s">
        <v>90</v>
      </c>
      <c r="B466" s="295" t="s">
        <v>435</v>
      </c>
      <c r="C466" s="295" t="s">
        <v>43</v>
      </c>
      <c r="D466" s="295" t="s">
        <v>281</v>
      </c>
      <c r="E466" s="297">
        <v>2.512338362068964E-3</v>
      </c>
      <c r="F466" s="297">
        <v>3.3497844827586197E-3</v>
      </c>
      <c r="G466" s="297">
        <v>4.4663793103448274E-3</v>
      </c>
      <c r="H466" s="297">
        <v>5.9551724137931047E-3</v>
      </c>
      <c r="I466" s="297">
        <v>7.4439655172413794E-3</v>
      </c>
      <c r="J466" s="297">
        <v>9.3049568965517231E-3</v>
      </c>
      <c r="K466" s="297">
        <v>1.1631196120689653E-2</v>
      </c>
      <c r="L466" s="297">
        <v>1.4538995150862063E-2</v>
      </c>
      <c r="M466" s="297">
        <v>1.8173743938577576E-2</v>
      </c>
      <c r="N466" s="297">
        <v>2.2717179923221965E-2</v>
      </c>
      <c r="O466" s="297">
        <v>2.8396474904027452E-2</v>
      </c>
      <c r="P466" s="297">
        <v>3.5495593630034308E-2</v>
      </c>
      <c r="Q466" s="297">
        <v>4.4369492037542875E-2</v>
      </c>
      <c r="R466" s="297">
        <v>5.5461865046928585E-2</v>
      </c>
      <c r="S466" s="297">
        <v>6.9327331308660714E-2</v>
      </c>
      <c r="T466" s="297">
        <v>8.6659164135825875E-2</v>
      </c>
      <c r="U466" s="297">
        <v>0.10832395516978233</v>
      </c>
      <c r="V466" s="328"/>
      <c r="W466" s="260" t="s">
        <v>200</v>
      </c>
      <c r="X466" s="198" t="s">
        <v>492</v>
      </c>
      <c r="Y466" s="157" t="b">
        <v>1</v>
      </c>
      <c r="Z466" s="157"/>
      <c r="AA466" s="157"/>
      <c r="AB466" s="157"/>
      <c r="AC466" s="157"/>
      <c r="AD466" s="157"/>
      <c r="AE466" s="157"/>
      <c r="AF466" s="157"/>
      <c r="AG466" s="157"/>
      <c r="AH466" s="157"/>
      <c r="AI466" s="157"/>
      <c r="AJ466" s="157"/>
      <c r="AK466" s="157"/>
      <c r="AL466" s="157"/>
      <c r="AM466" s="157"/>
      <c r="AN466" s="157"/>
      <c r="AO466" s="157"/>
      <c r="AP466" s="157"/>
    </row>
    <row r="467" spans="1:42" x14ac:dyDescent="0.25">
      <c r="A467" s="295" t="s">
        <v>90</v>
      </c>
      <c r="B467" s="295" t="s">
        <v>435</v>
      </c>
      <c r="C467" s="295" t="s">
        <v>43</v>
      </c>
      <c r="D467" s="295" t="s">
        <v>282</v>
      </c>
      <c r="E467" s="297">
        <v>2.512338362068964E-3</v>
      </c>
      <c r="F467" s="297">
        <v>3.3497844827586197E-3</v>
      </c>
      <c r="G467" s="297">
        <v>4.4663793103448274E-3</v>
      </c>
      <c r="H467" s="297">
        <v>5.9551724137931047E-3</v>
      </c>
      <c r="I467" s="297">
        <v>7.4439655172413794E-3</v>
      </c>
      <c r="J467" s="297">
        <v>9.3049568965517231E-3</v>
      </c>
      <c r="K467" s="297">
        <v>1.1631196120689653E-2</v>
      </c>
      <c r="L467" s="297">
        <v>1.4538995150862063E-2</v>
      </c>
      <c r="M467" s="297">
        <v>1.8173743938577576E-2</v>
      </c>
      <c r="N467" s="297">
        <v>2.2717179923221965E-2</v>
      </c>
      <c r="O467" s="297">
        <v>2.8396474904027452E-2</v>
      </c>
      <c r="P467" s="297">
        <v>3.5495593630034308E-2</v>
      </c>
      <c r="Q467" s="297">
        <v>4.4369492037542875E-2</v>
      </c>
      <c r="R467" s="297">
        <v>5.5461865046928585E-2</v>
      </c>
      <c r="S467" s="297">
        <v>6.9327331308660714E-2</v>
      </c>
      <c r="T467" s="297">
        <v>8.6659164135825875E-2</v>
      </c>
      <c r="U467" s="297">
        <v>0.10832395516978233</v>
      </c>
      <c r="V467" s="328"/>
      <c r="W467" s="260" t="s">
        <v>200</v>
      </c>
      <c r="X467" s="198" t="s">
        <v>492</v>
      </c>
      <c r="Y467" s="157" t="b">
        <v>1</v>
      </c>
      <c r="Z467" s="157"/>
      <c r="AA467" s="157"/>
      <c r="AB467" s="157"/>
      <c r="AC467" s="157"/>
      <c r="AD467" s="157"/>
      <c r="AE467" s="157"/>
      <c r="AF467" s="157"/>
      <c r="AG467" s="157"/>
      <c r="AH467" s="157"/>
      <c r="AI467" s="157"/>
      <c r="AJ467" s="157"/>
      <c r="AK467" s="157"/>
      <c r="AL467" s="157"/>
      <c r="AM467" s="157"/>
      <c r="AN467" s="157"/>
      <c r="AO467" s="157"/>
      <c r="AP467" s="157"/>
    </row>
    <row r="468" spans="1:42" x14ac:dyDescent="0.25">
      <c r="A468" s="295" t="s">
        <v>90</v>
      </c>
      <c r="B468" s="295" t="s">
        <v>435</v>
      </c>
      <c r="C468" s="295" t="s">
        <v>44</v>
      </c>
      <c r="D468" s="295" t="s">
        <v>276</v>
      </c>
      <c r="E468" s="297">
        <v>2.512338362068964E-3</v>
      </c>
      <c r="F468" s="297">
        <v>3.3497844827586197E-3</v>
      </c>
      <c r="G468" s="297">
        <v>4.4663793103448274E-3</v>
      </c>
      <c r="H468" s="297">
        <v>5.9551724137931047E-3</v>
      </c>
      <c r="I468" s="297">
        <v>7.4439655172413794E-3</v>
      </c>
      <c r="J468" s="297">
        <v>9.3049568965517231E-3</v>
      </c>
      <c r="K468" s="297">
        <v>1.1631196120689653E-2</v>
      </c>
      <c r="L468" s="297">
        <v>1.4538995150862063E-2</v>
      </c>
      <c r="M468" s="297">
        <v>1.8173743938577576E-2</v>
      </c>
      <c r="N468" s="297">
        <v>2.2717179923221965E-2</v>
      </c>
      <c r="O468" s="297">
        <v>2.8396474904027452E-2</v>
      </c>
      <c r="P468" s="297">
        <v>3.5495593630034308E-2</v>
      </c>
      <c r="Q468" s="297">
        <v>4.4369492037542875E-2</v>
      </c>
      <c r="R468" s="297">
        <v>5.5461865046928585E-2</v>
      </c>
      <c r="S468" s="297">
        <v>6.9327331308660714E-2</v>
      </c>
      <c r="T468" s="297">
        <v>8.6659164135825875E-2</v>
      </c>
      <c r="U468" s="297">
        <v>0.10832395516978233</v>
      </c>
      <c r="V468" s="328"/>
      <c r="W468" s="260" t="s">
        <v>200</v>
      </c>
      <c r="X468" s="198" t="s">
        <v>492</v>
      </c>
      <c r="Y468" s="157" t="b">
        <v>1</v>
      </c>
      <c r="Z468" s="157"/>
      <c r="AA468" s="157"/>
      <c r="AB468" s="157"/>
      <c r="AC468" s="157"/>
      <c r="AD468" s="157"/>
      <c r="AE468" s="157"/>
      <c r="AF468" s="157"/>
      <c r="AG468" s="157"/>
      <c r="AH468" s="157"/>
      <c r="AI468" s="157"/>
      <c r="AJ468" s="157"/>
      <c r="AK468" s="157"/>
      <c r="AL468" s="157"/>
      <c r="AM468" s="157"/>
      <c r="AN468" s="157"/>
      <c r="AO468" s="157"/>
      <c r="AP468" s="157"/>
    </row>
    <row r="469" spans="1:42" x14ac:dyDescent="0.25">
      <c r="A469" s="295" t="s">
        <v>90</v>
      </c>
      <c r="B469" s="295" t="s">
        <v>435</v>
      </c>
      <c r="C469" s="295" t="s">
        <v>44</v>
      </c>
      <c r="D469" s="295" t="s">
        <v>279</v>
      </c>
      <c r="E469" s="297">
        <v>2.512338362068964E-3</v>
      </c>
      <c r="F469" s="297">
        <v>3.3497844827586197E-3</v>
      </c>
      <c r="G469" s="297">
        <v>4.4663793103448274E-3</v>
      </c>
      <c r="H469" s="297">
        <v>5.9551724137931047E-3</v>
      </c>
      <c r="I469" s="297">
        <v>7.4439655172413794E-3</v>
      </c>
      <c r="J469" s="297">
        <v>9.3049568965517231E-3</v>
      </c>
      <c r="K469" s="297">
        <v>1.1631196120689653E-2</v>
      </c>
      <c r="L469" s="297">
        <v>1.4538995150862063E-2</v>
      </c>
      <c r="M469" s="297">
        <v>1.8173743938577576E-2</v>
      </c>
      <c r="N469" s="297">
        <v>2.2717179923221965E-2</v>
      </c>
      <c r="O469" s="297">
        <v>2.8396474904027452E-2</v>
      </c>
      <c r="P469" s="297">
        <v>3.5495593630034308E-2</v>
      </c>
      <c r="Q469" s="297">
        <v>4.4369492037542875E-2</v>
      </c>
      <c r="R469" s="297">
        <v>5.5461865046928585E-2</v>
      </c>
      <c r="S469" s="297">
        <v>6.9327331308660714E-2</v>
      </c>
      <c r="T469" s="297">
        <v>8.6659164135825875E-2</v>
      </c>
      <c r="U469" s="297">
        <v>0.10832395516978233</v>
      </c>
      <c r="V469" s="328"/>
      <c r="W469" s="260" t="s">
        <v>200</v>
      </c>
      <c r="X469" s="198" t="s">
        <v>492</v>
      </c>
      <c r="Y469" s="157" t="b">
        <v>1</v>
      </c>
      <c r="Z469" s="157"/>
      <c r="AA469" s="157"/>
      <c r="AB469" s="157"/>
      <c r="AC469" s="157"/>
      <c r="AD469" s="157"/>
      <c r="AE469" s="157"/>
      <c r="AF469" s="157"/>
      <c r="AG469" s="157"/>
      <c r="AH469" s="157"/>
      <c r="AI469" s="157"/>
      <c r="AJ469" s="157"/>
      <c r="AK469" s="157"/>
      <c r="AL469" s="157"/>
      <c r="AM469" s="157"/>
      <c r="AN469" s="157"/>
      <c r="AO469" s="157"/>
      <c r="AP469" s="157"/>
    </row>
    <row r="470" spans="1:42" x14ac:dyDescent="0.25">
      <c r="A470" s="295" t="s">
        <v>90</v>
      </c>
      <c r="B470" s="295" t="s">
        <v>435</v>
      </c>
      <c r="C470" s="295" t="s">
        <v>44</v>
      </c>
      <c r="D470" s="295" t="s">
        <v>281</v>
      </c>
      <c r="E470" s="297">
        <v>2.512338362068964E-3</v>
      </c>
      <c r="F470" s="297">
        <v>3.3497844827586197E-3</v>
      </c>
      <c r="G470" s="297">
        <v>4.4663793103448274E-3</v>
      </c>
      <c r="H470" s="297">
        <v>5.9551724137931047E-3</v>
      </c>
      <c r="I470" s="297">
        <v>7.4439655172413794E-3</v>
      </c>
      <c r="J470" s="297">
        <v>9.3049568965517231E-3</v>
      </c>
      <c r="K470" s="297">
        <v>1.1631196120689653E-2</v>
      </c>
      <c r="L470" s="297">
        <v>1.4538995150862063E-2</v>
      </c>
      <c r="M470" s="297">
        <v>1.8173743938577576E-2</v>
      </c>
      <c r="N470" s="297">
        <v>2.2717179923221965E-2</v>
      </c>
      <c r="O470" s="297">
        <v>2.8396474904027452E-2</v>
      </c>
      <c r="P470" s="297">
        <v>3.5495593630034308E-2</v>
      </c>
      <c r="Q470" s="297">
        <v>4.4369492037542875E-2</v>
      </c>
      <c r="R470" s="297">
        <v>5.5461865046928585E-2</v>
      </c>
      <c r="S470" s="297">
        <v>6.9327331308660714E-2</v>
      </c>
      <c r="T470" s="297">
        <v>8.6659164135825875E-2</v>
      </c>
      <c r="U470" s="297">
        <v>0.10832395516978233</v>
      </c>
      <c r="V470" s="328"/>
      <c r="W470" s="260" t="s">
        <v>200</v>
      </c>
      <c r="X470" s="198" t="s">
        <v>492</v>
      </c>
      <c r="Y470" s="157" t="b">
        <v>1</v>
      </c>
      <c r="Z470" s="157"/>
      <c r="AA470" s="157"/>
      <c r="AB470" s="157"/>
      <c r="AC470" s="157"/>
      <c r="AD470" s="157"/>
      <c r="AE470" s="157"/>
      <c r="AF470" s="157"/>
      <c r="AG470" s="157"/>
      <c r="AH470" s="157"/>
      <c r="AI470" s="157"/>
      <c r="AJ470" s="157"/>
      <c r="AK470" s="157"/>
      <c r="AL470" s="157"/>
      <c r="AM470" s="157"/>
      <c r="AN470" s="157"/>
      <c r="AO470" s="157"/>
      <c r="AP470" s="157"/>
    </row>
    <row r="471" spans="1:42" ht="27.6" x14ac:dyDescent="0.25">
      <c r="A471" s="295" t="s">
        <v>91</v>
      </c>
      <c r="B471" s="295" t="s">
        <v>435</v>
      </c>
      <c r="C471" s="295" t="s">
        <v>41</v>
      </c>
      <c r="D471" s="295" t="s">
        <v>280</v>
      </c>
      <c r="E471" s="297">
        <v>0.5</v>
      </c>
      <c r="F471" s="297">
        <v>0.5</v>
      </c>
      <c r="G471" s="297">
        <v>0.5</v>
      </c>
      <c r="H471" s="297">
        <v>0.5</v>
      </c>
      <c r="I471" s="297">
        <v>0.5</v>
      </c>
      <c r="J471" s="297">
        <v>0.5</v>
      </c>
      <c r="K471" s="297">
        <v>0.5</v>
      </c>
      <c r="L471" s="297">
        <v>0.5</v>
      </c>
      <c r="M471" s="297">
        <v>0.5</v>
      </c>
      <c r="N471" s="297">
        <v>0.5</v>
      </c>
      <c r="O471" s="297">
        <v>0.5</v>
      </c>
      <c r="P471" s="297">
        <v>0.5</v>
      </c>
      <c r="Q471" s="297">
        <v>0.5</v>
      </c>
      <c r="R471" s="297">
        <v>0.5</v>
      </c>
      <c r="S471" s="297">
        <v>0.5</v>
      </c>
      <c r="T471" s="297">
        <v>0.5</v>
      </c>
      <c r="U471" s="297">
        <v>0.5</v>
      </c>
      <c r="V471" s="328" t="s">
        <v>309</v>
      </c>
      <c r="W471" s="260" t="s">
        <v>200</v>
      </c>
      <c r="X471" s="198" t="s">
        <v>493</v>
      </c>
      <c r="Y471" s="157" t="b">
        <v>0</v>
      </c>
      <c r="Z471" s="157"/>
      <c r="AA471" s="157"/>
      <c r="AB471" s="157"/>
      <c r="AC471" s="157"/>
      <c r="AD471" s="157"/>
      <c r="AE471" s="157"/>
      <c r="AF471" s="157"/>
      <c r="AG471" s="157"/>
      <c r="AH471" s="157"/>
      <c r="AI471" s="157"/>
      <c r="AJ471" s="157"/>
      <c r="AK471" s="157"/>
      <c r="AL471" s="157"/>
      <c r="AM471" s="157"/>
      <c r="AN471" s="157"/>
      <c r="AO471" s="157"/>
      <c r="AP471" s="157"/>
    </row>
    <row r="472" spans="1:42" x14ac:dyDescent="0.25">
      <c r="A472" s="295" t="s">
        <v>91</v>
      </c>
      <c r="B472" s="295" t="s">
        <v>435</v>
      </c>
      <c r="C472" s="295" t="s">
        <v>41</v>
      </c>
      <c r="D472" s="295" t="s">
        <v>282</v>
      </c>
      <c r="E472" s="297">
        <v>0.5</v>
      </c>
      <c r="F472" s="297">
        <v>0.5</v>
      </c>
      <c r="G472" s="297">
        <v>0.5</v>
      </c>
      <c r="H472" s="297">
        <v>0.5</v>
      </c>
      <c r="I472" s="297">
        <v>0.5</v>
      </c>
      <c r="J472" s="297">
        <v>0.5</v>
      </c>
      <c r="K472" s="297">
        <v>0.5</v>
      </c>
      <c r="L472" s="297">
        <v>0.5</v>
      </c>
      <c r="M472" s="297">
        <v>0.5</v>
      </c>
      <c r="N472" s="297">
        <v>0.5</v>
      </c>
      <c r="O472" s="297">
        <v>0.5</v>
      </c>
      <c r="P472" s="297">
        <v>0.5</v>
      </c>
      <c r="Q472" s="297">
        <v>0.5</v>
      </c>
      <c r="R472" s="297">
        <v>0.5</v>
      </c>
      <c r="S472" s="297">
        <v>0.5</v>
      </c>
      <c r="T472" s="297">
        <v>0.5</v>
      </c>
      <c r="U472" s="297">
        <v>0.5</v>
      </c>
      <c r="V472" s="328"/>
      <c r="W472" s="260" t="s">
        <v>200</v>
      </c>
      <c r="X472" s="198" t="s">
        <v>493</v>
      </c>
      <c r="Y472" s="157" t="b">
        <v>0</v>
      </c>
      <c r="Z472" s="157"/>
      <c r="AA472" s="157"/>
      <c r="AB472" s="157"/>
      <c r="AC472" s="157"/>
      <c r="AD472" s="157"/>
      <c r="AE472" s="157"/>
      <c r="AF472" s="157"/>
      <c r="AG472" s="157"/>
      <c r="AH472" s="157"/>
      <c r="AI472" s="157"/>
      <c r="AJ472" s="157"/>
      <c r="AK472" s="157"/>
      <c r="AL472" s="157"/>
      <c r="AM472" s="157"/>
      <c r="AN472" s="157"/>
      <c r="AO472" s="157"/>
      <c r="AP472" s="157"/>
    </row>
    <row r="473" spans="1:42" x14ac:dyDescent="0.25">
      <c r="A473" s="295" t="s">
        <v>91</v>
      </c>
      <c r="B473" s="295" t="s">
        <v>435</v>
      </c>
      <c r="C473" s="295" t="s">
        <v>43</v>
      </c>
      <c r="D473" s="295" t="s">
        <v>276</v>
      </c>
      <c r="E473" s="297">
        <v>0.5</v>
      </c>
      <c r="F473" s="297">
        <v>0.5</v>
      </c>
      <c r="G473" s="297">
        <v>0.5</v>
      </c>
      <c r="H473" s="297">
        <v>0.5</v>
      </c>
      <c r="I473" s="297">
        <v>0.5</v>
      </c>
      <c r="J473" s="297">
        <v>0.5</v>
      </c>
      <c r="K473" s="297">
        <v>0.5</v>
      </c>
      <c r="L473" s="297">
        <v>0.5</v>
      </c>
      <c r="M473" s="297">
        <v>0.5</v>
      </c>
      <c r="N473" s="297">
        <v>0.5</v>
      </c>
      <c r="O473" s="297">
        <v>0.5</v>
      </c>
      <c r="P473" s="297">
        <v>0.5</v>
      </c>
      <c r="Q473" s="297">
        <v>0.5</v>
      </c>
      <c r="R473" s="297">
        <v>0.5</v>
      </c>
      <c r="S473" s="297">
        <v>0.5</v>
      </c>
      <c r="T473" s="297">
        <v>0.5</v>
      </c>
      <c r="U473" s="297">
        <v>0.5</v>
      </c>
      <c r="V473" s="328"/>
      <c r="W473" s="260" t="s">
        <v>200</v>
      </c>
      <c r="X473" s="198" t="s">
        <v>493</v>
      </c>
      <c r="Y473" s="157" t="b">
        <v>0</v>
      </c>
      <c r="Z473" s="157"/>
      <c r="AA473" s="157"/>
      <c r="AB473" s="157"/>
      <c r="AC473" s="157"/>
      <c r="AD473" s="157"/>
      <c r="AE473" s="157"/>
      <c r="AF473" s="157"/>
      <c r="AG473" s="157"/>
      <c r="AH473" s="157"/>
      <c r="AI473" s="157"/>
      <c r="AJ473" s="157"/>
      <c r="AK473" s="157"/>
      <c r="AL473" s="157"/>
      <c r="AM473" s="157"/>
      <c r="AN473" s="157"/>
      <c r="AO473" s="157"/>
      <c r="AP473" s="157"/>
    </row>
    <row r="474" spans="1:42" x14ac:dyDescent="0.25">
      <c r="A474" s="295" t="s">
        <v>91</v>
      </c>
      <c r="B474" s="295" t="s">
        <v>435</v>
      </c>
      <c r="C474" s="295" t="s">
        <v>43</v>
      </c>
      <c r="D474" s="295" t="s">
        <v>279</v>
      </c>
      <c r="E474" s="297">
        <v>0.5</v>
      </c>
      <c r="F474" s="297">
        <v>0.5</v>
      </c>
      <c r="G474" s="297">
        <v>0.5</v>
      </c>
      <c r="H474" s="297">
        <v>0.5</v>
      </c>
      <c r="I474" s="297">
        <v>0.5</v>
      </c>
      <c r="J474" s="297">
        <v>0.5</v>
      </c>
      <c r="K474" s="297">
        <v>0.5</v>
      </c>
      <c r="L474" s="297">
        <v>0.5</v>
      </c>
      <c r="M474" s="297">
        <v>0.5</v>
      </c>
      <c r="N474" s="297">
        <v>0.5</v>
      </c>
      <c r="O474" s="297">
        <v>0.5</v>
      </c>
      <c r="P474" s="297">
        <v>0.5</v>
      </c>
      <c r="Q474" s="297">
        <v>0.5</v>
      </c>
      <c r="R474" s="297">
        <v>0.5</v>
      </c>
      <c r="S474" s="297">
        <v>0.5</v>
      </c>
      <c r="T474" s="297">
        <v>0.5</v>
      </c>
      <c r="U474" s="297">
        <v>0.5</v>
      </c>
      <c r="V474" s="328"/>
      <c r="W474" s="260" t="s">
        <v>200</v>
      </c>
      <c r="X474" s="198" t="s">
        <v>493</v>
      </c>
      <c r="Y474" s="157" t="b">
        <v>0</v>
      </c>
      <c r="Z474" s="157"/>
      <c r="AA474" s="157"/>
      <c r="AB474" s="157"/>
      <c r="AC474" s="157"/>
      <c r="AD474" s="157"/>
      <c r="AE474" s="157"/>
      <c r="AF474" s="157"/>
      <c r="AG474" s="157"/>
      <c r="AH474" s="157"/>
      <c r="AI474" s="157"/>
      <c r="AJ474" s="157"/>
      <c r="AK474" s="157"/>
      <c r="AL474" s="157"/>
      <c r="AM474" s="157"/>
      <c r="AN474" s="157"/>
      <c r="AO474" s="157"/>
      <c r="AP474" s="157"/>
    </row>
    <row r="475" spans="1:42" x14ac:dyDescent="0.25">
      <c r="A475" s="295" t="s">
        <v>91</v>
      </c>
      <c r="B475" s="295" t="s">
        <v>435</v>
      </c>
      <c r="C475" s="295" t="s">
        <v>43</v>
      </c>
      <c r="D475" s="295" t="s">
        <v>280</v>
      </c>
      <c r="E475" s="297">
        <v>0.5</v>
      </c>
      <c r="F475" s="297">
        <v>0.5</v>
      </c>
      <c r="G475" s="297">
        <v>0.5</v>
      </c>
      <c r="H475" s="297">
        <v>0.5</v>
      </c>
      <c r="I475" s="297">
        <v>0.5</v>
      </c>
      <c r="J475" s="297">
        <v>0.5</v>
      </c>
      <c r="K475" s="297">
        <v>0.5</v>
      </c>
      <c r="L475" s="297">
        <v>0.5</v>
      </c>
      <c r="M475" s="297">
        <v>0.5</v>
      </c>
      <c r="N475" s="297">
        <v>0.5</v>
      </c>
      <c r="O475" s="297">
        <v>0.5</v>
      </c>
      <c r="P475" s="297">
        <v>0.5</v>
      </c>
      <c r="Q475" s="297">
        <v>0.5</v>
      </c>
      <c r="R475" s="297">
        <v>0.5</v>
      </c>
      <c r="S475" s="297">
        <v>0.5</v>
      </c>
      <c r="T475" s="297">
        <v>0.5</v>
      </c>
      <c r="U475" s="297">
        <v>0.5</v>
      </c>
      <c r="V475" s="328"/>
      <c r="W475" s="260" t="s">
        <v>200</v>
      </c>
      <c r="X475" s="198" t="s">
        <v>493</v>
      </c>
      <c r="Y475" s="157" t="b">
        <v>0</v>
      </c>
      <c r="Z475" s="157"/>
      <c r="AA475" s="157"/>
      <c r="AB475" s="157"/>
      <c r="AC475" s="157"/>
      <c r="AD475" s="157"/>
      <c r="AE475" s="157"/>
      <c r="AF475" s="157"/>
      <c r="AG475" s="157"/>
      <c r="AH475" s="157"/>
      <c r="AI475" s="157"/>
      <c r="AJ475" s="157"/>
      <c r="AK475" s="157"/>
      <c r="AL475" s="157"/>
      <c r="AM475" s="157"/>
      <c r="AN475" s="157"/>
      <c r="AO475" s="157"/>
      <c r="AP475" s="157"/>
    </row>
    <row r="476" spans="1:42" x14ac:dyDescent="0.25">
      <c r="A476" s="295" t="s">
        <v>91</v>
      </c>
      <c r="B476" s="295" t="s">
        <v>435</v>
      </c>
      <c r="C476" s="295" t="s">
        <v>43</v>
      </c>
      <c r="D476" s="295" t="s">
        <v>281</v>
      </c>
      <c r="E476" s="297">
        <v>0.5</v>
      </c>
      <c r="F476" s="297">
        <v>0.5</v>
      </c>
      <c r="G476" s="297">
        <v>0.5</v>
      </c>
      <c r="H476" s="297">
        <v>0.5</v>
      </c>
      <c r="I476" s="297">
        <v>0.5</v>
      </c>
      <c r="J476" s="297">
        <v>0.5</v>
      </c>
      <c r="K476" s="297">
        <v>0.5</v>
      </c>
      <c r="L476" s="297">
        <v>0.5</v>
      </c>
      <c r="M476" s="297">
        <v>0.5</v>
      </c>
      <c r="N476" s="297">
        <v>0.5</v>
      </c>
      <c r="O476" s="297">
        <v>0.5</v>
      </c>
      <c r="P476" s="297">
        <v>0.5</v>
      </c>
      <c r="Q476" s="297">
        <v>0.5</v>
      </c>
      <c r="R476" s="297">
        <v>0.5</v>
      </c>
      <c r="S476" s="297">
        <v>0.5</v>
      </c>
      <c r="T476" s="297">
        <v>0.5</v>
      </c>
      <c r="U476" s="297">
        <v>0.5</v>
      </c>
      <c r="V476" s="328"/>
      <c r="W476" s="260" t="s">
        <v>200</v>
      </c>
      <c r="X476" s="198" t="s">
        <v>493</v>
      </c>
      <c r="Y476" s="157" t="b">
        <v>0</v>
      </c>
      <c r="Z476" s="157"/>
      <c r="AA476" s="157"/>
      <c r="AB476" s="157"/>
      <c r="AC476" s="157"/>
      <c r="AD476" s="157"/>
      <c r="AE476" s="157"/>
      <c r="AF476" s="157"/>
      <c r="AG476" s="157"/>
      <c r="AH476" s="157"/>
      <c r="AI476" s="157"/>
      <c r="AJ476" s="157"/>
      <c r="AK476" s="157"/>
      <c r="AL476" s="157"/>
      <c r="AM476" s="157"/>
      <c r="AN476" s="157"/>
      <c r="AO476" s="157"/>
      <c r="AP476" s="157"/>
    </row>
    <row r="477" spans="1:42" x14ac:dyDescent="0.25">
      <c r="A477" s="295" t="s">
        <v>91</v>
      </c>
      <c r="B477" s="295" t="s">
        <v>435</v>
      </c>
      <c r="C477" s="295" t="s">
        <v>43</v>
      </c>
      <c r="D477" s="295" t="s">
        <v>282</v>
      </c>
      <c r="E477" s="297">
        <v>0.5</v>
      </c>
      <c r="F477" s="297">
        <v>0.5</v>
      </c>
      <c r="G477" s="297">
        <v>0.5</v>
      </c>
      <c r="H477" s="297">
        <v>0.5</v>
      </c>
      <c r="I477" s="297">
        <v>0.5</v>
      </c>
      <c r="J477" s="297">
        <v>0.5</v>
      </c>
      <c r="K477" s="297">
        <v>0.5</v>
      </c>
      <c r="L477" s="297">
        <v>0.5</v>
      </c>
      <c r="M477" s="297">
        <v>0.5</v>
      </c>
      <c r="N477" s="297">
        <v>0.5</v>
      </c>
      <c r="O477" s="297">
        <v>0.5</v>
      </c>
      <c r="P477" s="297">
        <v>0.5</v>
      </c>
      <c r="Q477" s="297">
        <v>0.5</v>
      </c>
      <c r="R477" s="297">
        <v>0.5</v>
      </c>
      <c r="S477" s="297">
        <v>0.5</v>
      </c>
      <c r="T477" s="297">
        <v>0.5</v>
      </c>
      <c r="U477" s="297">
        <v>0.5</v>
      </c>
      <c r="V477" s="328"/>
      <c r="W477" s="260" t="s">
        <v>200</v>
      </c>
      <c r="X477" s="198" t="s">
        <v>493</v>
      </c>
      <c r="Y477" s="157" t="b">
        <v>0</v>
      </c>
      <c r="Z477" s="157"/>
      <c r="AA477" s="157"/>
      <c r="AB477" s="157"/>
      <c r="AC477" s="157"/>
      <c r="AD477" s="157"/>
      <c r="AE477" s="157"/>
      <c r="AF477" s="157"/>
      <c r="AG477" s="157"/>
      <c r="AH477" s="157"/>
      <c r="AI477" s="157"/>
      <c r="AJ477" s="157"/>
      <c r="AK477" s="157"/>
      <c r="AL477" s="157"/>
      <c r="AM477" s="157"/>
      <c r="AN477" s="157"/>
      <c r="AO477" s="157"/>
      <c r="AP477" s="157"/>
    </row>
    <row r="478" spans="1:42" x14ac:dyDescent="0.25">
      <c r="A478" s="295" t="s">
        <v>91</v>
      </c>
      <c r="B478" s="295" t="s">
        <v>435</v>
      </c>
      <c r="C478" s="295" t="s">
        <v>44</v>
      </c>
      <c r="D478" s="295" t="s">
        <v>276</v>
      </c>
      <c r="E478" s="297">
        <v>0.5</v>
      </c>
      <c r="F478" s="297">
        <v>0.5</v>
      </c>
      <c r="G478" s="297">
        <v>0.5</v>
      </c>
      <c r="H478" s="297">
        <v>0.5</v>
      </c>
      <c r="I478" s="297">
        <v>0.5</v>
      </c>
      <c r="J478" s="297">
        <v>0.5</v>
      </c>
      <c r="K478" s="297">
        <v>0.5</v>
      </c>
      <c r="L478" s="297">
        <v>0.5</v>
      </c>
      <c r="M478" s="297">
        <v>0.5</v>
      </c>
      <c r="N478" s="297">
        <v>0.5</v>
      </c>
      <c r="O478" s="297">
        <v>0.5</v>
      </c>
      <c r="P478" s="297">
        <v>0.5</v>
      </c>
      <c r="Q478" s="297">
        <v>0.5</v>
      </c>
      <c r="R478" s="297">
        <v>0.5</v>
      </c>
      <c r="S478" s="297">
        <v>0.5</v>
      </c>
      <c r="T478" s="297">
        <v>0.5</v>
      </c>
      <c r="U478" s="297">
        <v>0.5</v>
      </c>
      <c r="V478" s="328"/>
      <c r="W478" s="260" t="s">
        <v>200</v>
      </c>
      <c r="X478" s="198" t="s">
        <v>493</v>
      </c>
      <c r="Y478" s="157" t="b">
        <v>0</v>
      </c>
      <c r="Z478" s="157"/>
      <c r="AA478" s="157"/>
      <c r="AB478" s="157"/>
      <c r="AC478" s="157"/>
      <c r="AD478" s="157"/>
      <c r="AE478" s="157"/>
      <c r="AF478" s="157"/>
      <c r="AG478" s="157"/>
      <c r="AH478" s="157"/>
      <c r="AI478" s="157"/>
      <c r="AJ478" s="157"/>
      <c r="AK478" s="157"/>
      <c r="AL478" s="157"/>
      <c r="AM478" s="157"/>
      <c r="AN478" s="157"/>
      <c r="AO478" s="157"/>
      <c r="AP478" s="157"/>
    </row>
    <row r="479" spans="1:42" x14ac:dyDescent="0.25">
      <c r="A479" s="295" t="s">
        <v>91</v>
      </c>
      <c r="B479" s="295" t="s">
        <v>435</v>
      </c>
      <c r="C479" s="295" t="s">
        <v>44</v>
      </c>
      <c r="D479" s="295" t="s">
        <v>279</v>
      </c>
      <c r="E479" s="297">
        <v>0.5</v>
      </c>
      <c r="F479" s="297">
        <v>0.5</v>
      </c>
      <c r="G479" s="297">
        <v>0.5</v>
      </c>
      <c r="H479" s="297">
        <v>0.5</v>
      </c>
      <c r="I479" s="297">
        <v>0.5</v>
      </c>
      <c r="J479" s="297">
        <v>0.5</v>
      </c>
      <c r="K479" s="297">
        <v>0.5</v>
      </c>
      <c r="L479" s="297">
        <v>0.5</v>
      </c>
      <c r="M479" s="297">
        <v>0.5</v>
      </c>
      <c r="N479" s="297">
        <v>0.5</v>
      </c>
      <c r="O479" s="297">
        <v>0.5</v>
      </c>
      <c r="P479" s="297">
        <v>0.5</v>
      </c>
      <c r="Q479" s="297">
        <v>0.5</v>
      </c>
      <c r="R479" s="297">
        <v>0.5</v>
      </c>
      <c r="S479" s="297">
        <v>0.5</v>
      </c>
      <c r="T479" s="297">
        <v>0.5</v>
      </c>
      <c r="U479" s="297">
        <v>0.5</v>
      </c>
      <c r="V479" s="328"/>
      <c r="W479" s="260" t="s">
        <v>200</v>
      </c>
      <c r="X479" s="198" t="s">
        <v>493</v>
      </c>
      <c r="Y479" s="157" t="b">
        <v>0</v>
      </c>
      <c r="Z479" s="157"/>
      <c r="AA479" s="157"/>
      <c r="AB479" s="157"/>
      <c r="AC479" s="157"/>
      <c r="AD479" s="157"/>
      <c r="AE479" s="157"/>
      <c r="AF479" s="157"/>
      <c r="AG479" s="157"/>
      <c r="AH479" s="157"/>
      <c r="AI479" s="157"/>
      <c r="AJ479" s="157"/>
      <c r="AK479" s="157"/>
      <c r="AL479" s="157"/>
      <c r="AM479" s="157"/>
      <c r="AN479" s="157"/>
      <c r="AO479" s="157"/>
      <c r="AP479" s="157"/>
    </row>
    <row r="480" spans="1:42" x14ac:dyDescent="0.25">
      <c r="A480" s="295" t="s">
        <v>91</v>
      </c>
      <c r="B480" s="295" t="s">
        <v>435</v>
      </c>
      <c r="C480" s="295" t="s">
        <v>44</v>
      </c>
      <c r="D480" s="295" t="s">
        <v>281</v>
      </c>
      <c r="E480" s="297">
        <v>0.5</v>
      </c>
      <c r="F480" s="297">
        <v>0.5</v>
      </c>
      <c r="G480" s="297">
        <v>0.5</v>
      </c>
      <c r="H480" s="297">
        <v>0.5</v>
      </c>
      <c r="I480" s="297">
        <v>0.5</v>
      </c>
      <c r="J480" s="297">
        <v>0.5</v>
      </c>
      <c r="K480" s="297">
        <v>0.5</v>
      </c>
      <c r="L480" s="297">
        <v>0.5</v>
      </c>
      <c r="M480" s="297">
        <v>0.5</v>
      </c>
      <c r="N480" s="297">
        <v>0.5</v>
      </c>
      <c r="O480" s="297">
        <v>0.5</v>
      </c>
      <c r="P480" s="297">
        <v>0.5</v>
      </c>
      <c r="Q480" s="297">
        <v>0.5</v>
      </c>
      <c r="R480" s="297">
        <v>0.5</v>
      </c>
      <c r="S480" s="297">
        <v>0.5</v>
      </c>
      <c r="T480" s="297">
        <v>0.5</v>
      </c>
      <c r="U480" s="297">
        <v>0.5</v>
      </c>
      <c r="V480" s="328"/>
      <c r="W480" s="260" t="s">
        <v>200</v>
      </c>
      <c r="X480" s="198" t="s">
        <v>493</v>
      </c>
      <c r="Y480" s="157" t="b">
        <v>0</v>
      </c>
      <c r="Z480" s="157"/>
      <c r="AA480" s="157"/>
      <c r="AB480" s="157"/>
      <c r="AC480" s="157"/>
      <c r="AD480" s="157"/>
      <c r="AE480" s="157"/>
      <c r="AF480" s="157"/>
      <c r="AG480" s="157"/>
      <c r="AH480" s="157"/>
      <c r="AI480" s="157"/>
      <c r="AJ480" s="157"/>
      <c r="AK480" s="157"/>
      <c r="AL480" s="157"/>
      <c r="AM480" s="157"/>
      <c r="AN480" s="157"/>
      <c r="AO480" s="157"/>
      <c r="AP480" s="157"/>
    </row>
    <row r="481" spans="1:42" ht="14.4" x14ac:dyDescent="0.25">
      <c r="A481" s="295" t="s">
        <v>92</v>
      </c>
      <c r="B481" s="295" t="s">
        <v>435</v>
      </c>
      <c r="C481" s="295" t="s">
        <v>41</v>
      </c>
      <c r="D481" s="295" t="s">
        <v>280</v>
      </c>
      <c r="E481" s="297">
        <v>0</v>
      </c>
      <c r="F481" s="297">
        <v>0</v>
      </c>
      <c r="G481" s="330">
        <v>0</v>
      </c>
      <c r="H481" s="330">
        <v>0</v>
      </c>
      <c r="I481" s="330">
        <v>0</v>
      </c>
      <c r="J481" s="330">
        <v>0</v>
      </c>
      <c r="K481" s="330">
        <v>0</v>
      </c>
      <c r="L481" s="330">
        <v>0</v>
      </c>
      <c r="M481" s="330">
        <v>0</v>
      </c>
      <c r="N481" s="330">
        <v>0</v>
      </c>
      <c r="O481" s="330">
        <v>0</v>
      </c>
      <c r="P481" s="330">
        <v>0</v>
      </c>
      <c r="Q481" s="330">
        <v>0</v>
      </c>
      <c r="R481" s="330">
        <v>0</v>
      </c>
      <c r="S481" s="330">
        <v>0</v>
      </c>
      <c r="T481" s="330">
        <v>0</v>
      </c>
      <c r="U481" s="330">
        <v>0</v>
      </c>
      <c r="V481" s="328"/>
      <c r="W481" s="260" t="s">
        <v>200</v>
      </c>
      <c r="X481" s="198" t="s">
        <v>494</v>
      </c>
      <c r="Y481" s="157" t="b">
        <v>1</v>
      </c>
      <c r="Z481" s="157"/>
      <c r="AA481" s="157"/>
      <c r="AB481" s="157"/>
      <c r="AC481" s="157"/>
      <c r="AD481" s="157"/>
      <c r="AE481" s="157"/>
      <c r="AF481" s="157"/>
      <c r="AG481" s="157"/>
      <c r="AH481" s="157"/>
      <c r="AI481" s="157"/>
      <c r="AJ481" s="157"/>
      <c r="AK481" s="157"/>
      <c r="AL481" s="157"/>
      <c r="AM481" s="157"/>
      <c r="AN481" s="157"/>
      <c r="AO481" s="157"/>
      <c r="AP481" s="157"/>
    </row>
    <row r="482" spans="1:42" ht="14.4" x14ac:dyDescent="0.25">
      <c r="A482" s="295" t="s">
        <v>92</v>
      </c>
      <c r="B482" s="295" t="s">
        <v>435</v>
      </c>
      <c r="C482" s="295" t="s">
        <v>41</v>
      </c>
      <c r="D482" s="295" t="s">
        <v>282</v>
      </c>
      <c r="E482" s="297">
        <v>0</v>
      </c>
      <c r="F482" s="297">
        <v>0</v>
      </c>
      <c r="G482" s="330">
        <v>0</v>
      </c>
      <c r="H482" s="330">
        <v>0</v>
      </c>
      <c r="I482" s="330">
        <v>0</v>
      </c>
      <c r="J482" s="330">
        <v>0</v>
      </c>
      <c r="K482" s="330">
        <v>0</v>
      </c>
      <c r="L482" s="330">
        <v>0</v>
      </c>
      <c r="M482" s="330">
        <v>0</v>
      </c>
      <c r="N482" s="330">
        <v>0</v>
      </c>
      <c r="O482" s="330">
        <v>0</v>
      </c>
      <c r="P482" s="330">
        <v>0</v>
      </c>
      <c r="Q482" s="330">
        <v>0</v>
      </c>
      <c r="R482" s="330">
        <v>0</v>
      </c>
      <c r="S482" s="330">
        <v>0</v>
      </c>
      <c r="T482" s="330">
        <v>0</v>
      </c>
      <c r="U482" s="330">
        <v>0</v>
      </c>
      <c r="V482" s="328"/>
      <c r="W482" s="260" t="s">
        <v>200</v>
      </c>
      <c r="X482" s="198" t="s">
        <v>494</v>
      </c>
      <c r="Y482" s="157" t="b">
        <v>1</v>
      </c>
      <c r="Z482" s="157"/>
      <c r="AA482" s="157"/>
      <c r="AB482" s="157"/>
      <c r="AC482" s="157"/>
      <c r="AD482" s="157"/>
      <c r="AE482" s="157"/>
      <c r="AF482" s="157"/>
      <c r="AG482" s="157"/>
      <c r="AH482" s="157"/>
      <c r="AI482" s="157"/>
      <c r="AJ482" s="157"/>
      <c r="AK482" s="157"/>
      <c r="AL482" s="157"/>
      <c r="AM482" s="157"/>
      <c r="AN482" s="157"/>
      <c r="AO482" s="157"/>
      <c r="AP482" s="157"/>
    </row>
    <row r="483" spans="1:42" ht="14.4" x14ac:dyDescent="0.25">
      <c r="A483" s="295" t="s">
        <v>92</v>
      </c>
      <c r="B483" s="295" t="s">
        <v>435</v>
      </c>
      <c r="C483" s="295" t="s">
        <v>43</v>
      </c>
      <c r="D483" s="295" t="s">
        <v>276</v>
      </c>
      <c r="E483" s="297">
        <v>0</v>
      </c>
      <c r="F483" s="297">
        <v>0</v>
      </c>
      <c r="G483" s="330">
        <v>0</v>
      </c>
      <c r="H483" s="330">
        <v>0</v>
      </c>
      <c r="I483" s="330">
        <v>0</v>
      </c>
      <c r="J483" s="330">
        <v>0</v>
      </c>
      <c r="K483" s="330">
        <v>0</v>
      </c>
      <c r="L483" s="330">
        <v>0</v>
      </c>
      <c r="M483" s="330">
        <v>0</v>
      </c>
      <c r="N483" s="330">
        <v>0</v>
      </c>
      <c r="O483" s="330">
        <v>0</v>
      </c>
      <c r="P483" s="330">
        <v>0</v>
      </c>
      <c r="Q483" s="330">
        <v>0</v>
      </c>
      <c r="R483" s="330">
        <v>0</v>
      </c>
      <c r="S483" s="330">
        <v>0</v>
      </c>
      <c r="T483" s="330">
        <v>0</v>
      </c>
      <c r="U483" s="330">
        <v>0</v>
      </c>
      <c r="V483" s="328"/>
      <c r="W483" s="260" t="s">
        <v>200</v>
      </c>
      <c r="X483" s="198" t="s">
        <v>494</v>
      </c>
      <c r="Y483" s="157" t="b">
        <v>1</v>
      </c>
      <c r="Z483" s="157"/>
      <c r="AA483" s="157"/>
      <c r="AB483" s="157"/>
      <c r="AC483" s="157"/>
      <c r="AD483" s="157"/>
      <c r="AE483" s="157"/>
      <c r="AF483" s="157"/>
      <c r="AG483" s="157"/>
      <c r="AH483" s="157"/>
      <c r="AI483" s="157"/>
      <c r="AJ483" s="157"/>
      <c r="AK483" s="157"/>
      <c r="AL483" s="157"/>
      <c r="AM483" s="157"/>
      <c r="AN483" s="157"/>
      <c r="AO483" s="157"/>
      <c r="AP483" s="157"/>
    </row>
    <row r="484" spans="1:42" ht="14.4" x14ac:dyDescent="0.25">
      <c r="A484" s="295" t="s">
        <v>92</v>
      </c>
      <c r="B484" s="295" t="s">
        <v>435</v>
      </c>
      <c r="C484" s="295" t="s">
        <v>43</v>
      </c>
      <c r="D484" s="295" t="s">
        <v>279</v>
      </c>
      <c r="E484" s="297">
        <v>0</v>
      </c>
      <c r="F484" s="297">
        <v>0</v>
      </c>
      <c r="G484" s="330">
        <v>0</v>
      </c>
      <c r="H484" s="330">
        <v>0</v>
      </c>
      <c r="I484" s="330">
        <v>0</v>
      </c>
      <c r="J484" s="330">
        <v>0</v>
      </c>
      <c r="K484" s="330">
        <v>0</v>
      </c>
      <c r="L484" s="330">
        <v>0</v>
      </c>
      <c r="M484" s="330">
        <v>0</v>
      </c>
      <c r="N484" s="330">
        <v>0</v>
      </c>
      <c r="O484" s="330">
        <v>0</v>
      </c>
      <c r="P484" s="330">
        <v>0</v>
      </c>
      <c r="Q484" s="330">
        <v>0</v>
      </c>
      <c r="R484" s="330">
        <v>0</v>
      </c>
      <c r="S484" s="330">
        <v>0</v>
      </c>
      <c r="T484" s="330">
        <v>0</v>
      </c>
      <c r="U484" s="330">
        <v>0</v>
      </c>
      <c r="V484" s="328"/>
      <c r="W484" s="260" t="s">
        <v>200</v>
      </c>
      <c r="X484" s="198" t="s">
        <v>494</v>
      </c>
      <c r="Y484" s="157" t="b">
        <v>1</v>
      </c>
      <c r="Z484" s="157"/>
      <c r="AA484" s="157"/>
      <c r="AB484" s="157"/>
      <c r="AC484" s="157"/>
      <c r="AD484" s="157"/>
      <c r="AE484" s="157"/>
      <c r="AF484" s="157"/>
      <c r="AG484" s="157"/>
      <c r="AH484" s="157"/>
      <c r="AI484" s="157"/>
      <c r="AJ484" s="157"/>
      <c r="AK484" s="157"/>
      <c r="AL484" s="157"/>
      <c r="AM484" s="157"/>
      <c r="AN484" s="157"/>
      <c r="AO484" s="157"/>
      <c r="AP484" s="157"/>
    </row>
    <row r="485" spans="1:42" ht="14.4" x14ac:dyDescent="0.25">
      <c r="A485" s="295" t="s">
        <v>92</v>
      </c>
      <c r="B485" s="295" t="s">
        <v>435</v>
      </c>
      <c r="C485" s="295" t="s">
        <v>43</v>
      </c>
      <c r="D485" s="295" t="s">
        <v>280</v>
      </c>
      <c r="E485" s="297">
        <v>0</v>
      </c>
      <c r="F485" s="297">
        <v>0</v>
      </c>
      <c r="G485" s="330">
        <v>0</v>
      </c>
      <c r="H485" s="330">
        <v>0</v>
      </c>
      <c r="I485" s="330">
        <v>0</v>
      </c>
      <c r="J485" s="330">
        <v>0</v>
      </c>
      <c r="K485" s="330">
        <v>0</v>
      </c>
      <c r="L485" s="330">
        <v>0</v>
      </c>
      <c r="M485" s="330">
        <v>0</v>
      </c>
      <c r="N485" s="330">
        <v>0</v>
      </c>
      <c r="O485" s="330">
        <v>0</v>
      </c>
      <c r="P485" s="330">
        <v>0</v>
      </c>
      <c r="Q485" s="330">
        <v>0</v>
      </c>
      <c r="R485" s="330">
        <v>0</v>
      </c>
      <c r="S485" s="330">
        <v>0</v>
      </c>
      <c r="T485" s="330">
        <v>0</v>
      </c>
      <c r="U485" s="330">
        <v>0</v>
      </c>
      <c r="V485" s="328"/>
      <c r="W485" s="260" t="s">
        <v>200</v>
      </c>
      <c r="X485" s="198" t="s">
        <v>494</v>
      </c>
      <c r="Y485" s="157" t="b">
        <v>1</v>
      </c>
      <c r="Z485" s="157"/>
      <c r="AA485" s="157"/>
      <c r="AB485" s="157"/>
      <c r="AC485" s="157"/>
      <c r="AD485" s="157"/>
      <c r="AE485" s="157"/>
      <c r="AF485" s="157"/>
      <c r="AG485" s="157"/>
      <c r="AH485" s="157"/>
      <c r="AI485" s="157"/>
      <c r="AJ485" s="157"/>
      <c r="AK485" s="157"/>
      <c r="AL485" s="157"/>
      <c r="AM485" s="157"/>
      <c r="AN485" s="157"/>
      <c r="AO485" s="157"/>
      <c r="AP485" s="157"/>
    </row>
    <row r="486" spans="1:42" ht="14.4" x14ac:dyDescent="0.25">
      <c r="A486" s="295" t="s">
        <v>92</v>
      </c>
      <c r="B486" s="295" t="s">
        <v>435</v>
      </c>
      <c r="C486" s="295" t="s">
        <v>43</v>
      </c>
      <c r="D486" s="295" t="s">
        <v>281</v>
      </c>
      <c r="E486" s="297">
        <v>0</v>
      </c>
      <c r="F486" s="297">
        <v>0</v>
      </c>
      <c r="G486" s="330">
        <v>0</v>
      </c>
      <c r="H486" s="330">
        <v>0</v>
      </c>
      <c r="I486" s="330">
        <v>0</v>
      </c>
      <c r="J486" s="330">
        <v>0</v>
      </c>
      <c r="K486" s="330">
        <v>0</v>
      </c>
      <c r="L486" s="330">
        <v>0</v>
      </c>
      <c r="M486" s="330">
        <v>0</v>
      </c>
      <c r="N486" s="330">
        <v>0</v>
      </c>
      <c r="O486" s="330">
        <v>0</v>
      </c>
      <c r="P486" s="330">
        <v>0</v>
      </c>
      <c r="Q486" s="330">
        <v>0</v>
      </c>
      <c r="R486" s="330">
        <v>0</v>
      </c>
      <c r="S486" s="330">
        <v>0</v>
      </c>
      <c r="T486" s="330">
        <v>0</v>
      </c>
      <c r="U486" s="330">
        <v>0</v>
      </c>
      <c r="V486" s="328"/>
      <c r="W486" s="260" t="s">
        <v>200</v>
      </c>
      <c r="X486" s="198" t="s">
        <v>494</v>
      </c>
      <c r="Y486" s="157" t="b">
        <v>1</v>
      </c>
      <c r="Z486" s="157"/>
      <c r="AA486" s="157"/>
      <c r="AB486" s="157"/>
      <c r="AC486" s="157"/>
      <c r="AD486" s="157"/>
      <c r="AE486" s="157"/>
      <c r="AF486" s="157"/>
      <c r="AG486" s="157"/>
      <c r="AH486" s="157"/>
      <c r="AI486" s="157"/>
      <c r="AJ486" s="157"/>
      <c r="AK486" s="157"/>
      <c r="AL486" s="157"/>
      <c r="AM486" s="157"/>
      <c r="AN486" s="157"/>
      <c r="AO486" s="157"/>
      <c r="AP486" s="157"/>
    </row>
    <row r="487" spans="1:42" ht="14.4" x14ac:dyDescent="0.25">
      <c r="A487" s="295" t="s">
        <v>92</v>
      </c>
      <c r="B487" s="295" t="s">
        <v>435</v>
      </c>
      <c r="C487" s="295" t="s">
        <v>43</v>
      </c>
      <c r="D487" s="295" t="s">
        <v>282</v>
      </c>
      <c r="E487" s="297">
        <v>0</v>
      </c>
      <c r="F487" s="297">
        <v>0</v>
      </c>
      <c r="G487" s="330">
        <v>0</v>
      </c>
      <c r="H487" s="330">
        <v>0</v>
      </c>
      <c r="I487" s="330">
        <v>0</v>
      </c>
      <c r="J487" s="330">
        <v>0</v>
      </c>
      <c r="K487" s="330">
        <v>0</v>
      </c>
      <c r="L487" s="330">
        <v>0</v>
      </c>
      <c r="M487" s="330">
        <v>0</v>
      </c>
      <c r="N487" s="330">
        <v>0</v>
      </c>
      <c r="O487" s="330">
        <v>0</v>
      </c>
      <c r="P487" s="330">
        <v>0</v>
      </c>
      <c r="Q487" s="330">
        <v>0</v>
      </c>
      <c r="R487" s="330">
        <v>0</v>
      </c>
      <c r="S487" s="330">
        <v>0</v>
      </c>
      <c r="T487" s="330">
        <v>0</v>
      </c>
      <c r="U487" s="330">
        <v>0</v>
      </c>
      <c r="V487" s="328"/>
      <c r="W487" s="260" t="s">
        <v>200</v>
      </c>
      <c r="X487" s="198" t="s">
        <v>494</v>
      </c>
      <c r="Y487" s="157" t="b">
        <v>1</v>
      </c>
      <c r="Z487" s="157"/>
      <c r="AA487" s="157"/>
      <c r="AB487" s="157"/>
      <c r="AC487" s="157"/>
      <c r="AD487" s="157"/>
      <c r="AE487" s="157"/>
      <c r="AF487" s="157"/>
      <c r="AG487" s="157"/>
      <c r="AH487" s="157"/>
      <c r="AI487" s="157"/>
      <c r="AJ487" s="157"/>
      <c r="AK487" s="157"/>
      <c r="AL487" s="157"/>
      <c r="AM487" s="157"/>
      <c r="AN487" s="157"/>
      <c r="AO487" s="157"/>
      <c r="AP487" s="157"/>
    </row>
    <row r="488" spans="1:42" ht="14.4" x14ac:dyDescent="0.25">
      <c r="A488" s="295" t="s">
        <v>92</v>
      </c>
      <c r="B488" s="295" t="s">
        <v>435</v>
      </c>
      <c r="C488" s="295" t="s">
        <v>44</v>
      </c>
      <c r="D488" s="295" t="s">
        <v>276</v>
      </c>
      <c r="E488" s="297">
        <v>0</v>
      </c>
      <c r="F488" s="297">
        <v>0</v>
      </c>
      <c r="G488" s="330">
        <v>0</v>
      </c>
      <c r="H488" s="330">
        <v>0</v>
      </c>
      <c r="I488" s="330">
        <v>0</v>
      </c>
      <c r="J488" s="330">
        <v>0</v>
      </c>
      <c r="K488" s="330">
        <v>0</v>
      </c>
      <c r="L488" s="330">
        <v>0</v>
      </c>
      <c r="M488" s="330">
        <v>0</v>
      </c>
      <c r="N488" s="330">
        <v>0</v>
      </c>
      <c r="O488" s="330">
        <v>0</v>
      </c>
      <c r="P488" s="330">
        <v>0</v>
      </c>
      <c r="Q488" s="330">
        <v>0</v>
      </c>
      <c r="R488" s="330">
        <v>0</v>
      </c>
      <c r="S488" s="330">
        <v>0</v>
      </c>
      <c r="T488" s="330">
        <v>0</v>
      </c>
      <c r="U488" s="330">
        <v>0</v>
      </c>
      <c r="V488" s="328"/>
      <c r="W488" s="260" t="s">
        <v>200</v>
      </c>
      <c r="X488" s="198" t="s">
        <v>494</v>
      </c>
      <c r="Y488" s="157" t="b">
        <v>1</v>
      </c>
      <c r="Z488" s="157"/>
      <c r="AA488" s="157"/>
      <c r="AB488" s="157"/>
      <c r="AC488" s="157"/>
      <c r="AD488" s="157"/>
      <c r="AE488" s="157"/>
      <c r="AF488" s="157"/>
      <c r="AG488" s="157"/>
      <c r="AH488" s="157"/>
      <c r="AI488" s="157"/>
      <c r="AJ488" s="157"/>
      <c r="AK488" s="157"/>
      <c r="AL488" s="157"/>
      <c r="AM488" s="157"/>
      <c r="AN488" s="157"/>
      <c r="AO488" s="157"/>
      <c r="AP488" s="157"/>
    </row>
    <row r="489" spans="1:42" ht="14.4" x14ac:dyDescent="0.25">
      <c r="A489" s="295" t="s">
        <v>92</v>
      </c>
      <c r="B489" s="295" t="s">
        <v>435</v>
      </c>
      <c r="C489" s="295" t="s">
        <v>44</v>
      </c>
      <c r="D489" s="295" t="s">
        <v>279</v>
      </c>
      <c r="E489" s="297">
        <v>0</v>
      </c>
      <c r="F489" s="297">
        <v>0</v>
      </c>
      <c r="G489" s="330">
        <v>0</v>
      </c>
      <c r="H489" s="330">
        <v>0</v>
      </c>
      <c r="I489" s="330">
        <v>0</v>
      </c>
      <c r="J489" s="330">
        <v>0</v>
      </c>
      <c r="K489" s="330">
        <v>0</v>
      </c>
      <c r="L489" s="330">
        <v>0</v>
      </c>
      <c r="M489" s="330">
        <v>0</v>
      </c>
      <c r="N489" s="330">
        <v>0</v>
      </c>
      <c r="O489" s="330">
        <v>0</v>
      </c>
      <c r="P489" s="330">
        <v>0</v>
      </c>
      <c r="Q489" s="330">
        <v>0</v>
      </c>
      <c r="R489" s="330">
        <v>0</v>
      </c>
      <c r="S489" s="330">
        <v>0</v>
      </c>
      <c r="T489" s="330">
        <v>0</v>
      </c>
      <c r="U489" s="330">
        <v>0</v>
      </c>
      <c r="V489" s="328"/>
      <c r="W489" s="260" t="s">
        <v>200</v>
      </c>
      <c r="X489" s="198" t="s">
        <v>494</v>
      </c>
      <c r="Y489" s="157" t="b">
        <v>1</v>
      </c>
      <c r="Z489" s="157"/>
      <c r="AA489" s="157"/>
      <c r="AB489" s="157"/>
      <c r="AC489" s="157"/>
      <c r="AD489" s="157"/>
      <c r="AE489" s="157"/>
      <c r="AF489" s="157"/>
      <c r="AG489" s="157"/>
      <c r="AH489" s="157"/>
      <c r="AI489" s="157"/>
      <c r="AJ489" s="157"/>
      <c r="AK489" s="157"/>
      <c r="AL489" s="157"/>
      <c r="AM489" s="157"/>
      <c r="AN489" s="157"/>
      <c r="AO489" s="157"/>
      <c r="AP489" s="157"/>
    </row>
    <row r="490" spans="1:42" ht="14.4" x14ac:dyDescent="0.25">
      <c r="A490" s="295" t="s">
        <v>92</v>
      </c>
      <c r="B490" s="295" t="s">
        <v>435</v>
      </c>
      <c r="C490" s="295" t="s">
        <v>44</v>
      </c>
      <c r="D490" s="295" t="s">
        <v>281</v>
      </c>
      <c r="E490" s="297">
        <v>0</v>
      </c>
      <c r="F490" s="297">
        <v>0</v>
      </c>
      <c r="G490" s="330">
        <v>0</v>
      </c>
      <c r="H490" s="330">
        <v>0</v>
      </c>
      <c r="I490" s="330">
        <v>0</v>
      </c>
      <c r="J490" s="330">
        <v>0</v>
      </c>
      <c r="K490" s="330">
        <v>0</v>
      </c>
      <c r="L490" s="330">
        <v>0</v>
      </c>
      <c r="M490" s="330">
        <v>0</v>
      </c>
      <c r="N490" s="330">
        <v>0</v>
      </c>
      <c r="O490" s="330">
        <v>0</v>
      </c>
      <c r="P490" s="330">
        <v>0</v>
      </c>
      <c r="Q490" s="330">
        <v>0</v>
      </c>
      <c r="R490" s="330">
        <v>0</v>
      </c>
      <c r="S490" s="330">
        <v>0</v>
      </c>
      <c r="T490" s="330">
        <v>0</v>
      </c>
      <c r="U490" s="330">
        <v>0</v>
      </c>
      <c r="V490" s="328"/>
      <c r="W490" s="260" t="s">
        <v>200</v>
      </c>
      <c r="X490" s="198" t="s">
        <v>494</v>
      </c>
      <c r="Y490" s="157" t="b">
        <v>1</v>
      </c>
      <c r="Z490" s="157"/>
      <c r="AA490" s="157"/>
      <c r="AB490" s="157"/>
      <c r="AC490" s="157"/>
      <c r="AD490" s="157"/>
      <c r="AE490" s="157"/>
      <c r="AF490" s="157"/>
      <c r="AG490" s="157"/>
      <c r="AH490" s="157"/>
      <c r="AI490" s="157"/>
      <c r="AJ490" s="157"/>
      <c r="AK490" s="157"/>
      <c r="AL490" s="157"/>
      <c r="AM490" s="157"/>
      <c r="AN490" s="157"/>
      <c r="AO490" s="157"/>
      <c r="AP490" s="157"/>
    </row>
    <row r="491" spans="1:42" x14ac:dyDescent="0.25">
      <c r="A491" s="295" t="s">
        <v>93</v>
      </c>
      <c r="B491" s="295" t="s">
        <v>435</v>
      </c>
      <c r="C491" s="295" t="s">
        <v>41</v>
      </c>
      <c r="D491" s="295" t="s">
        <v>280</v>
      </c>
      <c r="E491" s="297">
        <v>0.5</v>
      </c>
      <c r="F491" s="297">
        <v>0.5</v>
      </c>
      <c r="G491" s="297">
        <v>0.5</v>
      </c>
      <c r="H491" s="297">
        <v>0.5</v>
      </c>
      <c r="I491" s="297">
        <v>0.5</v>
      </c>
      <c r="J491" s="297">
        <v>0.5</v>
      </c>
      <c r="K491" s="297">
        <v>0.5</v>
      </c>
      <c r="L491" s="297">
        <v>0.5</v>
      </c>
      <c r="M491" s="297">
        <v>0.5</v>
      </c>
      <c r="N491" s="297">
        <v>0.5</v>
      </c>
      <c r="O491" s="297">
        <v>0.5</v>
      </c>
      <c r="P491" s="297">
        <v>0.5</v>
      </c>
      <c r="Q491" s="297">
        <v>0.5</v>
      </c>
      <c r="R491" s="297">
        <v>0.5</v>
      </c>
      <c r="S491" s="297">
        <v>0.5</v>
      </c>
      <c r="T491" s="297">
        <v>0.5</v>
      </c>
      <c r="U491" s="297">
        <v>0.5</v>
      </c>
      <c r="V491" s="328" t="s">
        <v>311</v>
      </c>
      <c r="W491" s="260" t="s">
        <v>200</v>
      </c>
      <c r="X491" s="198" t="s">
        <v>495</v>
      </c>
      <c r="Y491" s="157" t="b">
        <v>0</v>
      </c>
      <c r="Z491" s="157"/>
      <c r="AA491" s="157"/>
      <c r="AB491" s="157"/>
      <c r="AC491" s="157"/>
      <c r="AD491" s="157"/>
      <c r="AE491" s="157"/>
      <c r="AF491" s="157"/>
      <c r="AG491" s="157"/>
      <c r="AH491" s="157"/>
      <c r="AI491" s="157"/>
      <c r="AJ491" s="157"/>
      <c r="AK491" s="157"/>
      <c r="AL491" s="157"/>
      <c r="AM491" s="157"/>
      <c r="AN491" s="157"/>
      <c r="AO491" s="157"/>
      <c r="AP491" s="157"/>
    </row>
    <row r="492" spans="1:42" x14ac:dyDescent="0.25">
      <c r="A492" s="295" t="s">
        <v>93</v>
      </c>
      <c r="B492" s="295" t="s">
        <v>435</v>
      </c>
      <c r="C492" s="295" t="s">
        <v>41</v>
      </c>
      <c r="D492" s="295" t="s">
        <v>282</v>
      </c>
      <c r="E492" s="297">
        <v>0.5</v>
      </c>
      <c r="F492" s="297">
        <v>0.5</v>
      </c>
      <c r="G492" s="297">
        <v>0.5</v>
      </c>
      <c r="H492" s="297">
        <v>0.5</v>
      </c>
      <c r="I492" s="297">
        <v>0.5</v>
      </c>
      <c r="J492" s="297">
        <v>0.5</v>
      </c>
      <c r="K492" s="297">
        <v>0.5</v>
      </c>
      <c r="L492" s="297">
        <v>0.5</v>
      </c>
      <c r="M492" s="297">
        <v>0.5</v>
      </c>
      <c r="N492" s="297">
        <v>0.5</v>
      </c>
      <c r="O492" s="297">
        <v>0.5</v>
      </c>
      <c r="P492" s="297">
        <v>0.5</v>
      </c>
      <c r="Q492" s="297">
        <v>0.5</v>
      </c>
      <c r="R492" s="297">
        <v>0.5</v>
      </c>
      <c r="S492" s="297">
        <v>0.5</v>
      </c>
      <c r="T492" s="297">
        <v>0.5</v>
      </c>
      <c r="U492" s="297">
        <v>0.5</v>
      </c>
      <c r="V492" s="328"/>
      <c r="W492" s="260" t="s">
        <v>200</v>
      </c>
      <c r="X492" s="198" t="s">
        <v>495</v>
      </c>
      <c r="Y492" s="157" t="b">
        <v>0</v>
      </c>
      <c r="Z492" s="157"/>
      <c r="AA492" s="157"/>
      <c r="AB492" s="157"/>
      <c r="AC492" s="157"/>
      <c r="AD492" s="157"/>
      <c r="AE492" s="157"/>
      <c r="AF492" s="157"/>
      <c r="AG492" s="157"/>
      <c r="AH492" s="157"/>
      <c r="AI492" s="157"/>
      <c r="AJ492" s="157"/>
      <c r="AK492" s="157"/>
      <c r="AL492" s="157"/>
      <c r="AM492" s="157"/>
      <c r="AN492" s="157"/>
      <c r="AO492" s="157"/>
      <c r="AP492" s="157"/>
    </row>
    <row r="493" spans="1:42" x14ac:dyDescent="0.25">
      <c r="A493" s="295" t="s">
        <v>93</v>
      </c>
      <c r="B493" s="295" t="s">
        <v>435</v>
      </c>
      <c r="C493" s="295" t="s">
        <v>43</v>
      </c>
      <c r="D493" s="295" t="s">
        <v>276</v>
      </c>
      <c r="E493" s="297">
        <v>0.5</v>
      </c>
      <c r="F493" s="297">
        <v>0.5</v>
      </c>
      <c r="G493" s="297">
        <v>0.5</v>
      </c>
      <c r="H493" s="297">
        <v>0.5</v>
      </c>
      <c r="I493" s="297">
        <v>0.5</v>
      </c>
      <c r="J493" s="297">
        <v>0.5</v>
      </c>
      <c r="K493" s="297">
        <v>0.5</v>
      </c>
      <c r="L493" s="297">
        <v>0.5</v>
      </c>
      <c r="M493" s="297">
        <v>0.5</v>
      </c>
      <c r="N493" s="297">
        <v>0.5</v>
      </c>
      <c r="O493" s="297">
        <v>0.5</v>
      </c>
      <c r="P493" s="297">
        <v>0.5</v>
      </c>
      <c r="Q493" s="297">
        <v>0.5</v>
      </c>
      <c r="R493" s="297">
        <v>0.5</v>
      </c>
      <c r="S493" s="297">
        <v>0.5</v>
      </c>
      <c r="T493" s="297">
        <v>0.5</v>
      </c>
      <c r="U493" s="297">
        <v>0.5</v>
      </c>
      <c r="V493" s="328"/>
      <c r="W493" s="260" t="s">
        <v>200</v>
      </c>
      <c r="X493" s="198" t="s">
        <v>495</v>
      </c>
      <c r="Y493" s="157" t="b">
        <v>0</v>
      </c>
      <c r="Z493" s="157"/>
      <c r="AA493" s="157"/>
      <c r="AB493" s="157"/>
      <c r="AC493" s="157"/>
      <c r="AD493" s="157"/>
      <c r="AE493" s="157"/>
      <c r="AF493" s="157"/>
      <c r="AG493" s="157"/>
      <c r="AH493" s="157"/>
      <c r="AI493" s="157"/>
      <c r="AJ493" s="157"/>
      <c r="AK493" s="157"/>
      <c r="AL493" s="157"/>
      <c r="AM493" s="157"/>
      <c r="AN493" s="157"/>
      <c r="AO493" s="157"/>
      <c r="AP493" s="157"/>
    </row>
    <row r="494" spans="1:42" x14ac:dyDescent="0.25">
      <c r="A494" s="295" t="s">
        <v>93</v>
      </c>
      <c r="B494" s="295" t="s">
        <v>435</v>
      </c>
      <c r="C494" s="295" t="s">
        <v>43</v>
      </c>
      <c r="D494" s="295" t="s">
        <v>279</v>
      </c>
      <c r="E494" s="297">
        <v>0.5</v>
      </c>
      <c r="F494" s="297">
        <v>0.5</v>
      </c>
      <c r="G494" s="297">
        <v>0.5</v>
      </c>
      <c r="H494" s="297">
        <v>0.5</v>
      </c>
      <c r="I494" s="297">
        <v>0.5</v>
      </c>
      <c r="J494" s="297">
        <v>0.5</v>
      </c>
      <c r="K494" s="297">
        <v>0.5</v>
      </c>
      <c r="L494" s="297">
        <v>0.5</v>
      </c>
      <c r="M494" s="297">
        <v>0.5</v>
      </c>
      <c r="N494" s="297">
        <v>0.5</v>
      </c>
      <c r="O494" s="297">
        <v>0.5</v>
      </c>
      <c r="P494" s="297">
        <v>0.5</v>
      </c>
      <c r="Q494" s="297">
        <v>0.5</v>
      </c>
      <c r="R494" s="297">
        <v>0.5</v>
      </c>
      <c r="S494" s="297">
        <v>0.5</v>
      </c>
      <c r="T494" s="297">
        <v>0.5</v>
      </c>
      <c r="U494" s="297">
        <v>0.5</v>
      </c>
      <c r="V494" s="328"/>
      <c r="W494" s="260" t="s">
        <v>200</v>
      </c>
      <c r="X494" s="198" t="s">
        <v>495</v>
      </c>
      <c r="Y494" s="157" t="b">
        <v>0</v>
      </c>
      <c r="Z494" s="157"/>
      <c r="AA494" s="157"/>
      <c r="AB494" s="157"/>
      <c r="AC494" s="157"/>
      <c r="AD494" s="157"/>
      <c r="AE494" s="157"/>
      <c r="AF494" s="157"/>
      <c r="AG494" s="157"/>
      <c r="AH494" s="157"/>
      <c r="AI494" s="157"/>
      <c r="AJ494" s="157"/>
      <c r="AK494" s="157"/>
      <c r="AL494" s="157"/>
      <c r="AM494" s="157"/>
      <c r="AN494" s="157"/>
      <c r="AO494" s="157"/>
      <c r="AP494" s="157"/>
    </row>
    <row r="495" spans="1:42" x14ac:dyDescent="0.25">
      <c r="A495" s="295" t="s">
        <v>93</v>
      </c>
      <c r="B495" s="295" t="s">
        <v>435</v>
      </c>
      <c r="C495" s="295" t="s">
        <v>43</v>
      </c>
      <c r="D495" s="295" t="s">
        <v>280</v>
      </c>
      <c r="E495" s="297">
        <v>0.5</v>
      </c>
      <c r="F495" s="297">
        <v>0.5</v>
      </c>
      <c r="G495" s="297">
        <v>0.5</v>
      </c>
      <c r="H495" s="297">
        <v>0.5</v>
      </c>
      <c r="I495" s="297">
        <v>0.5</v>
      </c>
      <c r="J495" s="297">
        <v>0.5</v>
      </c>
      <c r="K495" s="297">
        <v>0.5</v>
      </c>
      <c r="L495" s="297">
        <v>0.5</v>
      </c>
      <c r="M495" s="297">
        <v>0.5</v>
      </c>
      <c r="N495" s="297">
        <v>0.5</v>
      </c>
      <c r="O495" s="297">
        <v>0.5</v>
      </c>
      <c r="P495" s="297">
        <v>0.5</v>
      </c>
      <c r="Q495" s="297">
        <v>0.5</v>
      </c>
      <c r="R495" s="297">
        <v>0.5</v>
      </c>
      <c r="S495" s="297">
        <v>0.5</v>
      </c>
      <c r="T495" s="297">
        <v>0.5</v>
      </c>
      <c r="U495" s="297">
        <v>0.5</v>
      </c>
      <c r="V495" s="328"/>
      <c r="W495" s="260" t="s">
        <v>200</v>
      </c>
      <c r="X495" s="198" t="s">
        <v>495</v>
      </c>
      <c r="Y495" s="157" t="b">
        <v>0</v>
      </c>
      <c r="Z495" s="157"/>
      <c r="AA495" s="157"/>
      <c r="AB495" s="157"/>
      <c r="AC495" s="157"/>
      <c r="AD495" s="157"/>
      <c r="AE495" s="157"/>
      <c r="AF495" s="157"/>
      <c r="AG495" s="157"/>
      <c r="AH495" s="157"/>
      <c r="AI495" s="157"/>
      <c r="AJ495" s="157"/>
      <c r="AK495" s="157"/>
      <c r="AL495" s="157"/>
      <c r="AM495" s="157"/>
      <c r="AN495" s="157"/>
      <c r="AO495" s="157"/>
      <c r="AP495" s="157"/>
    </row>
    <row r="496" spans="1:42" x14ac:dyDescent="0.25">
      <c r="A496" s="295" t="s">
        <v>93</v>
      </c>
      <c r="B496" s="295" t="s">
        <v>435</v>
      </c>
      <c r="C496" s="295" t="s">
        <v>43</v>
      </c>
      <c r="D496" s="295" t="s">
        <v>281</v>
      </c>
      <c r="E496" s="297">
        <v>0.5</v>
      </c>
      <c r="F496" s="297">
        <v>0.5</v>
      </c>
      <c r="G496" s="297">
        <v>0.5</v>
      </c>
      <c r="H496" s="297">
        <v>0.5</v>
      </c>
      <c r="I496" s="297">
        <v>0.5</v>
      </c>
      <c r="J496" s="297">
        <v>0.5</v>
      </c>
      <c r="K496" s="297">
        <v>0.5</v>
      </c>
      <c r="L496" s="297">
        <v>0.5</v>
      </c>
      <c r="M496" s="297">
        <v>0.5</v>
      </c>
      <c r="N496" s="297">
        <v>0.5</v>
      </c>
      <c r="O496" s="297">
        <v>0.5</v>
      </c>
      <c r="P496" s="297">
        <v>0.5</v>
      </c>
      <c r="Q496" s="297">
        <v>0.5</v>
      </c>
      <c r="R496" s="297">
        <v>0.5</v>
      </c>
      <c r="S496" s="297">
        <v>0.5</v>
      </c>
      <c r="T496" s="297">
        <v>0.5</v>
      </c>
      <c r="U496" s="297">
        <v>0.5</v>
      </c>
      <c r="V496" s="328"/>
      <c r="W496" s="260" t="s">
        <v>200</v>
      </c>
      <c r="X496" s="198" t="s">
        <v>495</v>
      </c>
      <c r="Y496" s="157" t="b">
        <v>0</v>
      </c>
      <c r="Z496" s="157"/>
      <c r="AA496" s="157"/>
      <c r="AB496" s="157"/>
      <c r="AC496" s="157"/>
      <c r="AD496" s="157"/>
      <c r="AE496" s="157"/>
      <c r="AF496" s="157"/>
      <c r="AG496" s="157"/>
      <c r="AH496" s="157"/>
      <c r="AI496" s="157"/>
      <c r="AJ496" s="157"/>
      <c r="AK496" s="157"/>
      <c r="AL496" s="157"/>
      <c r="AM496" s="157"/>
      <c r="AN496" s="157"/>
      <c r="AO496" s="157"/>
      <c r="AP496" s="157"/>
    </row>
    <row r="497" spans="1:42" x14ac:dyDescent="0.25">
      <c r="A497" s="295" t="s">
        <v>93</v>
      </c>
      <c r="B497" s="295" t="s">
        <v>435</v>
      </c>
      <c r="C497" s="295" t="s">
        <v>43</v>
      </c>
      <c r="D497" s="295" t="s">
        <v>282</v>
      </c>
      <c r="E497" s="297">
        <v>0.5</v>
      </c>
      <c r="F497" s="297">
        <v>0.5</v>
      </c>
      <c r="G497" s="297">
        <v>0.5</v>
      </c>
      <c r="H497" s="297">
        <v>0.5</v>
      </c>
      <c r="I497" s="297">
        <v>0.5</v>
      </c>
      <c r="J497" s="297">
        <v>0.5</v>
      </c>
      <c r="K497" s="297">
        <v>0.5</v>
      </c>
      <c r="L497" s="297">
        <v>0.5</v>
      </c>
      <c r="M497" s="297">
        <v>0.5</v>
      </c>
      <c r="N497" s="297">
        <v>0.5</v>
      </c>
      <c r="O497" s="297">
        <v>0.5</v>
      </c>
      <c r="P497" s="297">
        <v>0.5</v>
      </c>
      <c r="Q497" s="297">
        <v>0.5</v>
      </c>
      <c r="R497" s="297">
        <v>0.5</v>
      </c>
      <c r="S497" s="297">
        <v>0.5</v>
      </c>
      <c r="T497" s="297">
        <v>0.5</v>
      </c>
      <c r="U497" s="297">
        <v>0.5</v>
      </c>
      <c r="V497" s="328"/>
      <c r="W497" s="260" t="s">
        <v>200</v>
      </c>
      <c r="X497" s="198" t="s">
        <v>495</v>
      </c>
      <c r="Y497" s="157" t="b">
        <v>0</v>
      </c>
      <c r="Z497" s="157"/>
      <c r="AA497" s="157"/>
      <c r="AB497" s="157"/>
      <c r="AC497" s="157"/>
      <c r="AD497" s="157"/>
      <c r="AE497" s="157"/>
      <c r="AF497" s="157"/>
      <c r="AG497" s="157"/>
      <c r="AH497" s="157"/>
      <c r="AI497" s="157"/>
      <c r="AJ497" s="157"/>
      <c r="AK497" s="157"/>
      <c r="AL497" s="157"/>
      <c r="AM497" s="157"/>
      <c r="AN497" s="157"/>
      <c r="AO497" s="157"/>
      <c r="AP497" s="157"/>
    </row>
    <row r="498" spans="1:42" x14ac:dyDescent="0.25">
      <c r="A498" s="295" t="s">
        <v>93</v>
      </c>
      <c r="B498" s="295" t="s">
        <v>435</v>
      </c>
      <c r="C498" s="295" t="s">
        <v>44</v>
      </c>
      <c r="D498" s="295" t="s">
        <v>276</v>
      </c>
      <c r="E498" s="297">
        <v>0.5</v>
      </c>
      <c r="F498" s="297">
        <v>0.5</v>
      </c>
      <c r="G498" s="297">
        <v>0.5</v>
      </c>
      <c r="H498" s="297">
        <v>0.5</v>
      </c>
      <c r="I498" s="297">
        <v>0.5</v>
      </c>
      <c r="J498" s="297">
        <v>0.5</v>
      </c>
      <c r="K498" s="297">
        <v>0.5</v>
      </c>
      <c r="L498" s="297">
        <v>0.5</v>
      </c>
      <c r="M498" s="297">
        <v>0.5</v>
      </c>
      <c r="N498" s="297">
        <v>0.5</v>
      </c>
      <c r="O498" s="297">
        <v>0.5</v>
      </c>
      <c r="P498" s="297">
        <v>0.5</v>
      </c>
      <c r="Q498" s="297">
        <v>0.5</v>
      </c>
      <c r="R498" s="297">
        <v>0.5</v>
      </c>
      <c r="S498" s="297">
        <v>0.5</v>
      </c>
      <c r="T498" s="297">
        <v>0.5</v>
      </c>
      <c r="U498" s="297">
        <v>0.5</v>
      </c>
      <c r="V498" s="328"/>
      <c r="W498" s="260" t="s">
        <v>200</v>
      </c>
      <c r="X498" s="198" t="s">
        <v>495</v>
      </c>
      <c r="Y498" s="157" t="b">
        <v>0</v>
      </c>
      <c r="Z498" s="157"/>
      <c r="AA498" s="157"/>
      <c r="AB498" s="157"/>
      <c r="AC498" s="157"/>
      <c r="AD498" s="157"/>
      <c r="AE498" s="157"/>
      <c r="AF498" s="157"/>
      <c r="AG498" s="157"/>
      <c r="AH498" s="157"/>
      <c r="AI498" s="157"/>
      <c r="AJ498" s="157"/>
      <c r="AK498" s="157"/>
      <c r="AL498" s="157"/>
      <c r="AM498" s="157"/>
      <c r="AN498" s="157"/>
      <c r="AO498" s="157"/>
      <c r="AP498" s="157"/>
    </row>
    <row r="499" spans="1:42" x14ac:dyDescent="0.25">
      <c r="A499" s="295" t="s">
        <v>93</v>
      </c>
      <c r="B499" s="295" t="s">
        <v>435</v>
      </c>
      <c r="C499" s="295" t="s">
        <v>44</v>
      </c>
      <c r="D499" s="295" t="s">
        <v>279</v>
      </c>
      <c r="E499" s="297">
        <v>0.5</v>
      </c>
      <c r="F499" s="297">
        <v>0.5</v>
      </c>
      <c r="G499" s="297">
        <v>0.5</v>
      </c>
      <c r="H499" s="297">
        <v>0.5</v>
      </c>
      <c r="I499" s="297">
        <v>0.5</v>
      </c>
      <c r="J499" s="297">
        <v>0.5</v>
      </c>
      <c r="K499" s="297">
        <v>0.5</v>
      </c>
      <c r="L499" s="297">
        <v>0.5</v>
      </c>
      <c r="M499" s="297">
        <v>0.5</v>
      </c>
      <c r="N499" s="297">
        <v>0.5</v>
      </c>
      <c r="O499" s="297">
        <v>0.5</v>
      </c>
      <c r="P499" s="297">
        <v>0.5</v>
      </c>
      <c r="Q499" s="297">
        <v>0.5</v>
      </c>
      <c r="R499" s="297">
        <v>0.5</v>
      </c>
      <c r="S499" s="297">
        <v>0.5</v>
      </c>
      <c r="T499" s="297">
        <v>0.5</v>
      </c>
      <c r="U499" s="297">
        <v>0.5</v>
      </c>
      <c r="V499" s="328"/>
      <c r="W499" s="260" t="s">
        <v>200</v>
      </c>
      <c r="X499" s="198" t="s">
        <v>495</v>
      </c>
      <c r="Y499" s="157" t="b">
        <v>0</v>
      </c>
      <c r="Z499" s="157"/>
      <c r="AA499" s="157"/>
      <c r="AB499" s="157"/>
      <c r="AC499" s="157"/>
      <c r="AD499" s="157"/>
      <c r="AE499" s="157"/>
      <c r="AF499" s="157"/>
      <c r="AG499" s="157"/>
      <c r="AH499" s="157"/>
      <c r="AI499" s="157"/>
      <c r="AJ499" s="157"/>
      <c r="AK499" s="157"/>
      <c r="AL499" s="157"/>
      <c r="AM499" s="157"/>
      <c r="AN499" s="157"/>
      <c r="AO499" s="157"/>
      <c r="AP499" s="157"/>
    </row>
    <row r="500" spans="1:42" x14ac:dyDescent="0.25">
      <c r="A500" s="295" t="s">
        <v>93</v>
      </c>
      <c r="B500" s="295" t="s">
        <v>435</v>
      </c>
      <c r="C500" s="295" t="s">
        <v>44</v>
      </c>
      <c r="D500" s="295" t="s">
        <v>281</v>
      </c>
      <c r="E500" s="297">
        <v>0.5</v>
      </c>
      <c r="F500" s="297">
        <v>0.5</v>
      </c>
      <c r="G500" s="297">
        <v>0.5</v>
      </c>
      <c r="H500" s="297">
        <v>0.5</v>
      </c>
      <c r="I500" s="297">
        <v>0.5</v>
      </c>
      <c r="J500" s="297">
        <v>0.5</v>
      </c>
      <c r="K500" s="297">
        <v>0.5</v>
      </c>
      <c r="L500" s="297">
        <v>0.5</v>
      </c>
      <c r="M500" s="297">
        <v>0.5</v>
      </c>
      <c r="N500" s="297">
        <v>0.5</v>
      </c>
      <c r="O500" s="297">
        <v>0.5</v>
      </c>
      <c r="P500" s="297">
        <v>0.5</v>
      </c>
      <c r="Q500" s="297">
        <v>0.5</v>
      </c>
      <c r="R500" s="297">
        <v>0.5</v>
      </c>
      <c r="S500" s="297">
        <v>0.5</v>
      </c>
      <c r="T500" s="297">
        <v>0.5</v>
      </c>
      <c r="U500" s="297">
        <v>0.5</v>
      </c>
      <c r="V500" s="328"/>
      <c r="W500" s="260" t="s">
        <v>200</v>
      </c>
      <c r="X500" s="198" t="s">
        <v>495</v>
      </c>
      <c r="Y500" s="157" t="b">
        <v>0</v>
      </c>
      <c r="Z500" s="157"/>
      <c r="AA500" s="157"/>
      <c r="AB500" s="157"/>
      <c r="AC500" s="157"/>
      <c r="AD500" s="157"/>
      <c r="AE500" s="157"/>
      <c r="AF500" s="157"/>
      <c r="AG500" s="157"/>
      <c r="AH500" s="157"/>
      <c r="AI500" s="157"/>
      <c r="AJ500" s="157"/>
      <c r="AK500" s="157"/>
      <c r="AL500" s="157"/>
      <c r="AM500" s="157"/>
      <c r="AN500" s="157"/>
      <c r="AO500" s="157"/>
      <c r="AP500" s="157"/>
    </row>
    <row r="501" spans="1:42" x14ac:dyDescent="0.25">
      <c r="A501" s="295" t="s">
        <v>147</v>
      </c>
      <c r="B501" s="295" t="s">
        <v>435</v>
      </c>
      <c r="C501" s="295" t="s">
        <v>41</v>
      </c>
      <c r="D501" s="295" t="s">
        <v>280</v>
      </c>
      <c r="E501" s="297">
        <v>0.5</v>
      </c>
      <c r="F501" s="297">
        <v>0.5</v>
      </c>
      <c r="G501" s="297">
        <v>0.5</v>
      </c>
      <c r="H501" s="297">
        <v>0.5</v>
      </c>
      <c r="I501" s="297">
        <v>0.5</v>
      </c>
      <c r="J501" s="297">
        <v>0.5</v>
      </c>
      <c r="K501" s="297">
        <v>0.5</v>
      </c>
      <c r="L501" s="297">
        <v>0.5</v>
      </c>
      <c r="M501" s="297">
        <v>0.5</v>
      </c>
      <c r="N501" s="297">
        <v>0.5</v>
      </c>
      <c r="O501" s="297">
        <v>0.5</v>
      </c>
      <c r="P501" s="297">
        <v>0.5</v>
      </c>
      <c r="Q501" s="297">
        <v>0.5</v>
      </c>
      <c r="R501" s="297">
        <v>0.5</v>
      </c>
      <c r="S501" s="297">
        <v>0.5</v>
      </c>
      <c r="T501" s="297">
        <v>0.5</v>
      </c>
      <c r="U501" s="297">
        <v>0.5</v>
      </c>
      <c r="V501" s="328"/>
      <c r="W501" s="260" t="s">
        <v>200</v>
      </c>
      <c r="X501" s="198" t="s">
        <v>496</v>
      </c>
      <c r="Y501" s="157" t="b">
        <v>0</v>
      </c>
      <c r="Z501" s="157"/>
      <c r="AA501" s="157"/>
      <c r="AB501" s="157"/>
      <c r="AC501" s="157"/>
      <c r="AD501" s="157"/>
      <c r="AE501" s="157"/>
      <c r="AF501" s="157"/>
      <c r="AG501" s="157"/>
      <c r="AH501" s="157"/>
      <c r="AI501" s="157"/>
      <c r="AJ501" s="157"/>
      <c r="AK501" s="157"/>
      <c r="AL501" s="157"/>
      <c r="AM501" s="157"/>
      <c r="AN501" s="157"/>
      <c r="AO501" s="157"/>
      <c r="AP501" s="157"/>
    </row>
    <row r="502" spans="1:42" x14ac:dyDescent="0.25">
      <c r="A502" s="295" t="s">
        <v>147</v>
      </c>
      <c r="B502" s="295" t="s">
        <v>435</v>
      </c>
      <c r="C502" s="295" t="s">
        <v>41</v>
      </c>
      <c r="D502" s="295" t="s">
        <v>282</v>
      </c>
      <c r="E502" s="297">
        <v>0.5</v>
      </c>
      <c r="F502" s="297">
        <v>0.5</v>
      </c>
      <c r="G502" s="297">
        <v>0.5</v>
      </c>
      <c r="H502" s="297">
        <v>0.5</v>
      </c>
      <c r="I502" s="297">
        <v>0.5</v>
      </c>
      <c r="J502" s="297">
        <v>0.5</v>
      </c>
      <c r="K502" s="297">
        <v>0.5</v>
      </c>
      <c r="L502" s="297">
        <v>0.5</v>
      </c>
      <c r="M502" s="297">
        <v>0.5</v>
      </c>
      <c r="N502" s="297">
        <v>0.5</v>
      </c>
      <c r="O502" s="297">
        <v>0.5</v>
      </c>
      <c r="P502" s="297">
        <v>0.5</v>
      </c>
      <c r="Q502" s="297">
        <v>0.5</v>
      </c>
      <c r="R502" s="297">
        <v>0.5</v>
      </c>
      <c r="S502" s="297">
        <v>0.5</v>
      </c>
      <c r="T502" s="297">
        <v>0.5</v>
      </c>
      <c r="U502" s="297">
        <v>0.5</v>
      </c>
      <c r="V502" s="328"/>
      <c r="W502" s="260" t="s">
        <v>200</v>
      </c>
      <c r="X502" s="198" t="s">
        <v>496</v>
      </c>
      <c r="Y502" s="157" t="b">
        <v>0</v>
      </c>
      <c r="Z502" s="157"/>
      <c r="AA502" s="157"/>
      <c r="AB502" s="157"/>
      <c r="AC502" s="157"/>
      <c r="AD502" s="157"/>
      <c r="AE502" s="157"/>
      <c r="AF502" s="157"/>
      <c r="AG502" s="157"/>
      <c r="AH502" s="157"/>
      <c r="AI502" s="157"/>
      <c r="AJ502" s="157"/>
      <c r="AK502" s="157"/>
      <c r="AL502" s="157"/>
      <c r="AM502" s="157"/>
      <c r="AN502" s="157"/>
      <c r="AO502" s="157"/>
      <c r="AP502" s="157"/>
    </row>
    <row r="503" spans="1:42" x14ac:dyDescent="0.25">
      <c r="A503" s="295" t="s">
        <v>147</v>
      </c>
      <c r="B503" s="295" t="s">
        <v>435</v>
      </c>
      <c r="C503" s="295" t="s">
        <v>43</v>
      </c>
      <c r="D503" s="295" t="s">
        <v>276</v>
      </c>
      <c r="E503" s="297">
        <v>0.5</v>
      </c>
      <c r="F503" s="297">
        <v>0.5</v>
      </c>
      <c r="G503" s="297">
        <v>0.5</v>
      </c>
      <c r="H503" s="297">
        <v>0.5</v>
      </c>
      <c r="I503" s="297">
        <v>0.5</v>
      </c>
      <c r="J503" s="297">
        <v>0.5</v>
      </c>
      <c r="K503" s="297">
        <v>0.5</v>
      </c>
      <c r="L503" s="297">
        <v>0.5</v>
      </c>
      <c r="M503" s="297">
        <v>0.5</v>
      </c>
      <c r="N503" s="297">
        <v>0.5</v>
      </c>
      <c r="O503" s="297">
        <v>0.5</v>
      </c>
      <c r="P503" s="297">
        <v>0.5</v>
      </c>
      <c r="Q503" s="297">
        <v>0.5</v>
      </c>
      <c r="R503" s="297">
        <v>0.5</v>
      </c>
      <c r="S503" s="297">
        <v>0.5</v>
      </c>
      <c r="T503" s="297">
        <v>0.5</v>
      </c>
      <c r="U503" s="297">
        <v>0.5</v>
      </c>
      <c r="V503" s="328"/>
      <c r="W503" s="260" t="s">
        <v>200</v>
      </c>
      <c r="X503" s="198" t="s">
        <v>496</v>
      </c>
      <c r="Y503" s="157" t="b">
        <v>0</v>
      </c>
      <c r="Z503" s="157"/>
      <c r="AA503" s="157"/>
      <c r="AB503" s="157"/>
      <c r="AC503" s="157"/>
      <c r="AD503" s="157"/>
      <c r="AE503" s="157"/>
      <c r="AF503" s="157"/>
      <c r="AG503" s="157"/>
      <c r="AH503" s="157"/>
      <c r="AI503" s="157"/>
      <c r="AJ503" s="157"/>
      <c r="AK503" s="157"/>
      <c r="AL503" s="157"/>
      <c r="AM503" s="157"/>
      <c r="AN503" s="157"/>
      <c r="AO503" s="157"/>
      <c r="AP503" s="157"/>
    </row>
    <row r="504" spans="1:42" x14ac:dyDescent="0.25">
      <c r="A504" s="295" t="s">
        <v>147</v>
      </c>
      <c r="B504" s="295" t="s">
        <v>435</v>
      </c>
      <c r="C504" s="295" t="s">
        <v>43</v>
      </c>
      <c r="D504" s="295" t="s">
        <v>279</v>
      </c>
      <c r="E504" s="297">
        <v>0.5</v>
      </c>
      <c r="F504" s="297">
        <v>0.5</v>
      </c>
      <c r="G504" s="297">
        <v>0.5</v>
      </c>
      <c r="H504" s="297">
        <v>0.5</v>
      </c>
      <c r="I504" s="297">
        <v>0.5</v>
      </c>
      <c r="J504" s="297">
        <v>0.5</v>
      </c>
      <c r="K504" s="297">
        <v>0.5</v>
      </c>
      <c r="L504" s="297">
        <v>0.5</v>
      </c>
      <c r="M504" s="297">
        <v>0.5</v>
      </c>
      <c r="N504" s="297">
        <v>0.5</v>
      </c>
      <c r="O504" s="297">
        <v>0.5</v>
      </c>
      <c r="P504" s="297">
        <v>0.5</v>
      </c>
      <c r="Q504" s="297">
        <v>0.5</v>
      </c>
      <c r="R504" s="297">
        <v>0.5</v>
      </c>
      <c r="S504" s="297">
        <v>0.5</v>
      </c>
      <c r="T504" s="297">
        <v>0.5</v>
      </c>
      <c r="U504" s="297">
        <v>0.5</v>
      </c>
      <c r="V504" s="328"/>
      <c r="W504" s="260" t="s">
        <v>200</v>
      </c>
      <c r="X504" s="198" t="s">
        <v>496</v>
      </c>
      <c r="Y504" s="157" t="b">
        <v>0</v>
      </c>
      <c r="Z504" s="157"/>
      <c r="AA504" s="157"/>
      <c r="AB504" s="157"/>
      <c r="AC504" s="157"/>
      <c r="AD504" s="157"/>
      <c r="AE504" s="157"/>
      <c r="AF504" s="157"/>
      <c r="AG504" s="157"/>
      <c r="AH504" s="157"/>
      <c r="AI504" s="157"/>
      <c r="AJ504" s="157"/>
      <c r="AK504" s="157"/>
      <c r="AL504" s="157"/>
      <c r="AM504" s="157"/>
      <c r="AN504" s="157"/>
      <c r="AO504" s="157"/>
      <c r="AP504" s="157"/>
    </row>
    <row r="505" spans="1:42" x14ac:dyDescent="0.25">
      <c r="A505" s="295" t="s">
        <v>147</v>
      </c>
      <c r="B505" s="295" t="s">
        <v>435</v>
      </c>
      <c r="C505" s="295" t="s">
        <v>43</v>
      </c>
      <c r="D505" s="295" t="s">
        <v>280</v>
      </c>
      <c r="E505" s="297">
        <v>0.5</v>
      </c>
      <c r="F505" s="297">
        <v>0.5</v>
      </c>
      <c r="G505" s="297">
        <v>0.5</v>
      </c>
      <c r="H505" s="297">
        <v>0.5</v>
      </c>
      <c r="I505" s="297">
        <v>0.5</v>
      </c>
      <c r="J505" s="297">
        <v>0.5</v>
      </c>
      <c r="K505" s="297">
        <v>0.5</v>
      </c>
      <c r="L505" s="297">
        <v>0.5</v>
      </c>
      <c r="M505" s="297">
        <v>0.5</v>
      </c>
      <c r="N505" s="297">
        <v>0.5</v>
      </c>
      <c r="O505" s="297">
        <v>0.5</v>
      </c>
      <c r="P505" s="297">
        <v>0.5</v>
      </c>
      <c r="Q505" s="297">
        <v>0.5</v>
      </c>
      <c r="R505" s="297">
        <v>0.5</v>
      </c>
      <c r="S505" s="297">
        <v>0.5</v>
      </c>
      <c r="T505" s="297">
        <v>0.5</v>
      </c>
      <c r="U505" s="297">
        <v>0.5</v>
      </c>
      <c r="V505" s="328"/>
      <c r="W505" s="260" t="s">
        <v>200</v>
      </c>
      <c r="X505" s="198" t="s">
        <v>496</v>
      </c>
      <c r="Y505" s="157" t="b">
        <v>0</v>
      </c>
      <c r="Z505" s="157"/>
      <c r="AA505" s="157"/>
      <c r="AB505" s="157"/>
      <c r="AC505" s="157"/>
      <c r="AD505" s="157"/>
      <c r="AE505" s="157"/>
      <c r="AF505" s="157"/>
      <c r="AG505" s="157"/>
      <c r="AH505" s="157"/>
      <c r="AI505" s="157"/>
      <c r="AJ505" s="157"/>
      <c r="AK505" s="157"/>
      <c r="AL505" s="157"/>
      <c r="AM505" s="157"/>
      <c r="AN505" s="157"/>
      <c r="AO505" s="157"/>
      <c r="AP505" s="157"/>
    </row>
    <row r="506" spans="1:42" x14ac:dyDescent="0.25">
      <c r="A506" s="295" t="s">
        <v>147</v>
      </c>
      <c r="B506" s="295" t="s">
        <v>435</v>
      </c>
      <c r="C506" s="295" t="s">
        <v>43</v>
      </c>
      <c r="D506" s="295" t="s">
        <v>281</v>
      </c>
      <c r="E506" s="297">
        <v>0.5</v>
      </c>
      <c r="F506" s="297">
        <v>0.5</v>
      </c>
      <c r="G506" s="297">
        <v>0.5</v>
      </c>
      <c r="H506" s="297">
        <v>0.5</v>
      </c>
      <c r="I506" s="297">
        <v>0.5</v>
      </c>
      <c r="J506" s="297">
        <v>0.5</v>
      </c>
      <c r="K506" s="297">
        <v>0.5</v>
      </c>
      <c r="L506" s="297">
        <v>0.5</v>
      </c>
      <c r="M506" s="297">
        <v>0.5</v>
      </c>
      <c r="N506" s="297">
        <v>0.5</v>
      </c>
      <c r="O506" s="297">
        <v>0.5</v>
      </c>
      <c r="P506" s="297">
        <v>0.5</v>
      </c>
      <c r="Q506" s="297">
        <v>0.5</v>
      </c>
      <c r="R506" s="297">
        <v>0.5</v>
      </c>
      <c r="S506" s="297">
        <v>0.5</v>
      </c>
      <c r="T506" s="297">
        <v>0.5</v>
      </c>
      <c r="U506" s="297">
        <v>0.5</v>
      </c>
      <c r="V506" s="328"/>
      <c r="W506" s="260" t="s">
        <v>200</v>
      </c>
      <c r="X506" s="198" t="s">
        <v>496</v>
      </c>
      <c r="Y506" s="157" t="b">
        <v>0</v>
      </c>
      <c r="Z506" s="157"/>
      <c r="AA506" s="157"/>
      <c r="AB506" s="157"/>
      <c r="AC506" s="157"/>
      <c r="AD506" s="157"/>
      <c r="AE506" s="157"/>
      <c r="AF506" s="157"/>
      <c r="AG506" s="157"/>
      <c r="AH506" s="157"/>
      <c r="AI506" s="157"/>
      <c r="AJ506" s="157"/>
      <c r="AK506" s="157"/>
      <c r="AL506" s="157"/>
      <c r="AM506" s="157"/>
      <c r="AN506" s="157"/>
      <c r="AO506" s="157"/>
      <c r="AP506" s="157"/>
    </row>
    <row r="507" spans="1:42" x14ac:dyDescent="0.25">
      <c r="A507" s="295" t="s">
        <v>147</v>
      </c>
      <c r="B507" s="295" t="s">
        <v>435</v>
      </c>
      <c r="C507" s="295" t="s">
        <v>43</v>
      </c>
      <c r="D507" s="295" t="s">
        <v>282</v>
      </c>
      <c r="E507" s="297">
        <v>0.5</v>
      </c>
      <c r="F507" s="297">
        <v>0.5</v>
      </c>
      <c r="G507" s="297">
        <v>0.5</v>
      </c>
      <c r="H507" s="297">
        <v>0.5</v>
      </c>
      <c r="I507" s="297">
        <v>0.5</v>
      </c>
      <c r="J507" s="297">
        <v>0.5</v>
      </c>
      <c r="K507" s="297">
        <v>0.5</v>
      </c>
      <c r="L507" s="297">
        <v>0.5</v>
      </c>
      <c r="M507" s="297">
        <v>0.5</v>
      </c>
      <c r="N507" s="297">
        <v>0.5</v>
      </c>
      <c r="O507" s="297">
        <v>0.5</v>
      </c>
      <c r="P507" s="297">
        <v>0.5</v>
      </c>
      <c r="Q507" s="297">
        <v>0.5</v>
      </c>
      <c r="R507" s="297">
        <v>0.5</v>
      </c>
      <c r="S507" s="297">
        <v>0.5</v>
      </c>
      <c r="T507" s="297">
        <v>0.5</v>
      </c>
      <c r="U507" s="297">
        <v>0.5</v>
      </c>
      <c r="V507" s="328"/>
      <c r="W507" s="260" t="s">
        <v>200</v>
      </c>
      <c r="X507" s="198" t="s">
        <v>496</v>
      </c>
      <c r="Y507" s="157" t="b">
        <v>0</v>
      </c>
      <c r="Z507" s="157"/>
      <c r="AA507" s="157"/>
      <c r="AB507" s="157"/>
      <c r="AC507" s="157"/>
      <c r="AD507" s="157"/>
      <c r="AE507" s="157"/>
      <c r="AF507" s="157"/>
      <c r="AG507" s="157"/>
      <c r="AH507" s="157"/>
      <c r="AI507" s="157"/>
      <c r="AJ507" s="157"/>
      <c r="AK507" s="157"/>
      <c r="AL507" s="157"/>
      <c r="AM507" s="157"/>
      <c r="AN507" s="157"/>
      <c r="AO507" s="157"/>
      <c r="AP507" s="157"/>
    </row>
    <row r="508" spans="1:42" x14ac:dyDescent="0.25">
      <c r="A508" s="295" t="s">
        <v>147</v>
      </c>
      <c r="B508" s="295" t="s">
        <v>435</v>
      </c>
      <c r="C508" s="295" t="s">
        <v>44</v>
      </c>
      <c r="D508" s="295" t="s">
        <v>276</v>
      </c>
      <c r="E508" s="297">
        <v>0.5</v>
      </c>
      <c r="F508" s="297">
        <v>0.5</v>
      </c>
      <c r="G508" s="297">
        <v>0.5</v>
      </c>
      <c r="H508" s="297">
        <v>0.5</v>
      </c>
      <c r="I508" s="297">
        <v>0.5</v>
      </c>
      <c r="J508" s="297">
        <v>0.5</v>
      </c>
      <c r="K508" s="297">
        <v>0.5</v>
      </c>
      <c r="L508" s="297">
        <v>0.5</v>
      </c>
      <c r="M508" s="297">
        <v>0.5</v>
      </c>
      <c r="N508" s="297">
        <v>0.5</v>
      </c>
      <c r="O508" s="297">
        <v>0.5</v>
      </c>
      <c r="P508" s="297">
        <v>0.5</v>
      </c>
      <c r="Q508" s="297">
        <v>0.5</v>
      </c>
      <c r="R508" s="297">
        <v>0.5</v>
      </c>
      <c r="S508" s="297">
        <v>0.5</v>
      </c>
      <c r="T508" s="297">
        <v>0.5</v>
      </c>
      <c r="U508" s="297">
        <v>0.5</v>
      </c>
      <c r="V508" s="328"/>
      <c r="W508" s="260" t="s">
        <v>200</v>
      </c>
      <c r="X508" s="198" t="s">
        <v>496</v>
      </c>
      <c r="Y508" s="157" t="b">
        <v>0</v>
      </c>
      <c r="Z508" s="157"/>
      <c r="AA508" s="157"/>
      <c r="AB508" s="157"/>
      <c r="AC508" s="157"/>
      <c r="AD508" s="157"/>
      <c r="AE508" s="157"/>
      <c r="AF508" s="157"/>
      <c r="AG508" s="157"/>
      <c r="AH508" s="157"/>
      <c r="AI508" s="157"/>
      <c r="AJ508" s="157"/>
      <c r="AK508" s="157"/>
      <c r="AL508" s="157"/>
      <c r="AM508" s="157"/>
      <c r="AN508" s="157"/>
      <c r="AO508" s="157"/>
      <c r="AP508" s="157"/>
    </row>
    <row r="509" spans="1:42" x14ac:dyDescent="0.25">
      <c r="A509" s="295" t="s">
        <v>147</v>
      </c>
      <c r="B509" s="295" t="s">
        <v>435</v>
      </c>
      <c r="C509" s="295" t="s">
        <v>44</v>
      </c>
      <c r="D509" s="295" t="s">
        <v>279</v>
      </c>
      <c r="E509" s="297">
        <v>0.5</v>
      </c>
      <c r="F509" s="297">
        <v>0.5</v>
      </c>
      <c r="G509" s="297">
        <v>0.5</v>
      </c>
      <c r="H509" s="297">
        <v>0.5</v>
      </c>
      <c r="I509" s="297">
        <v>0.5</v>
      </c>
      <c r="J509" s="297">
        <v>0.5</v>
      </c>
      <c r="K509" s="297">
        <v>0.5</v>
      </c>
      <c r="L509" s="297">
        <v>0.5</v>
      </c>
      <c r="M509" s="297">
        <v>0.5</v>
      </c>
      <c r="N509" s="297">
        <v>0.5</v>
      </c>
      <c r="O509" s="297">
        <v>0.5</v>
      </c>
      <c r="P509" s="297">
        <v>0.5</v>
      </c>
      <c r="Q509" s="297">
        <v>0.5</v>
      </c>
      <c r="R509" s="297">
        <v>0.5</v>
      </c>
      <c r="S509" s="297">
        <v>0.5</v>
      </c>
      <c r="T509" s="297">
        <v>0.5</v>
      </c>
      <c r="U509" s="297">
        <v>0.5</v>
      </c>
      <c r="V509" s="328"/>
      <c r="W509" s="260" t="s">
        <v>200</v>
      </c>
      <c r="X509" s="198" t="s">
        <v>496</v>
      </c>
      <c r="Y509" s="157" t="b">
        <v>0</v>
      </c>
      <c r="Z509" s="157"/>
      <c r="AA509" s="157"/>
      <c r="AB509" s="157"/>
      <c r="AC509" s="157"/>
      <c r="AD509" s="157"/>
      <c r="AE509" s="157"/>
      <c r="AF509" s="157"/>
      <c r="AG509" s="157"/>
      <c r="AH509" s="157"/>
      <c r="AI509" s="157"/>
      <c r="AJ509" s="157"/>
      <c r="AK509" s="157"/>
      <c r="AL509" s="157"/>
      <c r="AM509" s="157"/>
      <c r="AN509" s="157"/>
      <c r="AO509" s="157"/>
      <c r="AP509" s="157"/>
    </row>
    <row r="510" spans="1:42" x14ac:dyDescent="0.25">
      <c r="A510" s="295" t="s">
        <v>147</v>
      </c>
      <c r="B510" s="295" t="s">
        <v>435</v>
      </c>
      <c r="C510" s="295" t="s">
        <v>44</v>
      </c>
      <c r="D510" s="295" t="s">
        <v>281</v>
      </c>
      <c r="E510" s="297">
        <v>0.5</v>
      </c>
      <c r="F510" s="297">
        <v>0.5</v>
      </c>
      <c r="G510" s="297">
        <v>0.5</v>
      </c>
      <c r="H510" s="297">
        <v>0.5</v>
      </c>
      <c r="I510" s="297">
        <v>0.5</v>
      </c>
      <c r="J510" s="297">
        <v>0.5</v>
      </c>
      <c r="K510" s="297">
        <v>0.5</v>
      </c>
      <c r="L510" s="297">
        <v>0.5</v>
      </c>
      <c r="M510" s="297">
        <v>0.5</v>
      </c>
      <c r="N510" s="297">
        <v>0.5</v>
      </c>
      <c r="O510" s="297">
        <v>0.5</v>
      </c>
      <c r="P510" s="297">
        <v>0.5</v>
      </c>
      <c r="Q510" s="297">
        <v>0.5</v>
      </c>
      <c r="R510" s="297">
        <v>0.5</v>
      </c>
      <c r="S510" s="297">
        <v>0.5</v>
      </c>
      <c r="T510" s="297">
        <v>0.5</v>
      </c>
      <c r="U510" s="297">
        <v>0.5</v>
      </c>
      <c r="V510" s="328"/>
      <c r="W510" s="260" t="s">
        <v>200</v>
      </c>
      <c r="X510" s="198" t="s">
        <v>496</v>
      </c>
      <c r="Y510" s="157" t="b">
        <v>0</v>
      </c>
      <c r="Z510" s="157"/>
      <c r="AA510" s="157"/>
      <c r="AB510" s="157"/>
      <c r="AC510" s="157"/>
      <c r="AD510" s="157"/>
      <c r="AE510" s="157"/>
      <c r="AF510" s="157"/>
      <c r="AG510" s="157"/>
      <c r="AH510" s="157"/>
      <c r="AI510" s="157"/>
      <c r="AJ510" s="157"/>
      <c r="AK510" s="157"/>
      <c r="AL510" s="157"/>
      <c r="AM510" s="157"/>
      <c r="AN510" s="157"/>
      <c r="AO510" s="157"/>
      <c r="AP510" s="157"/>
    </row>
    <row r="511" spans="1:42" x14ac:dyDescent="0.25">
      <c r="A511" s="295" t="s">
        <v>94</v>
      </c>
      <c r="B511" s="295" t="s">
        <v>435</v>
      </c>
      <c r="C511" s="295" t="s">
        <v>43</v>
      </c>
      <c r="D511" s="295" t="s">
        <v>276</v>
      </c>
      <c r="E511" s="297">
        <v>0.5</v>
      </c>
      <c r="F511" s="297">
        <v>0.5</v>
      </c>
      <c r="G511" s="297">
        <v>0.5</v>
      </c>
      <c r="H511" s="297">
        <v>0.5</v>
      </c>
      <c r="I511" s="297">
        <v>0.5</v>
      </c>
      <c r="J511" s="297">
        <v>0.5</v>
      </c>
      <c r="K511" s="297">
        <v>0.5</v>
      </c>
      <c r="L511" s="297">
        <v>0.5</v>
      </c>
      <c r="M511" s="297">
        <v>0.5</v>
      </c>
      <c r="N511" s="297">
        <v>0.5</v>
      </c>
      <c r="O511" s="297">
        <v>0.5</v>
      </c>
      <c r="P511" s="297">
        <v>0.5</v>
      </c>
      <c r="Q511" s="297">
        <v>0.5</v>
      </c>
      <c r="R511" s="297">
        <v>0.5</v>
      </c>
      <c r="S511" s="297">
        <v>0.5</v>
      </c>
      <c r="T511" s="297">
        <v>0.5</v>
      </c>
      <c r="U511" s="297">
        <v>0.5</v>
      </c>
      <c r="V511" s="328"/>
      <c r="W511" s="260" t="s">
        <v>200</v>
      </c>
      <c r="X511" s="198" t="s">
        <v>497</v>
      </c>
      <c r="Y511" s="157" t="b">
        <v>0</v>
      </c>
      <c r="Z511" s="157"/>
      <c r="AA511" s="157"/>
      <c r="AB511" s="157"/>
      <c r="AC511" s="157"/>
      <c r="AD511" s="157"/>
      <c r="AE511" s="157"/>
      <c r="AF511" s="157"/>
      <c r="AG511" s="157"/>
      <c r="AH511" s="157"/>
      <c r="AI511" s="157"/>
      <c r="AJ511" s="157"/>
      <c r="AK511" s="157"/>
      <c r="AL511" s="157"/>
      <c r="AM511" s="157"/>
      <c r="AN511" s="157"/>
      <c r="AO511" s="157"/>
      <c r="AP511" s="157"/>
    </row>
    <row r="512" spans="1:42" x14ac:dyDescent="0.25">
      <c r="A512" s="295" t="s">
        <v>94</v>
      </c>
      <c r="B512" s="295" t="s">
        <v>435</v>
      </c>
      <c r="C512" s="295" t="s">
        <v>44</v>
      </c>
      <c r="D512" s="295" t="s">
        <v>276</v>
      </c>
      <c r="E512" s="297">
        <v>0.5</v>
      </c>
      <c r="F512" s="297">
        <v>0.5</v>
      </c>
      <c r="G512" s="297">
        <v>0.5</v>
      </c>
      <c r="H512" s="297">
        <v>0.5</v>
      </c>
      <c r="I512" s="297">
        <v>0.5</v>
      </c>
      <c r="J512" s="297">
        <v>0.5</v>
      </c>
      <c r="K512" s="297">
        <v>0.5</v>
      </c>
      <c r="L512" s="297">
        <v>0.5</v>
      </c>
      <c r="M512" s="297">
        <v>0.5</v>
      </c>
      <c r="N512" s="297">
        <v>0.5</v>
      </c>
      <c r="O512" s="297">
        <v>0.5</v>
      </c>
      <c r="P512" s="297">
        <v>0.5</v>
      </c>
      <c r="Q512" s="297">
        <v>0.5</v>
      </c>
      <c r="R512" s="297">
        <v>0.5</v>
      </c>
      <c r="S512" s="297">
        <v>0.5</v>
      </c>
      <c r="T512" s="297">
        <v>0.5</v>
      </c>
      <c r="U512" s="297">
        <v>0.5</v>
      </c>
      <c r="V512" s="328"/>
      <c r="W512" s="260" t="s">
        <v>200</v>
      </c>
      <c r="X512" s="198" t="s">
        <v>497</v>
      </c>
      <c r="Y512" s="157" t="b">
        <v>0</v>
      </c>
      <c r="Z512" s="157"/>
      <c r="AA512" s="157"/>
      <c r="AB512" s="157"/>
      <c r="AC512" s="157"/>
      <c r="AD512" s="157"/>
      <c r="AE512" s="157"/>
      <c r="AF512" s="157"/>
      <c r="AG512" s="157"/>
      <c r="AH512" s="157"/>
      <c r="AI512" s="157"/>
      <c r="AJ512" s="157"/>
      <c r="AK512" s="157"/>
      <c r="AL512" s="157"/>
      <c r="AM512" s="157"/>
      <c r="AN512" s="157"/>
      <c r="AO512" s="157"/>
      <c r="AP512" s="157"/>
    </row>
    <row r="513" spans="1:42" x14ac:dyDescent="0.25">
      <c r="A513" s="295" t="s">
        <v>95</v>
      </c>
      <c r="B513" s="295" t="s">
        <v>435</v>
      </c>
      <c r="C513" s="295" t="s">
        <v>41</v>
      </c>
      <c r="D513" s="295" t="s">
        <v>280</v>
      </c>
      <c r="E513" s="297">
        <v>0.49748766163793101</v>
      </c>
      <c r="F513" s="297">
        <v>0.49665021551724137</v>
      </c>
      <c r="G513" s="297">
        <v>0.49553362068965517</v>
      </c>
      <c r="H513" s="297">
        <v>0.49404482758620688</v>
      </c>
      <c r="I513" s="297">
        <v>0.49255603448275864</v>
      </c>
      <c r="J513" s="297">
        <v>0.4906950431034483</v>
      </c>
      <c r="K513" s="297">
        <v>0.48836880387931036</v>
      </c>
      <c r="L513" s="297">
        <v>0.48546100484913796</v>
      </c>
      <c r="M513" s="297">
        <v>0.48182625606142243</v>
      </c>
      <c r="N513" s="297">
        <v>0.47728282007677802</v>
      </c>
      <c r="O513" s="297">
        <v>0.47160352509597253</v>
      </c>
      <c r="P513" s="297">
        <v>0.46450440636996571</v>
      </c>
      <c r="Q513" s="297">
        <v>0.45563050796245713</v>
      </c>
      <c r="R513" s="297">
        <v>0.44453813495307143</v>
      </c>
      <c r="S513" s="297">
        <v>0.4306726686913393</v>
      </c>
      <c r="T513" s="297">
        <v>0.41334083586417414</v>
      </c>
      <c r="U513" s="297">
        <v>0.39167604483021767</v>
      </c>
      <c r="V513" s="328" t="s">
        <v>307</v>
      </c>
      <c r="W513" s="260" t="s">
        <v>200</v>
      </c>
      <c r="X513" s="198" t="s">
        <v>498</v>
      </c>
      <c r="Y513" s="157" t="b">
        <v>0</v>
      </c>
      <c r="Z513" s="157"/>
      <c r="AA513" s="157"/>
      <c r="AB513" s="157"/>
      <c r="AC513" s="157"/>
      <c r="AD513" s="157"/>
      <c r="AE513" s="157"/>
      <c r="AF513" s="157"/>
      <c r="AG513" s="157"/>
      <c r="AH513" s="157"/>
      <c r="AI513" s="157"/>
      <c r="AJ513" s="157"/>
      <c r="AK513" s="157"/>
      <c r="AL513" s="157"/>
      <c r="AM513" s="157"/>
      <c r="AN513" s="157"/>
      <c r="AO513" s="157"/>
      <c r="AP513" s="157"/>
    </row>
    <row r="514" spans="1:42" x14ac:dyDescent="0.25">
      <c r="A514" s="295" t="s">
        <v>95</v>
      </c>
      <c r="B514" s="295" t="s">
        <v>435</v>
      </c>
      <c r="C514" s="295" t="s">
        <v>41</v>
      </c>
      <c r="D514" s="295" t="s">
        <v>282</v>
      </c>
      <c r="E514" s="297">
        <v>0.49748766163793101</v>
      </c>
      <c r="F514" s="297">
        <v>0.49665021551724137</v>
      </c>
      <c r="G514" s="297">
        <v>0.49553362068965517</v>
      </c>
      <c r="H514" s="297">
        <v>0.49404482758620688</v>
      </c>
      <c r="I514" s="297">
        <v>0.49255603448275864</v>
      </c>
      <c r="J514" s="297">
        <v>0.4906950431034483</v>
      </c>
      <c r="K514" s="297">
        <v>0.48836880387931036</v>
      </c>
      <c r="L514" s="297">
        <v>0.48546100484913796</v>
      </c>
      <c r="M514" s="297">
        <v>0.48182625606142243</v>
      </c>
      <c r="N514" s="297">
        <v>0.47728282007677802</v>
      </c>
      <c r="O514" s="297">
        <v>0.47160352509597253</v>
      </c>
      <c r="P514" s="297">
        <v>0.46450440636996571</v>
      </c>
      <c r="Q514" s="297">
        <v>0.45563050796245713</v>
      </c>
      <c r="R514" s="297">
        <v>0.44453813495307143</v>
      </c>
      <c r="S514" s="297">
        <v>0.4306726686913393</v>
      </c>
      <c r="T514" s="297">
        <v>0.41334083586417414</v>
      </c>
      <c r="U514" s="297">
        <v>0.39167604483021767</v>
      </c>
      <c r="V514" s="328"/>
      <c r="W514" s="260" t="s">
        <v>200</v>
      </c>
      <c r="X514" s="198" t="s">
        <v>498</v>
      </c>
      <c r="Y514" s="157" t="b">
        <v>0</v>
      </c>
      <c r="Z514" s="157"/>
      <c r="AA514" s="157"/>
      <c r="AB514" s="157"/>
      <c r="AC514" s="157"/>
      <c r="AD514" s="157"/>
      <c r="AE514" s="157"/>
      <c r="AF514" s="157"/>
      <c r="AG514" s="157"/>
      <c r="AH514" s="157"/>
      <c r="AI514" s="157"/>
      <c r="AJ514" s="157"/>
      <c r="AK514" s="157"/>
      <c r="AL514" s="157"/>
      <c r="AM514" s="157"/>
      <c r="AN514" s="157"/>
      <c r="AO514" s="157"/>
      <c r="AP514" s="157"/>
    </row>
    <row r="515" spans="1:42" x14ac:dyDescent="0.25">
      <c r="A515" s="295" t="s">
        <v>95</v>
      </c>
      <c r="B515" s="295" t="s">
        <v>435</v>
      </c>
      <c r="C515" s="295" t="s">
        <v>43</v>
      </c>
      <c r="D515" s="295" t="s">
        <v>276</v>
      </c>
      <c r="E515" s="297">
        <v>0.49748766163793101</v>
      </c>
      <c r="F515" s="297">
        <v>0.49665021551724137</v>
      </c>
      <c r="G515" s="297">
        <v>0.49553362068965517</v>
      </c>
      <c r="H515" s="297">
        <v>0.49404482758620688</v>
      </c>
      <c r="I515" s="297">
        <v>0.49255603448275864</v>
      </c>
      <c r="J515" s="297">
        <v>0.4906950431034483</v>
      </c>
      <c r="K515" s="297">
        <v>0.48836880387931036</v>
      </c>
      <c r="L515" s="297">
        <v>0.48546100484913796</v>
      </c>
      <c r="M515" s="297">
        <v>0.48182625606142243</v>
      </c>
      <c r="N515" s="297">
        <v>0.47728282007677802</v>
      </c>
      <c r="O515" s="297">
        <v>0.47160352509597253</v>
      </c>
      <c r="P515" s="297">
        <v>0.46450440636996571</v>
      </c>
      <c r="Q515" s="297">
        <v>0.45563050796245713</v>
      </c>
      <c r="R515" s="297">
        <v>0.44453813495307143</v>
      </c>
      <c r="S515" s="297">
        <v>0.4306726686913393</v>
      </c>
      <c r="T515" s="297">
        <v>0.41334083586417414</v>
      </c>
      <c r="U515" s="297">
        <v>0.39167604483021767</v>
      </c>
      <c r="V515" s="328"/>
      <c r="W515" s="260" t="s">
        <v>200</v>
      </c>
      <c r="X515" s="198" t="s">
        <v>498</v>
      </c>
      <c r="Y515" s="157" t="b">
        <v>0</v>
      </c>
      <c r="Z515" s="157"/>
      <c r="AA515" s="157"/>
      <c r="AB515" s="157"/>
      <c r="AC515" s="157"/>
      <c r="AD515" s="157"/>
      <c r="AE515" s="157"/>
      <c r="AF515" s="157"/>
      <c r="AG515" s="157"/>
      <c r="AH515" s="157"/>
      <c r="AI515" s="157"/>
      <c r="AJ515" s="157"/>
      <c r="AK515" s="157"/>
      <c r="AL515" s="157"/>
      <c r="AM515" s="157"/>
      <c r="AN515" s="157"/>
      <c r="AO515" s="157"/>
      <c r="AP515" s="157"/>
    </row>
    <row r="516" spans="1:42" x14ac:dyDescent="0.25">
      <c r="A516" s="295" t="s">
        <v>95</v>
      </c>
      <c r="B516" s="295" t="s">
        <v>435</v>
      </c>
      <c r="C516" s="295" t="s">
        <v>43</v>
      </c>
      <c r="D516" s="295" t="s">
        <v>279</v>
      </c>
      <c r="E516" s="297">
        <v>0.49748766163793101</v>
      </c>
      <c r="F516" s="297">
        <v>0.49665021551724137</v>
      </c>
      <c r="G516" s="297">
        <v>0.49553362068965517</v>
      </c>
      <c r="H516" s="297">
        <v>0.49404482758620688</v>
      </c>
      <c r="I516" s="297">
        <v>0.49255603448275864</v>
      </c>
      <c r="J516" s="297">
        <v>0.4906950431034483</v>
      </c>
      <c r="K516" s="297">
        <v>0.48836880387931036</v>
      </c>
      <c r="L516" s="297">
        <v>0.48546100484913796</v>
      </c>
      <c r="M516" s="297">
        <v>0.48182625606142243</v>
      </c>
      <c r="N516" s="297">
        <v>0.47728282007677802</v>
      </c>
      <c r="O516" s="297">
        <v>0.47160352509597253</v>
      </c>
      <c r="P516" s="297">
        <v>0.46450440636996571</v>
      </c>
      <c r="Q516" s="297">
        <v>0.45563050796245713</v>
      </c>
      <c r="R516" s="297">
        <v>0.44453813495307143</v>
      </c>
      <c r="S516" s="297">
        <v>0.4306726686913393</v>
      </c>
      <c r="T516" s="297">
        <v>0.41334083586417414</v>
      </c>
      <c r="U516" s="297">
        <v>0.39167604483021767</v>
      </c>
      <c r="V516" s="328"/>
      <c r="W516" s="260" t="s">
        <v>200</v>
      </c>
      <c r="X516" s="198" t="s">
        <v>498</v>
      </c>
      <c r="Y516" s="157" t="b">
        <v>0</v>
      </c>
      <c r="Z516" s="157"/>
      <c r="AA516" s="157"/>
      <c r="AB516" s="157"/>
      <c r="AC516" s="157"/>
      <c r="AD516" s="157"/>
      <c r="AE516" s="157"/>
      <c r="AF516" s="157"/>
      <c r="AG516" s="157"/>
      <c r="AH516" s="157"/>
      <c r="AI516" s="157"/>
      <c r="AJ516" s="157"/>
      <c r="AK516" s="157"/>
      <c r="AL516" s="157"/>
      <c r="AM516" s="157"/>
      <c r="AN516" s="157"/>
      <c r="AO516" s="157"/>
      <c r="AP516" s="157"/>
    </row>
    <row r="517" spans="1:42" x14ac:dyDescent="0.25">
      <c r="A517" s="295" t="s">
        <v>95</v>
      </c>
      <c r="B517" s="295" t="s">
        <v>435</v>
      </c>
      <c r="C517" s="295" t="s">
        <v>43</v>
      </c>
      <c r="D517" s="295" t="s">
        <v>280</v>
      </c>
      <c r="E517" s="297">
        <v>0.49748766163793101</v>
      </c>
      <c r="F517" s="297">
        <v>0.49665021551724137</v>
      </c>
      <c r="G517" s="297">
        <v>0.49553362068965517</v>
      </c>
      <c r="H517" s="297">
        <v>0.49404482758620688</v>
      </c>
      <c r="I517" s="297">
        <v>0.49255603448275864</v>
      </c>
      <c r="J517" s="297">
        <v>0.4906950431034483</v>
      </c>
      <c r="K517" s="297">
        <v>0.48836880387931036</v>
      </c>
      <c r="L517" s="297">
        <v>0.48546100484913796</v>
      </c>
      <c r="M517" s="297">
        <v>0.48182625606142243</v>
      </c>
      <c r="N517" s="297">
        <v>0.47728282007677802</v>
      </c>
      <c r="O517" s="297">
        <v>0.47160352509597253</v>
      </c>
      <c r="P517" s="297">
        <v>0.46450440636996571</v>
      </c>
      <c r="Q517" s="297">
        <v>0.45563050796245713</v>
      </c>
      <c r="R517" s="297">
        <v>0.44453813495307143</v>
      </c>
      <c r="S517" s="297">
        <v>0.4306726686913393</v>
      </c>
      <c r="T517" s="297">
        <v>0.41334083586417414</v>
      </c>
      <c r="U517" s="297">
        <v>0.39167604483021767</v>
      </c>
      <c r="V517" s="328"/>
      <c r="W517" s="260" t="s">
        <v>200</v>
      </c>
      <c r="X517" s="198" t="s">
        <v>498</v>
      </c>
      <c r="Y517" s="157" t="b">
        <v>0</v>
      </c>
      <c r="Z517" s="157"/>
      <c r="AA517" s="157"/>
      <c r="AB517" s="157"/>
      <c r="AC517" s="157"/>
      <c r="AD517" s="157"/>
      <c r="AE517" s="157"/>
      <c r="AF517" s="157"/>
      <c r="AG517" s="157"/>
      <c r="AH517" s="157"/>
      <c r="AI517" s="157"/>
      <c r="AJ517" s="157"/>
      <c r="AK517" s="157"/>
      <c r="AL517" s="157"/>
      <c r="AM517" s="157"/>
      <c r="AN517" s="157"/>
      <c r="AO517" s="157"/>
      <c r="AP517" s="157"/>
    </row>
    <row r="518" spans="1:42" x14ac:dyDescent="0.25">
      <c r="A518" s="295" t="s">
        <v>95</v>
      </c>
      <c r="B518" s="295" t="s">
        <v>435</v>
      </c>
      <c r="C518" s="295" t="s">
        <v>43</v>
      </c>
      <c r="D518" s="295" t="s">
        <v>281</v>
      </c>
      <c r="E518" s="297">
        <v>0.49748766163793101</v>
      </c>
      <c r="F518" s="297">
        <v>0.49665021551724137</v>
      </c>
      <c r="G518" s="297">
        <v>0.49553362068965517</v>
      </c>
      <c r="H518" s="297">
        <v>0.49404482758620688</v>
      </c>
      <c r="I518" s="297">
        <v>0.49255603448275864</v>
      </c>
      <c r="J518" s="297">
        <v>0.4906950431034483</v>
      </c>
      <c r="K518" s="297">
        <v>0.48836880387931036</v>
      </c>
      <c r="L518" s="297">
        <v>0.48546100484913796</v>
      </c>
      <c r="M518" s="297">
        <v>0.48182625606142243</v>
      </c>
      <c r="N518" s="297">
        <v>0.47728282007677802</v>
      </c>
      <c r="O518" s="297">
        <v>0.47160352509597253</v>
      </c>
      <c r="P518" s="297">
        <v>0.46450440636996571</v>
      </c>
      <c r="Q518" s="297">
        <v>0.45563050796245713</v>
      </c>
      <c r="R518" s="297">
        <v>0.44453813495307143</v>
      </c>
      <c r="S518" s="297">
        <v>0.4306726686913393</v>
      </c>
      <c r="T518" s="297">
        <v>0.41334083586417414</v>
      </c>
      <c r="U518" s="297">
        <v>0.39167604483021767</v>
      </c>
      <c r="V518" s="328"/>
      <c r="W518" s="260" t="s">
        <v>200</v>
      </c>
      <c r="X518" s="198" t="s">
        <v>498</v>
      </c>
      <c r="Y518" s="157" t="b">
        <v>0</v>
      </c>
      <c r="Z518" s="157"/>
      <c r="AA518" s="157"/>
      <c r="AB518" s="157"/>
      <c r="AC518" s="157"/>
      <c r="AD518" s="157"/>
      <c r="AE518" s="157"/>
      <c r="AF518" s="157"/>
      <c r="AG518" s="157"/>
      <c r="AH518" s="157"/>
      <c r="AI518" s="157"/>
      <c r="AJ518" s="157"/>
      <c r="AK518" s="157"/>
      <c r="AL518" s="157"/>
      <c r="AM518" s="157"/>
      <c r="AN518" s="157"/>
      <c r="AO518" s="157"/>
      <c r="AP518" s="157"/>
    </row>
    <row r="519" spans="1:42" x14ac:dyDescent="0.25">
      <c r="A519" s="295" t="s">
        <v>95</v>
      </c>
      <c r="B519" s="295" t="s">
        <v>435</v>
      </c>
      <c r="C519" s="295" t="s">
        <v>43</v>
      </c>
      <c r="D519" s="295" t="s">
        <v>282</v>
      </c>
      <c r="E519" s="297">
        <v>0.49748766163793101</v>
      </c>
      <c r="F519" s="297">
        <v>0.49665021551724137</v>
      </c>
      <c r="G519" s="297">
        <v>0.49553362068965517</v>
      </c>
      <c r="H519" s="297">
        <v>0.49404482758620688</v>
      </c>
      <c r="I519" s="297">
        <v>0.49255603448275864</v>
      </c>
      <c r="J519" s="297">
        <v>0.4906950431034483</v>
      </c>
      <c r="K519" s="297">
        <v>0.48836880387931036</v>
      </c>
      <c r="L519" s="297">
        <v>0.48546100484913796</v>
      </c>
      <c r="M519" s="297">
        <v>0.48182625606142243</v>
      </c>
      <c r="N519" s="297">
        <v>0.47728282007677802</v>
      </c>
      <c r="O519" s="297">
        <v>0.47160352509597253</v>
      </c>
      <c r="P519" s="297">
        <v>0.46450440636996571</v>
      </c>
      <c r="Q519" s="297">
        <v>0.45563050796245713</v>
      </c>
      <c r="R519" s="297">
        <v>0.44453813495307143</v>
      </c>
      <c r="S519" s="297">
        <v>0.4306726686913393</v>
      </c>
      <c r="T519" s="297">
        <v>0.41334083586417414</v>
      </c>
      <c r="U519" s="297">
        <v>0.39167604483021767</v>
      </c>
      <c r="V519" s="328"/>
      <c r="W519" s="260" t="s">
        <v>200</v>
      </c>
      <c r="X519" s="198" t="s">
        <v>498</v>
      </c>
      <c r="Y519" s="157" t="b">
        <v>0</v>
      </c>
      <c r="Z519" s="157"/>
      <c r="AA519" s="157"/>
      <c r="AB519" s="157"/>
      <c r="AC519" s="157"/>
      <c r="AD519" s="157"/>
      <c r="AE519" s="157"/>
      <c r="AF519" s="157"/>
      <c r="AG519" s="157"/>
      <c r="AH519" s="157"/>
      <c r="AI519" s="157"/>
      <c r="AJ519" s="157"/>
      <c r="AK519" s="157"/>
      <c r="AL519" s="157"/>
      <c r="AM519" s="157"/>
      <c r="AN519" s="157"/>
      <c r="AO519" s="157"/>
      <c r="AP519" s="157"/>
    </row>
    <row r="520" spans="1:42" x14ac:dyDescent="0.25">
      <c r="A520" s="295" t="s">
        <v>95</v>
      </c>
      <c r="B520" s="295" t="s">
        <v>435</v>
      </c>
      <c r="C520" s="295" t="s">
        <v>44</v>
      </c>
      <c r="D520" s="295" t="s">
        <v>276</v>
      </c>
      <c r="E520" s="297">
        <v>0.49748766163793101</v>
      </c>
      <c r="F520" s="297">
        <v>0.49665021551724137</v>
      </c>
      <c r="G520" s="297">
        <v>0.49553362068965517</v>
      </c>
      <c r="H520" s="297">
        <v>0.49404482758620688</v>
      </c>
      <c r="I520" s="297">
        <v>0.49255603448275864</v>
      </c>
      <c r="J520" s="297">
        <v>0.4906950431034483</v>
      </c>
      <c r="K520" s="297">
        <v>0.48836880387931036</v>
      </c>
      <c r="L520" s="297">
        <v>0.48546100484913796</v>
      </c>
      <c r="M520" s="297">
        <v>0.48182625606142243</v>
      </c>
      <c r="N520" s="297">
        <v>0.47728282007677802</v>
      </c>
      <c r="O520" s="297">
        <v>0.47160352509597253</v>
      </c>
      <c r="P520" s="297">
        <v>0.46450440636996571</v>
      </c>
      <c r="Q520" s="297">
        <v>0.45563050796245713</v>
      </c>
      <c r="R520" s="297">
        <v>0.44453813495307143</v>
      </c>
      <c r="S520" s="297">
        <v>0.4306726686913393</v>
      </c>
      <c r="T520" s="297">
        <v>0.41334083586417414</v>
      </c>
      <c r="U520" s="297">
        <v>0.39167604483021767</v>
      </c>
      <c r="V520" s="328"/>
      <c r="W520" s="260" t="s">
        <v>200</v>
      </c>
      <c r="X520" s="198" t="s">
        <v>498</v>
      </c>
      <c r="Y520" s="157" t="b">
        <v>0</v>
      </c>
      <c r="Z520" s="157"/>
      <c r="AA520" s="157"/>
      <c r="AB520" s="157"/>
      <c r="AC520" s="157"/>
      <c r="AD520" s="157"/>
      <c r="AE520" s="157"/>
      <c r="AF520" s="157"/>
      <c r="AG520" s="157"/>
      <c r="AH520" s="157"/>
      <c r="AI520" s="157"/>
      <c r="AJ520" s="157"/>
      <c r="AK520" s="157"/>
      <c r="AL520" s="157"/>
      <c r="AM520" s="157"/>
      <c r="AN520" s="157"/>
      <c r="AO520" s="157"/>
      <c r="AP520" s="157"/>
    </row>
    <row r="521" spans="1:42" x14ac:dyDescent="0.25">
      <c r="A521" s="295" t="s">
        <v>95</v>
      </c>
      <c r="B521" s="295" t="s">
        <v>435</v>
      </c>
      <c r="C521" s="295" t="s">
        <v>44</v>
      </c>
      <c r="D521" s="295" t="s">
        <v>279</v>
      </c>
      <c r="E521" s="297">
        <v>0.49748766163793101</v>
      </c>
      <c r="F521" s="297">
        <v>0.49665021551724137</v>
      </c>
      <c r="G521" s="297">
        <v>0.49553362068965517</v>
      </c>
      <c r="H521" s="297">
        <v>0.49404482758620688</v>
      </c>
      <c r="I521" s="297">
        <v>0.49255603448275864</v>
      </c>
      <c r="J521" s="297">
        <v>0.4906950431034483</v>
      </c>
      <c r="K521" s="297">
        <v>0.48836880387931036</v>
      </c>
      <c r="L521" s="297">
        <v>0.48546100484913796</v>
      </c>
      <c r="M521" s="297">
        <v>0.48182625606142243</v>
      </c>
      <c r="N521" s="297">
        <v>0.47728282007677802</v>
      </c>
      <c r="O521" s="297">
        <v>0.47160352509597253</v>
      </c>
      <c r="P521" s="297">
        <v>0.46450440636996571</v>
      </c>
      <c r="Q521" s="297">
        <v>0.45563050796245713</v>
      </c>
      <c r="R521" s="297">
        <v>0.44453813495307143</v>
      </c>
      <c r="S521" s="297">
        <v>0.4306726686913393</v>
      </c>
      <c r="T521" s="297">
        <v>0.41334083586417414</v>
      </c>
      <c r="U521" s="297">
        <v>0.39167604483021767</v>
      </c>
      <c r="V521" s="328"/>
      <c r="W521" s="260" t="s">
        <v>200</v>
      </c>
      <c r="X521" s="198" t="s">
        <v>498</v>
      </c>
      <c r="Y521" s="157" t="b">
        <v>0</v>
      </c>
      <c r="Z521" s="157"/>
      <c r="AA521" s="157"/>
      <c r="AB521" s="157"/>
      <c r="AC521" s="157"/>
      <c r="AD521" s="157"/>
      <c r="AE521" s="157"/>
      <c r="AF521" s="157"/>
      <c r="AG521" s="157"/>
      <c r="AH521" s="157"/>
      <c r="AI521" s="157"/>
      <c r="AJ521" s="157"/>
      <c r="AK521" s="157"/>
      <c r="AL521" s="157"/>
      <c r="AM521" s="157"/>
      <c r="AN521" s="157"/>
      <c r="AO521" s="157"/>
      <c r="AP521" s="157"/>
    </row>
    <row r="522" spans="1:42" x14ac:dyDescent="0.25">
      <c r="A522" s="295" t="s">
        <v>95</v>
      </c>
      <c r="B522" s="295" t="s">
        <v>435</v>
      </c>
      <c r="C522" s="295" t="s">
        <v>44</v>
      </c>
      <c r="D522" s="295" t="s">
        <v>281</v>
      </c>
      <c r="E522" s="297">
        <v>0.49748766163793101</v>
      </c>
      <c r="F522" s="297">
        <v>0.49665021551724137</v>
      </c>
      <c r="G522" s="297">
        <v>0.49553362068965517</v>
      </c>
      <c r="H522" s="297">
        <v>0.49404482758620688</v>
      </c>
      <c r="I522" s="297">
        <v>0.49255603448275864</v>
      </c>
      <c r="J522" s="297">
        <v>0.4906950431034483</v>
      </c>
      <c r="K522" s="297">
        <v>0.48836880387931036</v>
      </c>
      <c r="L522" s="297">
        <v>0.48546100484913796</v>
      </c>
      <c r="M522" s="297">
        <v>0.48182625606142243</v>
      </c>
      <c r="N522" s="297">
        <v>0.47728282007677802</v>
      </c>
      <c r="O522" s="297">
        <v>0.47160352509597253</v>
      </c>
      <c r="P522" s="297">
        <v>0.46450440636996571</v>
      </c>
      <c r="Q522" s="297">
        <v>0.45563050796245713</v>
      </c>
      <c r="R522" s="297">
        <v>0.44453813495307143</v>
      </c>
      <c r="S522" s="297">
        <v>0.4306726686913393</v>
      </c>
      <c r="T522" s="297">
        <v>0.41334083586417414</v>
      </c>
      <c r="U522" s="297">
        <v>0.39167604483021767</v>
      </c>
      <c r="V522" s="328"/>
      <c r="W522" s="260" t="s">
        <v>200</v>
      </c>
      <c r="X522" s="198" t="s">
        <v>498</v>
      </c>
      <c r="Y522" s="157" t="b">
        <v>0</v>
      </c>
      <c r="Z522" s="157"/>
      <c r="AA522" s="157"/>
      <c r="AB522" s="157"/>
      <c r="AC522" s="157"/>
      <c r="AD522" s="157"/>
      <c r="AE522" s="157"/>
      <c r="AF522" s="157"/>
      <c r="AG522" s="157"/>
      <c r="AH522" s="157"/>
      <c r="AI522" s="157"/>
      <c r="AJ522" s="157"/>
      <c r="AK522" s="157"/>
      <c r="AL522" s="157"/>
      <c r="AM522" s="157"/>
      <c r="AN522" s="157"/>
      <c r="AO522" s="157"/>
      <c r="AP522" s="157"/>
    </row>
    <row r="523" spans="1:42" ht="27.6" x14ac:dyDescent="0.25">
      <c r="A523" s="295" t="s">
        <v>96</v>
      </c>
      <c r="B523" s="295" t="s">
        <v>435</v>
      </c>
      <c r="C523" s="295" t="s">
        <v>41</v>
      </c>
      <c r="D523" s="295" t="s">
        <v>280</v>
      </c>
      <c r="E523" s="297">
        <v>2.512338362068964E-3</v>
      </c>
      <c r="F523" s="297">
        <v>3.3497844827586197E-3</v>
      </c>
      <c r="G523" s="297">
        <v>4.4663793103448274E-3</v>
      </c>
      <c r="H523" s="297">
        <v>5.9551724137931047E-3</v>
      </c>
      <c r="I523" s="297">
        <v>7.4439655172413794E-3</v>
      </c>
      <c r="J523" s="297">
        <v>9.3049568965517231E-3</v>
      </c>
      <c r="K523" s="297">
        <v>1.1631196120689653E-2</v>
      </c>
      <c r="L523" s="297">
        <v>1.4538995150862063E-2</v>
      </c>
      <c r="M523" s="297">
        <v>1.8173743938577576E-2</v>
      </c>
      <c r="N523" s="297">
        <v>2.2717179923221965E-2</v>
      </c>
      <c r="O523" s="297">
        <v>2.8396474904027452E-2</v>
      </c>
      <c r="P523" s="297">
        <v>3.5495593630034308E-2</v>
      </c>
      <c r="Q523" s="297">
        <v>4.4369492037542875E-2</v>
      </c>
      <c r="R523" s="297">
        <v>5.5461865046928585E-2</v>
      </c>
      <c r="S523" s="297">
        <v>6.9327331308660714E-2</v>
      </c>
      <c r="T523" s="297">
        <v>8.6659164135825875E-2</v>
      </c>
      <c r="U523" s="297">
        <v>0.10832395516978233</v>
      </c>
      <c r="V523" s="328" t="s">
        <v>308</v>
      </c>
      <c r="W523" s="260" t="s">
        <v>200</v>
      </c>
      <c r="X523" s="198" t="s">
        <v>499</v>
      </c>
      <c r="Y523" s="157" t="b">
        <v>1</v>
      </c>
      <c r="Z523" s="157"/>
      <c r="AA523" s="157"/>
      <c r="AB523" s="157"/>
      <c r="AC523" s="157"/>
      <c r="AD523" s="157"/>
      <c r="AE523" s="157"/>
      <c r="AF523" s="157"/>
      <c r="AG523" s="157"/>
      <c r="AH523" s="157"/>
      <c r="AI523" s="157"/>
      <c r="AJ523" s="157"/>
      <c r="AK523" s="157"/>
      <c r="AL523" s="157"/>
      <c r="AM523" s="157"/>
      <c r="AN523" s="157"/>
      <c r="AO523" s="157"/>
      <c r="AP523" s="157"/>
    </row>
    <row r="524" spans="1:42" x14ac:dyDescent="0.25">
      <c r="A524" s="295" t="s">
        <v>96</v>
      </c>
      <c r="B524" s="295" t="s">
        <v>435</v>
      </c>
      <c r="C524" s="295" t="s">
        <v>41</v>
      </c>
      <c r="D524" s="295" t="s">
        <v>282</v>
      </c>
      <c r="E524" s="297">
        <v>2.512338362068964E-3</v>
      </c>
      <c r="F524" s="297">
        <v>3.3497844827586197E-3</v>
      </c>
      <c r="G524" s="297">
        <v>4.4663793103448274E-3</v>
      </c>
      <c r="H524" s="297">
        <v>5.9551724137931047E-3</v>
      </c>
      <c r="I524" s="297">
        <v>7.4439655172413794E-3</v>
      </c>
      <c r="J524" s="297">
        <v>9.3049568965517231E-3</v>
      </c>
      <c r="K524" s="297">
        <v>1.1631196120689653E-2</v>
      </c>
      <c r="L524" s="297">
        <v>1.4538995150862063E-2</v>
      </c>
      <c r="M524" s="297">
        <v>1.8173743938577576E-2</v>
      </c>
      <c r="N524" s="297">
        <v>2.2717179923221965E-2</v>
      </c>
      <c r="O524" s="297">
        <v>2.8396474904027452E-2</v>
      </c>
      <c r="P524" s="297">
        <v>3.5495593630034308E-2</v>
      </c>
      <c r="Q524" s="297">
        <v>4.4369492037542875E-2</v>
      </c>
      <c r="R524" s="297">
        <v>5.5461865046928585E-2</v>
      </c>
      <c r="S524" s="297">
        <v>6.9327331308660714E-2</v>
      </c>
      <c r="T524" s="297">
        <v>8.6659164135825875E-2</v>
      </c>
      <c r="U524" s="297">
        <v>0.10832395516978233</v>
      </c>
      <c r="V524" s="328"/>
      <c r="W524" s="260" t="s">
        <v>200</v>
      </c>
      <c r="X524" s="198" t="s">
        <v>499</v>
      </c>
      <c r="Y524" s="157" t="b">
        <v>1</v>
      </c>
      <c r="Z524" s="157"/>
      <c r="AA524" s="157"/>
      <c r="AB524" s="157"/>
      <c r="AC524" s="157"/>
      <c r="AD524" s="157"/>
      <c r="AE524" s="157"/>
      <c r="AF524" s="157"/>
      <c r="AG524" s="157"/>
      <c r="AH524" s="157"/>
      <c r="AI524" s="157"/>
      <c r="AJ524" s="157"/>
      <c r="AK524" s="157"/>
      <c r="AL524" s="157"/>
      <c r="AM524" s="157"/>
      <c r="AN524" s="157"/>
      <c r="AO524" s="157"/>
      <c r="AP524" s="157"/>
    </row>
    <row r="525" spans="1:42" x14ac:dyDescent="0.25">
      <c r="A525" s="295" t="s">
        <v>96</v>
      </c>
      <c r="B525" s="295" t="s">
        <v>435</v>
      </c>
      <c r="C525" s="295" t="s">
        <v>43</v>
      </c>
      <c r="D525" s="295" t="s">
        <v>276</v>
      </c>
      <c r="E525" s="297">
        <v>2.512338362068964E-3</v>
      </c>
      <c r="F525" s="297">
        <v>3.3497844827586197E-3</v>
      </c>
      <c r="G525" s="297">
        <v>4.4663793103448274E-3</v>
      </c>
      <c r="H525" s="297">
        <v>5.9551724137931047E-3</v>
      </c>
      <c r="I525" s="297">
        <v>7.4439655172413794E-3</v>
      </c>
      <c r="J525" s="297">
        <v>9.3049568965517231E-3</v>
      </c>
      <c r="K525" s="297">
        <v>1.1631196120689653E-2</v>
      </c>
      <c r="L525" s="297">
        <v>1.4538995150862063E-2</v>
      </c>
      <c r="M525" s="297">
        <v>1.8173743938577576E-2</v>
      </c>
      <c r="N525" s="297">
        <v>2.2717179923221965E-2</v>
      </c>
      <c r="O525" s="297">
        <v>2.8396474904027452E-2</v>
      </c>
      <c r="P525" s="297">
        <v>3.5495593630034308E-2</v>
      </c>
      <c r="Q525" s="297">
        <v>4.4369492037542875E-2</v>
      </c>
      <c r="R525" s="297">
        <v>5.5461865046928585E-2</v>
      </c>
      <c r="S525" s="297">
        <v>6.9327331308660714E-2</v>
      </c>
      <c r="T525" s="297">
        <v>8.6659164135825875E-2</v>
      </c>
      <c r="U525" s="297">
        <v>0.10832395516978233</v>
      </c>
      <c r="V525" s="328"/>
      <c r="W525" s="260" t="s">
        <v>200</v>
      </c>
      <c r="X525" s="198" t="s">
        <v>499</v>
      </c>
      <c r="Y525" s="157" t="b">
        <v>1</v>
      </c>
      <c r="Z525" s="157"/>
      <c r="AA525" s="157"/>
      <c r="AB525" s="157"/>
      <c r="AC525" s="157"/>
      <c r="AD525" s="157"/>
      <c r="AE525" s="157"/>
      <c r="AF525" s="157"/>
      <c r="AG525" s="157"/>
      <c r="AH525" s="157"/>
      <c r="AI525" s="157"/>
      <c r="AJ525" s="157"/>
      <c r="AK525" s="157"/>
      <c r="AL525" s="157"/>
      <c r="AM525" s="157"/>
      <c r="AN525" s="157"/>
      <c r="AO525" s="157"/>
      <c r="AP525" s="157"/>
    </row>
    <row r="526" spans="1:42" x14ac:dyDescent="0.25">
      <c r="A526" s="295" t="s">
        <v>96</v>
      </c>
      <c r="B526" s="295" t="s">
        <v>435</v>
      </c>
      <c r="C526" s="295" t="s">
        <v>43</v>
      </c>
      <c r="D526" s="295" t="s">
        <v>279</v>
      </c>
      <c r="E526" s="297">
        <v>2.512338362068964E-3</v>
      </c>
      <c r="F526" s="297">
        <v>3.3497844827586197E-3</v>
      </c>
      <c r="G526" s="297">
        <v>4.4663793103448274E-3</v>
      </c>
      <c r="H526" s="297">
        <v>5.9551724137931047E-3</v>
      </c>
      <c r="I526" s="297">
        <v>7.4439655172413794E-3</v>
      </c>
      <c r="J526" s="297">
        <v>9.3049568965517231E-3</v>
      </c>
      <c r="K526" s="297">
        <v>1.1631196120689653E-2</v>
      </c>
      <c r="L526" s="297">
        <v>1.4538995150862063E-2</v>
      </c>
      <c r="M526" s="297">
        <v>1.8173743938577576E-2</v>
      </c>
      <c r="N526" s="297">
        <v>2.2717179923221965E-2</v>
      </c>
      <c r="O526" s="297">
        <v>2.8396474904027452E-2</v>
      </c>
      <c r="P526" s="297">
        <v>3.5495593630034308E-2</v>
      </c>
      <c r="Q526" s="297">
        <v>4.4369492037542875E-2</v>
      </c>
      <c r="R526" s="297">
        <v>5.5461865046928585E-2</v>
      </c>
      <c r="S526" s="297">
        <v>6.9327331308660714E-2</v>
      </c>
      <c r="T526" s="297">
        <v>8.6659164135825875E-2</v>
      </c>
      <c r="U526" s="297">
        <v>0.10832395516978233</v>
      </c>
      <c r="V526" s="328"/>
      <c r="W526" s="260" t="s">
        <v>200</v>
      </c>
      <c r="X526" s="198" t="s">
        <v>499</v>
      </c>
      <c r="Y526" s="157" t="b">
        <v>1</v>
      </c>
      <c r="Z526" s="157"/>
      <c r="AA526" s="157"/>
      <c r="AB526" s="157"/>
      <c r="AC526" s="157"/>
      <c r="AD526" s="157"/>
      <c r="AE526" s="157"/>
      <c r="AF526" s="157"/>
      <c r="AG526" s="157"/>
      <c r="AH526" s="157"/>
      <c r="AI526" s="157"/>
      <c r="AJ526" s="157"/>
      <c r="AK526" s="157"/>
      <c r="AL526" s="157"/>
      <c r="AM526" s="157"/>
      <c r="AN526" s="157"/>
      <c r="AO526" s="157"/>
      <c r="AP526" s="157"/>
    </row>
    <row r="527" spans="1:42" x14ac:dyDescent="0.25">
      <c r="A527" s="295" t="s">
        <v>96</v>
      </c>
      <c r="B527" s="295" t="s">
        <v>435</v>
      </c>
      <c r="C527" s="295" t="s">
        <v>43</v>
      </c>
      <c r="D527" s="295" t="s">
        <v>280</v>
      </c>
      <c r="E527" s="297">
        <v>2.512338362068964E-3</v>
      </c>
      <c r="F527" s="297">
        <v>3.3497844827586197E-3</v>
      </c>
      <c r="G527" s="297">
        <v>4.4663793103448274E-3</v>
      </c>
      <c r="H527" s="297">
        <v>5.9551724137931047E-3</v>
      </c>
      <c r="I527" s="297">
        <v>7.4439655172413794E-3</v>
      </c>
      <c r="J527" s="297">
        <v>9.3049568965517231E-3</v>
      </c>
      <c r="K527" s="297">
        <v>1.1631196120689653E-2</v>
      </c>
      <c r="L527" s="297">
        <v>1.4538995150862063E-2</v>
      </c>
      <c r="M527" s="297">
        <v>1.8173743938577576E-2</v>
      </c>
      <c r="N527" s="297">
        <v>2.2717179923221965E-2</v>
      </c>
      <c r="O527" s="297">
        <v>2.8396474904027452E-2</v>
      </c>
      <c r="P527" s="297">
        <v>3.5495593630034308E-2</v>
      </c>
      <c r="Q527" s="297">
        <v>4.4369492037542875E-2</v>
      </c>
      <c r="R527" s="297">
        <v>5.5461865046928585E-2</v>
      </c>
      <c r="S527" s="297">
        <v>6.9327331308660714E-2</v>
      </c>
      <c r="T527" s="297">
        <v>8.6659164135825875E-2</v>
      </c>
      <c r="U527" s="297">
        <v>0.10832395516978233</v>
      </c>
      <c r="V527" s="328"/>
      <c r="W527" s="260" t="s">
        <v>200</v>
      </c>
      <c r="X527" s="198" t="s">
        <v>499</v>
      </c>
      <c r="Y527" s="157" t="b">
        <v>1</v>
      </c>
      <c r="Z527" s="157"/>
      <c r="AA527" s="157"/>
      <c r="AB527" s="157"/>
      <c r="AC527" s="157"/>
      <c r="AD527" s="157"/>
      <c r="AE527" s="157"/>
      <c r="AF527" s="157"/>
      <c r="AG527" s="157"/>
      <c r="AH527" s="157"/>
      <c r="AI527" s="157"/>
      <c r="AJ527" s="157"/>
      <c r="AK527" s="157"/>
      <c r="AL527" s="157"/>
      <c r="AM527" s="157"/>
      <c r="AN527" s="157"/>
      <c r="AO527" s="157"/>
      <c r="AP527" s="157"/>
    </row>
    <row r="528" spans="1:42" x14ac:dyDescent="0.25">
      <c r="A528" s="295" t="s">
        <v>96</v>
      </c>
      <c r="B528" s="295" t="s">
        <v>435</v>
      </c>
      <c r="C528" s="295" t="s">
        <v>43</v>
      </c>
      <c r="D528" s="295" t="s">
        <v>281</v>
      </c>
      <c r="E528" s="297">
        <v>2.512338362068964E-3</v>
      </c>
      <c r="F528" s="297">
        <v>3.3497844827586197E-3</v>
      </c>
      <c r="G528" s="297">
        <v>4.4663793103448274E-3</v>
      </c>
      <c r="H528" s="297">
        <v>5.9551724137931047E-3</v>
      </c>
      <c r="I528" s="297">
        <v>7.4439655172413794E-3</v>
      </c>
      <c r="J528" s="297">
        <v>9.3049568965517231E-3</v>
      </c>
      <c r="K528" s="297">
        <v>1.1631196120689653E-2</v>
      </c>
      <c r="L528" s="297">
        <v>1.4538995150862063E-2</v>
      </c>
      <c r="M528" s="297">
        <v>1.8173743938577576E-2</v>
      </c>
      <c r="N528" s="297">
        <v>2.2717179923221965E-2</v>
      </c>
      <c r="O528" s="297">
        <v>2.8396474904027452E-2</v>
      </c>
      <c r="P528" s="297">
        <v>3.5495593630034308E-2</v>
      </c>
      <c r="Q528" s="297">
        <v>4.4369492037542875E-2</v>
      </c>
      <c r="R528" s="297">
        <v>5.5461865046928585E-2</v>
      </c>
      <c r="S528" s="297">
        <v>6.9327331308660714E-2</v>
      </c>
      <c r="T528" s="297">
        <v>8.6659164135825875E-2</v>
      </c>
      <c r="U528" s="297">
        <v>0.10832395516978233</v>
      </c>
      <c r="V528" s="328"/>
      <c r="W528" s="260" t="s">
        <v>200</v>
      </c>
      <c r="X528" s="198" t="s">
        <v>499</v>
      </c>
      <c r="Y528" s="157" t="b">
        <v>1</v>
      </c>
      <c r="Z528" s="157"/>
      <c r="AA528" s="157"/>
      <c r="AB528" s="157"/>
      <c r="AC528" s="157"/>
      <c r="AD528" s="157"/>
      <c r="AE528" s="157"/>
      <c r="AF528" s="157"/>
      <c r="AG528" s="157"/>
      <c r="AH528" s="157"/>
      <c r="AI528" s="157"/>
      <c r="AJ528" s="157"/>
      <c r="AK528" s="157"/>
      <c r="AL528" s="157"/>
      <c r="AM528" s="157"/>
      <c r="AN528" s="157"/>
      <c r="AO528" s="157"/>
      <c r="AP528" s="157"/>
    </row>
    <row r="529" spans="1:42" x14ac:dyDescent="0.25">
      <c r="A529" s="295" t="s">
        <v>96</v>
      </c>
      <c r="B529" s="295" t="s">
        <v>435</v>
      </c>
      <c r="C529" s="295" t="s">
        <v>43</v>
      </c>
      <c r="D529" s="295" t="s">
        <v>282</v>
      </c>
      <c r="E529" s="297">
        <v>2.512338362068964E-3</v>
      </c>
      <c r="F529" s="297">
        <v>3.3497844827586197E-3</v>
      </c>
      <c r="G529" s="297">
        <v>4.4663793103448274E-3</v>
      </c>
      <c r="H529" s="297">
        <v>5.9551724137931047E-3</v>
      </c>
      <c r="I529" s="297">
        <v>7.4439655172413794E-3</v>
      </c>
      <c r="J529" s="297">
        <v>9.3049568965517231E-3</v>
      </c>
      <c r="K529" s="297">
        <v>1.1631196120689653E-2</v>
      </c>
      <c r="L529" s="297">
        <v>1.4538995150862063E-2</v>
      </c>
      <c r="M529" s="297">
        <v>1.8173743938577576E-2</v>
      </c>
      <c r="N529" s="297">
        <v>2.2717179923221965E-2</v>
      </c>
      <c r="O529" s="297">
        <v>2.8396474904027452E-2</v>
      </c>
      <c r="P529" s="297">
        <v>3.5495593630034308E-2</v>
      </c>
      <c r="Q529" s="297">
        <v>4.4369492037542875E-2</v>
      </c>
      <c r="R529" s="297">
        <v>5.5461865046928585E-2</v>
      </c>
      <c r="S529" s="297">
        <v>6.9327331308660714E-2</v>
      </c>
      <c r="T529" s="297">
        <v>8.6659164135825875E-2</v>
      </c>
      <c r="U529" s="297">
        <v>0.10832395516978233</v>
      </c>
      <c r="V529" s="328"/>
      <c r="W529" s="260" t="s">
        <v>200</v>
      </c>
      <c r="X529" s="198" t="s">
        <v>499</v>
      </c>
      <c r="Y529" s="157" t="b">
        <v>1</v>
      </c>
      <c r="Z529" s="157"/>
      <c r="AA529" s="157"/>
      <c r="AB529" s="157"/>
      <c r="AC529" s="157"/>
      <c r="AD529" s="157"/>
      <c r="AE529" s="157"/>
      <c r="AF529" s="157"/>
      <c r="AG529" s="157"/>
      <c r="AH529" s="157"/>
      <c r="AI529" s="157"/>
      <c r="AJ529" s="157"/>
      <c r="AK529" s="157"/>
      <c r="AL529" s="157"/>
      <c r="AM529" s="157"/>
      <c r="AN529" s="157"/>
      <c r="AO529" s="157"/>
      <c r="AP529" s="157"/>
    </row>
    <row r="530" spans="1:42" x14ac:dyDescent="0.25">
      <c r="A530" s="295" t="s">
        <v>96</v>
      </c>
      <c r="B530" s="295" t="s">
        <v>435</v>
      </c>
      <c r="C530" s="295" t="s">
        <v>44</v>
      </c>
      <c r="D530" s="295" t="s">
        <v>276</v>
      </c>
      <c r="E530" s="297">
        <v>2.512338362068964E-3</v>
      </c>
      <c r="F530" s="297">
        <v>3.3497844827586197E-3</v>
      </c>
      <c r="G530" s="297">
        <v>4.4663793103448274E-3</v>
      </c>
      <c r="H530" s="297">
        <v>5.9551724137931047E-3</v>
      </c>
      <c r="I530" s="297">
        <v>7.4439655172413794E-3</v>
      </c>
      <c r="J530" s="297">
        <v>9.3049568965517231E-3</v>
      </c>
      <c r="K530" s="297">
        <v>1.1631196120689653E-2</v>
      </c>
      <c r="L530" s="297">
        <v>1.4538995150862063E-2</v>
      </c>
      <c r="M530" s="297">
        <v>1.8173743938577576E-2</v>
      </c>
      <c r="N530" s="297">
        <v>2.2717179923221965E-2</v>
      </c>
      <c r="O530" s="297">
        <v>2.8396474904027452E-2</v>
      </c>
      <c r="P530" s="297">
        <v>3.5495593630034308E-2</v>
      </c>
      <c r="Q530" s="297">
        <v>4.4369492037542875E-2</v>
      </c>
      <c r="R530" s="297">
        <v>5.5461865046928585E-2</v>
      </c>
      <c r="S530" s="297">
        <v>6.9327331308660714E-2</v>
      </c>
      <c r="T530" s="297">
        <v>8.6659164135825875E-2</v>
      </c>
      <c r="U530" s="297">
        <v>0.10832395516978233</v>
      </c>
      <c r="V530" s="328"/>
      <c r="W530" s="260" t="s">
        <v>200</v>
      </c>
      <c r="X530" s="198" t="s">
        <v>499</v>
      </c>
      <c r="Y530" s="157" t="b">
        <v>1</v>
      </c>
      <c r="Z530" s="157"/>
      <c r="AA530" s="157"/>
      <c r="AB530" s="157"/>
      <c r="AC530" s="157"/>
      <c r="AD530" s="157"/>
      <c r="AE530" s="157"/>
      <c r="AF530" s="157"/>
      <c r="AG530" s="157"/>
      <c r="AH530" s="157"/>
      <c r="AI530" s="157"/>
      <c r="AJ530" s="157"/>
      <c r="AK530" s="157"/>
      <c r="AL530" s="157"/>
      <c r="AM530" s="157"/>
      <c r="AN530" s="157"/>
      <c r="AO530" s="157"/>
      <c r="AP530" s="157"/>
    </row>
    <row r="531" spans="1:42" x14ac:dyDescent="0.25">
      <c r="A531" s="295" t="s">
        <v>96</v>
      </c>
      <c r="B531" s="295" t="s">
        <v>435</v>
      </c>
      <c r="C531" s="295" t="s">
        <v>44</v>
      </c>
      <c r="D531" s="295" t="s">
        <v>279</v>
      </c>
      <c r="E531" s="297">
        <v>2.512338362068964E-3</v>
      </c>
      <c r="F531" s="297">
        <v>3.3497844827586197E-3</v>
      </c>
      <c r="G531" s="297">
        <v>4.4663793103448274E-3</v>
      </c>
      <c r="H531" s="297">
        <v>5.9551724137931047E-3</v>
      </c>
      <c r="I531" s="297">
        <v>7.4439655172413794E-3</v>
      </c>
      <c r="J531" s="297">
        <v>9.3049568965517231E-3</v>
      </c>
      <c r="K531" s="297">
        <v>1.1631196120689653E-2</v>
      </c>
      <c r="L531" s="297">
        <v>1.4538995150862063E-2</v>
      </c>
      <c r="M531" s="297">
        <v>1.8173743938577576E-2</v>
      </c>
      <c r="N531" s="297">
        <v>2.2717179923221965E-2</v>
      </c>
      <c r="O531" s="297">
        <v>2.8396474904027452E-2</v>
      </c>
      <c r="P531" s="297">
        <v>3.5495593630034308E-2</v>
      </c>
      <c r="Q531" s="297">
        <v>4.4369492037542875E-2</v>
      </c>
      <c r="R531" s="297">
        <v>5.5461865046928585E-2</v>
      </c>
      <c r="S531" s="297">
        <v>6.9327331308660714E-2</v>
      </c>
      <c r="T531" s="297">
        <v>8.6659164135825875E-2</v>
      </c>
      <c r="U531" s="297">
        <v>0.10832395516978233</v>
      </c>
      <c r="V531" s="328"/>
      <c r="W531" s="260" t="s">
        <v>200</v>
      </c>
      <c r="X531" s="198" t="s">
        <v>499</v>
      </c>
      <c r="Y531" s="157" t="b">
        <v>1</v>
      </c>
      <c r="Z531" s="157"/>
      <c r="AA531" s="157"/>
      <c r="AB531" s="157"/>
      <c r="AC531" s="157"/>
      <c r="AD531" s="157"/>
      <c r="AE531" s="157"/>
      <c r="AF531" s="157"/>
      <c r="AG531" s="157"/>
      <c r="AH531" s="157"/>
      <c r="AI531" s="157"/>
      <c r="AJ531" s="157"/>
      <c r="AK531" s="157"/>
      <c r="AL531" s="157"/>
      <c r="AM531" s="157"/>
      <c r="AN531" s="157"/>
      <c r="AO531" s="157"/>
      <c r="AP531" s="157"/>
    </row>
    <row r="532" spans="1:42" x14ac:dyDescent="0.25">
      <c r="A532" s="295" t="s">
        <v>96</v>
      </c>
      <c r="B532" s="295" t="s">
        <v>435</v>
      </c>
      <c r="C532" s="295" t="s">
        <v>44</v>
      </c>
      <c r="D532" s="295" t="s">
        <v>281</v>
      </c>
      <c r="E532" s="297">
        <v>2.512338362068964E-3</v>
      </c>
      <c r="F532" s="297">
        <v>3.3497844827586197E-3</v>
      </c>
      <c r="G532" s="297">
        <v>4.4663793103448274E-3</v>
      </c>
      <c r="H532" s="297">
        <v>5.9551724137931047E-3</v>
      </c>
      <c r="I532" s="297">
        <v>7.4439655172413794E-3</v>
      </c>
      <c r="J532" s="297">
        <v>9.3049568965517231E-3</v>
      </c>
      <c r="K532" s="297">
        <v>1.1631196120689653E-2</v>
      </c>
      <c r="L532" s="297">
        <v>1.4538995150862063E-2</v>
      </c>
      <c r="M532" s="297">
        <v>1.8173743938577576E-2</v>
      </c>
      <c r="N532" s="297">
        <v>2.2717179923221965E-2</v>
      </c>
      <c r="O532" s="297">
        <v>2.8396474904027452E-2</v>
      </c>
      <c r="P532" s="297">
        <v>3.5495593630034308E-2</v>
      </c>
      <c r="Q532" s="297">
        <v>4.4369492037542875E-2</v>
      </c>
      <c r="R532" s="297">
        <v>5.5461865046928585E-2</v>
      </c>
      <c r="S532" s="297">
        <v>6.9327331308660714E-2</v>
      </c>
      <c r="T532" s="297">
        <v>8.6659164135825875E-2</v>
      </c>
      <c r="U532" s="297">
        <v>0.10832395516978233</v>
      </c>
      <c r="V532" s="328"/>
      <c r="W532" s="260" t="s">
        <v>200</v>
      </c>
      <c r="X532" s="198" t="s">
        <v>499</v>
      </c>
      <c r="Y532" s="157" t="b">
        <v>1</v>
      </c>
      <c r="Z532" s="157"/>
      <c r="AA532" s="157"/>
      <c r="AB532" s="157"/>
      <c r="AC532" s="157"/>
      <c r="AD532" s="157"/>
      <c r="AE532" s="157"/>
      <c r="AF532" s="157"/>
      <c r="AG532" s="157"/>
      <c r="AH532" s="157"/>
      <c r="AI532" s="157"/>
      <c r="AJ532" s="157"/>
      <c r="AK532" s="157"/>
      <c r="AL532" s="157"/>
      <c r="AM532" s="157"/>
      <c r="AN532" s="157"/>
      <c r="AO532" s="157"/>
      <c r="AP532" s="157"/>
    </row>
    <row r="533" spans="1:42" ht="27.6" x14ac:dyDescent="0.25">
      <c r="A533" s="295" t="s">
        <v>97</v>
      </c>
      <c r="B533" s="295" t="s">
        <v>435</v>
      </c>
      <c r="C533" s="295" t="s">
        <v>41</v>
      </c>
      <c r="D533" s="295" t="s">
        <v>280</v>
      </c>
      <c r="E533" s="297">
        <v>0.5</v>
      </c>
      <c r="F533" s="297">
        <v>0.5</v>
      </c>
      <c r="G533" s="297">
        <v>0.5</v>
      </c>
      <c r="H533" s="297">
        <v>0.5</v>
      </c>
      <c r="I533" s="297">
        <v>0.5</v>
      </c>
      <c r="J533" s="297">
        <v>0.5</v>
      </c>
      <c r="K533" s="297">
        <v>0.5</v>
      </c>
      <c r="L533" s="297">
        <v>0.5</v>
      </c>
      <c r="M533" s="297">
        <v>0.5</v>
      </c>
      <c r="N533" s="297">
        <v>0.5</v>
      </c>
      <c r="O533" s="297">
        <v>0.5</v>
      </c>
      <c r="P533" s="297">
        <v>0.5</v>
      </c>
      <c r="Q533" s="297">
        <v>0.5</v>
      </c>
      <c r="R533" s="297">
        <v>0.5</v>
      </c>
      <c r="S533" s="297">
        <v>0.5</v>
      </c>
      <c r="T533" s="297">
        <v>0.5</v>
      </c>
      <c r="U533" s="297">
        <v>0.5</v>
      </c>
      <c r="V533" s="328" t="s">
        <v>309</v>
      </c>
      <c r="W533" s="260" t="s">
        <v>200</v>
      </c>
      <c r="X533" s="198" t="s">
        <v>500</v>
      </c>
      <c r="Y533" s="157" t="b">
        <v>0</v>
      </c>
      <c r="Z533" s="157"/>
      <c r="AA533" s="157"/>
      <c r="AB533" s="157"/>
      <c r="AC533" s="157"/>
      <c r="AD533" s="157"/>
      <c r="AE533" s="157"/>
      <c r="AF533" s="157"/>
      <c r="AG533" s="157"/>
      <c r="AH533" s="157"/>
      <c r="AI533" s="157"/>
      <c r="AJ533" s="157"/>
      <c r="AK533" s="157"/>
      <c r="AL533" s="157"/>
      <c r="AM533" s="157"/>
      <c r="AN533" s="157"/>
      <c r="AO533" s="157"/>
      <c r="AP533" s="157"/>
    </row>
    <row r="534" spans="1:42" x14ac:dyDescent="0.25">
      <c r="A534" s="295" t="s">
        <v>97</v>
      </c>
      <c r="B534" s="295" t="s">
        <v>435</v>
      </c>
      <c r="C534" s="295" t="s">
        <v>41</v>
      </c>
      <c r="D534" s="295" t="s">
        <v>282</v>
      </c>
      <c r="E534" s="297">
        <v>0.5</v>
      </c>
      <c r="F534" s="297">
        <v>0.5</v>
      </c>
      <c r="G534" s="297">
        <v>0.5</v>
      </c>
      <c r="H534" s="297">
        <v>0.5</v>
      </c>
      <c r="I534" s="297">
        <v>0.5</v>
      </c>
      <c r="J534" s="297">
        <v>0.5</v>
      </c>
      <c r="K534" s="297">
        <v>0.5</v>
      </c>
      <c r="L534" s="297">
        <v>0.5</v>
      </c>
      <c r="M534" s="297">
        <v>0.5</v>
      </c>
      <c r="N534" s="297">
        <v>0.5</v>
      </c>
      <c r="O534" s="297">
        <v>0.5</v>
      </c>
      <c r="P534" s="297">
        <v>0.5</v>
      </c>
      <c r="Q534" s="297">
        <v>0.5</v>
      </c>
      <c r="R534" s="297">
        <v>0.5</v>
      </c>
      <c r="S534" s="297">
        <v>0.5</v>
      </c>
      <c r="T534" s="297">
        <v>0.5</v>
      </c>
      <c r="U534" s="297">
        <v>0.5</v>
      </c>
      <c r="V534" s="328"/>
      <c r="W534" s="260" t="s">
        <v>200</v>
      </c>
      <c r="X534" s="198" t="s">
        <v>500</v>
      </c>
      <c r="Y534" s="157" t="b">
        <v>0</v>
      </c>
      <c r="Z534" s="157"/>
      <c r="AA534" s="157"/>
      <c r="AB534" s="157"/>
      <c r="AC534" s="157"/>
      <c r="AD534" s="157"/>
      <c r="AE534" s="157"/>
      <c r="AF534" s="157"/>
      <c r="AG534" s="157"/>
      <c r="AH534" s="157"/>
      <c r="AI534" s="157"/>
      <c r="AJ534" s="157"/>
      <c r="AK534" s="157"/>
      <c r="AL534" s="157"/>
      <c r="AM534" s="157"/>
      <c r="AN534" s="157"/>
      <c r="AO534" s="157"/>
      <c r="AP534" s="157"/>
    </row>
    <row r="535" spans="1:42" x14ac:dyDescent="0.25">
      <c r="A535" s="295" t="s">
        <v>97</v>
      </c>
      <c r="B535" s="295" t="s">
        <v>435</v>
      </c>
      <c r="C535" s="295" t="s">
        <v>43</v>
      </c>
      <c r="D535" s="295" t="s">
        <v>276</v>
      </c>
      <c r="E535" s="297">
        <v>0.5</v>
      </c>
      <c r="F535" s="297">
        <v>0.5</v>
      </c>
      <c r="G535" s="297">
        <v>0.5</v>
      </c>
      <c r="H535" s="297">
        <v>0.5</v>
      </c>
      <c r="I535" s="297">
        <v>0.5</v>
      </c>
      <c r="J535" s="297">
        <v>0.5</v>
      </c>
      <c r="K535" s="297">
        <v>0.5</v>
      </c>
      <c r="L535" s="297">
        <v>0.5</v>
      </c>
      <c r="M535" s="297">
        <v>0.5</v>
      </c>
      <c r="N535" s="297">
        <v>0.5</v>
      </c>
      <c r="O535" s="297">
        <v>0.5</v>
      </c>
      <c r="P535" s="297">
        <v>0.5</v>
      </c>
      <c r="Q535" s="297">
        <v>0.5</v>
      </c>
      <c r="R535" s="297">
        <v>0.5</v>
      </c>
      <c r="S535" s="297">
        <v>0.5</v>
      </c>
      <c r="T535" s="297">
        <v>0.5</v>
      </c>
      <c r="U535" s="297">
        <v>0.5</v>
      </c>
      <c r="V535" s="328"/>
      <c r="W535" s="260" t="s">
        <v>200</v>
      </c>
      <c r="X535" s="198" t="s">
        <v>500</v>
      </c>
      <c r="Y535" s="157" t="b">
        <v>0</v>
      </c>
      <c r="Z535" s="157"/>
      <c r="AA535" s="157"/>
      <c r="AB535" s="157"/>
      <c r="AC535" s="157"/>
      <c r="AD535" s="157"/>
      <c r="AE535" s="157"/>
      <c r="AF535" s="157"/>
      <c r="AG535" s="157"/>
      <c r="AH535" s="157"/>
      <c r="AI535" s="157"/>
      <c r="AJ535" s="157"/>
      <c r="AK535" s="157"/>
      <c r="AL535" s="157"/>
      <c r="AM535" s="157"/>
      <c r="AN535" s="157"/>
      <c r="AO535" s="157"/>
      <c r="AP535" s="157"/>
    </row>
    <row r="536" spans="1:42" x14ac:dyDescent="0.25">
      <c r="A536" s="295" t="s">
        <v>97</v>
      </c>
      <c r="B536" s="295" t="s">
        <v>435</v>
      </c>
      <c r="C536" s="295" t="s">
        <v>43</v>
      </c>
      <c r="D536" s="295" t="s">
        <v>279</v>
      </c>
      <c r="E536" s="297">
        <v>0.5</v>
      </c>
      <c r="F536" s="297">
        <v>0.5</v>
      </c>
      <c r="G536" s="297">
        <v>0.5</v>
      </c>
      <c r="H536" s="297">
        <v>0.5</v>
      </c>
      <c r="I536" s="297">
        <v>0.5</v>
      </c>
      <c r="J536" s="297">
        <v>0.5</v>
      </c>
      <c r="K536" s="297">
        <v>0.5</v>
      </c>
      <c r="L536" s="297">
        <v>0.5</v>
      </c>
      <c r="M536" s="297">
        <v>0.5</v>
      </c>
      <c r="N536" s="297">
        <v>0.5</v>
      </c>
      <c r="O536" s="297">
        <v>0.5</v>
      </c>
      <c r="P536" s="297">
        <v>0.5</v>
      </c>
      <c r="Q536" s="297">
        <v>0.5</v>
      </c>
      <c r="R536" s="297">
        <v>0.5</v>
      </c>
      <c r="S536" s="297">
        <v>0.5</v>
      </c>
      <c r="T536" s="297">
        <v>0.5</v>
      </c>
      <c r="U536" s="297">
        <v>0.5</v>
      </c>
      <c r="V536" s="328"/>
      <c r="W536" s="260" t="s">
        <v>200</v>
      </c>
      <c r="X536" s="198" t="s">
        <v>500</v>
      </c>
      <c r="Y536" s="157" t="b">
        <v>0</v>
      </c>
      <c r="Z536" s="157"/>
      <c r="AA536" s="157"/>
      <c r="AB536" s="157"/>
      <c r="AC536" s="157"/>
      <c r="AD536" s="157"/>
      <c r="AE536" s="157"/>
      <c r="AF536" s="157"/>
      <c r="AG536" s="157"/>
      <c r="AH536" s="157"/>
      <c r="AI536" s="157"/>
      <c r="AJ536" s="157"/>
      <c r="AK536" s="157"/>
      <c r="AL536" s="157"/>
      <c r="AM536" s="157"/>
      <c r="AN536" s="157"/>
      <c r="AO536" s="157"/>
      <c r="AP536" s="157"/>
    </row>
    <row r="537" spans="1:42" x14ac:dyDescent="0.25">
      <c r="A537" s="295" t="s">
        <v>97</v>
      </c>
      <c r="B537" s="295" t="s">
        <v>435</v>
      </c>
      <c r="C537" s="295" t="s">
        <v>43</v>
      </c>
      <c r="D537" s="295" t="s">
        <v>280</v>
      </c>
      <c r="E537" s="297">
        <v>0.5</v>
      </c>
      <c r="F537" s="297">
        <v>0.5</v>
      </c>
      <c r="G537" s="297">
        <v>0.5</v>
      </c>
      <c r="H537" s="297">
        <v>0.5</v>
      </c>
      <c r="I537" s="297">
        <v>0.5</v>
      </c>
      <c r="J537" s="297">
        <v>0.5</v>
      </c>
      <c r="K537" s="297">
        <v>0.5</v>
      </c>
      <c r="L537" s="297">
        <v>0.5</v>
      </c>
      <c r="M537" s="297">
        <v>0.5</v>
      </c>
      <c r="N537" s="297">
        <v>0.5</v>
      </c>
      <c r="O537" s="297">
        <v>0.5</v>
      </c>
      <c r="P537" s="297">
        <v>0.5</v>
      </c>
      <c r="Q537" s="297">
        <v>0.5</v>
      </c>
      <c r="R537" s="297">
        <v>0.5</v>
      </c>
      <c r="S537" s="297">
        <v>0.5</v>
      </c>
      <c r="T537" s="297">
        <v>0.5</v>
      </c>
      <c r="U537" s="297">
        <v>0.5</v>
      </c>
      <c r="V537" s="328"/>
      <c r="W537" s="260" t="s">
        <v>200</v>
      </c>
      <c r="X537" s="198" t="s">
        <v>500</v>
      </c>
      <c r="Y537" s="157" t="b">
        <v>0</v>
      </c>
      <c r="Z537" s="157"/>
      <c r="AA537" s="157"/>
      <c r="AB537" s="157"/>
      <c r="AC537" s="157"/>
      <c r="AD537" s="157"/>
      <c r="AE537" s="157"/>
      <c r="AF537" s="157"/>
      <c r="AG537" s="157"/>
      <c r="AH537" s="157"/>
      <c r="AI537" s="157"/>
      <c r="AJ537" s="157"/>
      <c r="AK537" s="157"/>
      <c r="AL537" s="157"/>
      <c r="AM537" s="157"/>
      <c r="AN537" s="157"/>
      <c r="AO537" s="157"/>
      <c r="AP537" s="157"/>
    </row>
    <row r="538" spans="1:42" x14ac:dyDescent="0.25">
      <c r="A538" s="295" t="s">
        <v>97</v>
      </c>
      <c r="B538" s="295" t="s">
        <v>435</v>
      </c>
      <c r="C538" s="295" t="s">
        <v>43</v>
      </c>
      <c r="D538" s="295" t="s">
        <v>281</v>
      </c>
      <c r="E538" s="297">
        <v>0.5</v>
      </c>
      <c r="F538" s="297">
        <v>0.5</v>
      </c>
      <c r="G538" s="297">
        <v>0.5</v>
      </c>
      <c r="H538" s="297">
        <v>0.5</v>
      </c>
      <c r="I538" s="297">
        <v>0.5</v>
      </c>
      <c r="J538" s="297">
        <v>0.5</v>
      </c>
      <c r="K538" s="297">
        <v>0.5</v>
      </c>
      <c r="L538" s="297">
        <v>0.5</v>
      </c>
      <c r="M538" s="297">
        <v>0.5</v>
      </c>
      <c r="N538" s="297">
        <v>0.5</v>
      </c>
      <c r="O538" s="297">
        <v>0.5</v>
      </c>
      <c r="P538" s="297">
        <v>0.5</v>
      </c>
      <c r="Q538" s="297">
        <v>0.5</v>
      </c>
      <c r="R538" s="297">
        <v>0.5</v>
      </c>
      <c r="S538" s="297">
        <v>0.5</v>
      </c>
      <c r="T538" s="297">
        <v>0.5</v>
      </c>
      <c r="U538" s="297">
        <v>0.5</v>
      </c>
      <c r="V538" s="328"/>
      <c r="W538" s="260" t="s">
        <v>200</v>
      </c>
      <c r="X538" s="198" t="s">
        <v>500</v>
      </c>
      <c r="Y538" s="157" t="b">
        <v>0</v>
      </c>
      <c r="Z538" s="157"/>
      <c r="AA538" s="157"/>
      <c r="AB538" s="157"/>
      <c r="AC538" s="157"/>
      <c r="AD538" s="157"/>
      <c r="AE538" s="157"/>
      <c r="AF538" s="157"/>
      <c r="AG538" s="157"/>
      <c r="AH538" s="157"/>
      <c r="AI538" s="157"/>
      <c r="AJ538" s="157"/>
      <c r="AK538" s="157"/>
      <c r="AL538" s="157"/>
      <c r="AM538" s="157"/>
      <c r="AN538" s="157"/>
      <c r="AO538" s="157"/>
      <c r="AP538" s="157"/>
    </row>
    <row r="539" spans="1:42" x14ac:dyDescent="0.25">
      <c r="A539" s="295" t="s">
        <v>97</v>
      </c>
      <c r="B539" s="295" t="s">
        <v>435</v>
      </c>
      <c r="C539" s="295" t="s">
        <v>43</v>
      </c>
      <c r="D539" s="295" t="s">
        <v>282</v>
      </c>
      <c r="E539" s="297">
        <v>0.5</v>
      </c>
      <c r="F539" s="297">
        <v>0.5</v>
      </c>
      <c r="G539" s="297">
        <v>0.5</v>
      </c>
      <c r="H539" s="297">
        <v>0.5</v>
      </c>
      <c r="I539" s="297">
        <v>0.5</v>
      </c>
      <c r="J539" s="297">
        <v>0.5</v>
      </c>
      <c r="K539" s="297">
        <v>0.5</v>
      </c>
      <c r="L539" s="297">
        <v>0.5</v>
      </c>
      <c r="M539" s="297">
        <v>0.5</v>
      </c>
      <c r="N539" s="297">
        <v>0.5</v>
      </c>
      <c r="O539" s="297">
        <v>0.5</v>
      </c>
      <c r="P539" s="297">
        <v>0.5</v>
      </c>
      <c r="Q539" s="297">
        <v>0.5</v>
      </c>
      <c r="R539" s="297">
        <v>0.5</v>
      </c>
      <c r="S539" s="297">
        <v>0.5</v>
      </c>
      <c r="T539" s="297">
        <v>0.5</v>
      </c>
      <c r="U539" s="297">
        <v>0.5</v>
      </c>
      <c r="V539" s="328"/>
      <c r="W539" s="260" t="s">
        <v>200</v>
      </c>
      <c r="X539" s="198" t="s">
        <v>500</v>
      </c>
      <c r="Y539" s="157" t="b">
        <v>0</v>
      </c>
      <c r="Z539" s="157"/>
      <c r="AA539" s="157"/>
      <c r="AB539" s="157"/>
      <c r="AC539" s="157"/>
      <c r="AD539" s="157"/>
      <c r="AE539" s="157"/>
      <c r="AF539" s="157"/>
      <c r="AG539" s="157"/>
      <c r="AH539" s="157"/>
      <c r="AI539" s="157"/>
      <c r="AJ539" s="157"/>
      <c r="AK539" s="157"/>
      <c r="AL539" s="157"/>
      <c r="AM539" s="157"/>
      <c r="AN539" s="157"/>
      <c r="AO539" s="157"/>
      <c r="AP539" s="157"/>
    </row>
    <row r="540" spans="1:42" x14ac:dyDescent="0.25">
      <c r="A540" s="295" t="s">
        <v>97</v>
      </c>
      <c r="B540" s="295" t="s">
        <v>435</v>
      </c>
      <c r="C540" s="295" t="s">
        <v>44</v>
      </c>
      <c r="D540" s="295" t="s">
        <v>276</v>
      </c>
      <c r="E540" s="297">
        <v>0.5</v>
      </c>
      <c r="F540" s="297">
        <v>0.5</v>
      </c>
      <c r="G540" s="297">
        <v>0.5</v>
      </c>
      <c r="H540" s="297">
        <v>0.5</v>
      </c>
      <c r="I540" s="297">
        <v>0.5</v>
      </c>
      <c r="J540" s="297">
        <v>0.5</v>
      </c>
      <c r="K540" s="297">
        <v>0.5</v>
      </c>
      <c r="L540" s="297">
        <v>0.5</v>
      </c>
      <c r="M540" s="297">
        <v>0.5</v>
      </c>
      <c r="N540" s="297">
        <v>0.5</v>
      </c>
      <c r="O540" s="297">
        <v>0.5</v>
      </c>
      <c r="P540" s="297">
        <v>0.5</v>
      </c>
      <c r="Q540" s="297">
        <v>0.5</v>
      </c>
      <c r="R540" s="297">
        <v>0.5</v>
      </c>
      <c r="S540" s="297">
        <v>0.5</v>
      </c>
      <c r="T540" s="297">
        <v>0.5</v>
      </c>
      <c r="U540" s="297">
        <v>0.5</v>
      </c>
      <c r="V540" s="328"/>
      <c r="W540" s="260" t="s">
        <v>200</v>
      </c>
      <c r="X540" s="198" t="s">
        <v>500</v>
      </c>
      <c r="Y540" s="157" t="b">
        <v>0</v>
      </c>
      <c r="Z540" s="157"/>
      <c r="AA540" s="157"/>
      <c r="AB540" s="157"/>
      <c r="AC540" s="157"/>
      <c r="AD540" s="157"/>
      <c r="AE540" s="157"/>
      <c r="AF540" s="157"/>
      <c r="AG540" s="157"/>
      <c r="AH540" s="157"/>
      <c r="AI540" s="157"/>
      <c r="AJ540" s="157"/>
      <c r="AK540" s="157"/>
      <c r="AL540" s="157"/>
      <c r="AM540" s="157"/>
      <c r="AN540" s="157"/>
      <c r="AO540" s="157"/>
      <c r="AP540" s="157"/>
    </row>
    <row r="541" spans="1:42" x14ac:dyDescent="0.25">
      <c r="A541" s="295" t="s">
        <v>97</v>
      </c>
      <c r="B541" s="295" t="s">
        <v>435</v>
      </c>
      <c r="C541" s="295" t="s">
        <v>44</v>
      </c>
      <c r="D541" s="295" t="s">
        <v>279</v>
      </c>
      <c r="E541" s="297">
        <v>0.5</v>
      </c>
      <c r="F541" s="297">
        <v>0.5</v>
      </c>
      <c r="G541" s="297">
        <v>0.5</v>
      </c>
      <c r="H541" s="297">
        <v>0.5</v>
      </c>
      <c r="I541" s="297">
        <v>0.5</v>
      </c>
      <c r="J541" s="297">
        <v>0.5</v>
      </c>
      <c r="K541" s="297">
        <v>0.5</v>
      </c>
      <c r="L541" s="297">
        <v>0.5</v>
      </c>
      <c r="M541" s="297">
        <v>0.5</v>
      </c>
      <c r="N541" s="297">
        <v>0.5</v>
      </c>
      <c r="O541" s="297">
        <v>0.5</v>
      </c>
      <c r="P541" s="297">
        <v>0.5</v>
      </c>
      <c r="Q541" s="297">
        <v>0.5</v>
      </c>
      <c r="R541" s="297">
        <v>0.5</v>
      </c>
      <c r="S541" s="297">
        <v>0.5</v>
      </c>
      <c r="T541" s="297">
        <v>0.5</v>
      </c>
      <c r="U541" s="297">
        <v>0.5</v>
      </c>
      <c r="V541" s="328"/>
      <c r="W541" s="260" t="s">
        <v>200</v>
      </c>
      <c r="X541" s="198" t="s">
        <v>500</v>
      </c>
      <c r="Y541" s="157" t="b">
        <v>0</v>
      </c>
      <c r="Z541" s="157"/>
      <c r="AA541" s="157"/>
      <c r="AB541" s="157"/>
      <c r="AC541" s="157"/>
      <c r="AD541" s="157"/>
      <c r="AE541" s="157"/>
      <c r="AF541" s="157"/>
      <c r="AG541" s="157"/>
      <c r="AH541" s="157"/>
      <c r="AI541" s="157"/>
      <c r="AJ541" s="157"/>
      <c r="AK541" s="157"/>
      <c r="AL541" s="157"/>
      <c r="AM541" s="157"/>
      <c r="AN541" s="157"/>
      <c r="AO541" s="157"/>
      <c r="AP541" s="157"/>
    </row>
    <row r="542" spans="1:42" x14ac:dyDescent="0.25">
      <c r="A542" s="295" t="s">
        <v>97</v>
      </c>
      <c r="B542" s="295" t="s">
        <v>435</v>
      </c>
      <c r="C542" s="295" t="s">
        <v>44</v>
      </c>
      <c r="D542" s="295" t="s">
        <v>281</v>
      </c>
      <c r="E542" s="297">
        <v>0.5</v>
      </c>
      <c r="F542" s="297">
        <v>0.5</v>
      </c>
      <c r="G542" s="297">
        <v>0.5</v>
      </c>
      <c r="H542" s="297">
        <v>0.5</v>
      </c>
      <c r="I542" s="297">
        <v>0.5</v>
      </c>
      <c r="J542" s="297">
        <v>0.5</v>
      </c>
      <c r="K542" s="297">
        <v>0.5</v>
      </c>
      <c r="L542" s="297">
        <v>0.5</v>
      </c>
      <c r="M542" s="297">
        <v>0.5</v>
      </c>
      <c r="N542" s="297">
        <v>0.5</v>
      </c>
      <c r="O542" s="297">
        <v>0.5</v>
      </c>
      <c r="P542" s="297">
        <v>0.5</v>
      </c>
      <c r="Q542" s="297">
        <v>0.5</v>
      </c>
      <c r="R542" s="297">
        <v>0.5</v>
      </c>
      <c r="S542" s="297">
        <v>0.5</v>
      </c>
      <c r="T542" s="297">
        <v>0.5</v>
      </c>
      <c r="U542" s="297">
        <v>0.5</v>
      </c>
      <c r="V542" s="328"/>
      <c r="W542" s="260" t="s">
        <v>200</v>
      </c>
      <c r="X542" s="198" t="s">
        <v>500</v>
      </c>
      <c r="Y542" s="157" t="b">
        <v>0</v>
      </c>
      <c r="Z542" s="157"/>
      <c r="AA542" s="157"/>
      <c r="AB542" s="157"/>
      <c r="AC542" s="157"/>
      <c r="AD542" s="157"/>
      <c r="AE542" s="157"/>
      <c r="AF542" s="157"/>
      <c r="AG542" s="157"/>
      <c r="AH542" s="157"/>
      <c r="AI542" s="157"/>
      <c r="AJ542" s="157"/>
      <c r="AK542" s="157"/>
      <c r="AL542" s="157"/>
      <c r="AM542" s="157"/>
      <c r="AN542" s="157"/>
      <c r="AO542" s="157"/>
      <c r="AP542" s="157"/>
    </row>
    <row r="543" spans="1:42" ht="14.4" x14ac:dyDescent="0.25">
      <c r="A543" s="295" t="s">
        <v>98</v>
      </c>
      <c r="B543" s="295" t="s">
        <v>435</v>
      </c>
      <c r="C543" s="295" t="s">
        <v>41</v>
      </c>
      <c r="D543" s="295" t="s">
        <v>280</v>
      </c>
      <c r="E543" s="297">
        <v>0</v>
      </c>
      <c r="F543" s="297">
        <v>0</v>
      </c>
      <c r="G543" s="330">
        <v>0</v>
      </c>
      <c r="H543" s="330">
        <v>0</v>
      </c>
      <c r="I543" s="330">
        <v>0</v>
      </c>
      <c r="J543" s="330">
        <v>0</v>
      </c>
      <c r="K543" s="330">
        <v>0</v>
      </c>
      <c r="L543" s="330">
        <v>0</v>
      </c>
      <c r="M543" s="330">
        <v>0</v>
      </c>
      <c r="N543" s="330">
        <v>0</v>
      </c>
      <c r="O543" s="330">
        <v>0</v>
      </c>
      <c r="P543" s="330">
        <v>0</v>
      </c>
      <c r="Q543" s="330">
        <v>0</v>
      </c>
      <c r="R543" s="330">
        <v>0</v>
      </c>
      <c r="S543" s="330">
        <v>0</v>
      </c>
      <c r="T543" s="330">
        <v>0</v>
      </c>
      <c r="U543" s="330">
        <v>0</v>
      </c>
      <c r="V543" s="328" t="s">
        <v>310</v>
      </c>
      <c r="W543" s="260" t="s">
        <v>200</v>
      </c>
      <c r="X543" s="198" t="s">
        <v>501</v>
      </c>
      <c r="Y543" s="157" t="b">
        <v>1</v>
      </c>
      <c r="Z543" s="157"/>
      <c r="AA543" s="157"/>
      <c r="AB543" s="157"/>
      <c r="AC543" s="157"/>
      <c r="AD543" s="157"/>
      <c r="AE543" s="157"/>
      <c r="AF543" s="157"/>
      <c r="AG543" s="157"/>
      <c r="AH543" s="157"/>
      <c r="AI543" s="157"/>
      <c r="AJ543" s="157"/>
      <c r="AK543" s="157"/>
      <c r="AL543" s="157"/>
      <c r="AM543" s="157"/>
      <c r="AN543" s="157"/>
      <c r="AO543" s="157"/>
      <c r="AP543" s="157"/>
    </row>
    <row r="544" spans="1:42" ht="14.4" x14ac:dyDescent="0.25">
      <c r="A544" s="295" t="s">
        <v>98</v>
      </c>
      <c r="B544" s="295" t="s">
        <v>435</v>
      </c>
      <c r="C544" s="295" t="s">
        <v>41</v>
      </c>
      <c r="D544" s="295" t="s">
        <v>282</v>
      </c>
      <c r="E544" s="297">
        <v>0</v>
      </c>
      <c r="F544" s="297">
        <v>0</v>
      </c>
      <c r="G544" s="330">
        <v>0</v>
      </c>
      <c r="H544" s="330">
        <v>0</v>
      </c>
      <c r="I544" s="330">
        <v>0</v>
      </c>
      <c r="J544" s="330">
        <v>0</v>
      </c>
      <c r="K544" s="330">
        <v>0</v>
      </c>
      <c r="L544" s="330">
        <v>0</v>
      </c>
      <c r="M544" s="330">
        <v>0</v>
      </c>
      <c r="N544" s="330">
        <v>0</v>
      </c>
      <c r="O544" s="330">
        <v>0</v>
      </c>
      <c r="P544" s="330">
        <v>0</v>
      </c>
      <c r="Q544" s="330">
        <v>0</v>
      </c>
      <c r="R544" s="330">
        <v>0</v>
      </c>
      <c r="S544" s="330">
        <v>0</v>
      </c>
      <c r="T544" s="330">
        <v>0</v>
      </c>
      <c r="U544" s="330">
        <v>0</v>
      </c>
      <c r="V544" s="328"/>
      <c r="W544" s="260" t="s">
        <v>200</v>
      </c>
      <c r="X544" s="198" t="s">
        <v>501</v>
      </c>
      <c r="Y544" s="157" t="b">
        <v>1</v>
      </c>
      <c r="Z544" s="157"/>
      <c r="AA544" s="157"/>
      <c r="AB544" s="157"/>
      <c r="AC544" s="157"/>
      <c r="AD544" s="157"/>
      <c r="AE544" s="157"/>
      <c r="AF544" s="157"/>
      <c r="AG544" s="157"/>
      <c r="AH544" s="157"/>
      <c r="AI544" s="157"/>
      <c r="AJ544" s="157"/>
      <c r="AK544" s="157"/>
      <c r="AL544" s="157"/>
      <c r="AM544" s="157"/>
      <c r="AN544" s="157"/>
      <c r="AO544" s="157"/>
      <c r="AP544" s="157"/>
    </row>
    <row r="545" spans="1:42" ht="14.4" x14ac:dyDescent="0.25">
      <c r="A545" s="295" t="s">
        <v>98</v>
      </c>
      <c r="B545" s="295" t="s">
        <v>435</v>
      </c>
      <c r="C545" s="295" t="s">
        <v>43</v>
      </c>
      <c r="D545" s="295" t="s">
        <v>276</v>
      </c>
      <c r="E545" s="297">
        <v>0</v>
      </c>
      <c r="F545" s="297">
        <v>0</v>
      </c>
      <c r="G545" s="330">
        <v>0</v>
      </c>
      <c r="H545" s="330">
        <v>0</v>
      </c>
      <c r="I545" s="330">
        <v>0</v>
      </c>
      <c r="J545" s="330">
        <v>0</v>
      </c>
      <c r="K545" s="330">
        <v>0</v>
      </c>
      <c r="L545" s="330">
        <v>0</v>
      </c>
      <c r="M545" s="330">
        <v>0</v>
      </c>
      <c r="N545" s="330">
        <v>0</v>
      </c>
      <c r="O545" s="330">
        <v>0</v>
      </c>
      <c r="P545" s="330">
        <v>0</v>
      </c>
      <c r="Q545" s="330">
        <v>0</v>
      </c>
      <c r="R545" s="330">
        <v>0</v>
      </c>
      <c r="S545" s="330">
        <v>0</v>
      </c>
      <c r="T545" s="330">
        <v>0</v>
      </c>
      <c r="U545" s="330">
        <v>0</v>
      </c>
      <c r="V545" s="328"/>
      <c r="W545" s="260" t="s">
        <v>200</v>
      </c>
      <c r="X545" s="198" t="s">
        <v>501</v>
      </c>
      <c r="Y545" s="157" t="b">
        <v>1</v>
      </c>
      <c r="Z545" s="157"/>
      <c r="AA545" s="157"/>
      <c r="AB545" s="157"/>
      <c r="AC545" s="157"/>
      <c r="AD545" s="157"/>
      <c r="AE545" s="157"/>
      <c r="AF545" s="157"/>
      <c r="AG545" s="157"/>
      <c r="AH545" s="157"/>
      <c r="AI545" s="157"/>
      <c r="AJ545" s="157"/>
      <c r="AK545" s="157"/>
      <c r="AL545" s="157"/>
      <c r="AM545" s="157"/>
      <c r="AN545" s="157"/>
      <c r="AO545" s="157"/>
      <c r="AP545" s="157"/>
    </row>
    <row r="546" spans="1:42" ht="14.4" x14ac:dyDescent="0.25">
      <c r="A546" s="295" t="s">
        <v>98</v>
      </c>
      <c r="B546" s="295" t="s">
        <v>435</v>
      </c>
      <c r="C546" s="295" t="s">
        <v>43</v>
      </c>
      <c r="D546" s="295" t="s">
        <v>279</v>
      </c>
      <c r="E546" s="297">
        <v>0</v>
      </c>
      <c r="F546" s="297">
        <v>0</v>
      </c>
      <c r="G546" s="330">
        <v>0</v>
      </c>
      <c r="H546" s="330">
        <v>0</v>
      </c>
      <c r="I546" s="330">
        <v>0</v>
      </c>
      <c r="J546" s="330">
        <v>0</v>
      </c>
      <c r="K546" s="330">
        <v>0</v>
      </c>
      <c r="L546" s="330">
        <v>0</v>
      </c>
      <c r="M546" s="330">
        <v>0</v>
      </c>
      <c r="N546" s="330">
        <v>0</v>
      </c>
      <c r="O546" s="330">
        <v>0</v>
      </c>
      <c r="P546" s="330">
        <v>0</v>
      </c>
      <c r="Q546" s="330">
        <v>0</v>
      </c>
      <c r="R546" s="330">
        <v>0</v>
      </c>
      <c r="S546" s="330">
        <v>0</v>
      </c>
      <c r="T546" s="330">
        <v>0</v>
      </c>
      <c r="U546" s="330">
        <v>0</v>
      </c>
      <c r="V546" s="328"/>
      <c r="W546" s="260" t="s">
        <v>200</v>
      </c>
      <c r="X546" s="198" t="s">
        <v>501</v>
      </c>
      <c r="Y546" s="157" t="b">
        <v>1</v>
      </c>
      <c r="Z546" s="157"/>
      <c r="AA546" s="157"/>
      <c r="AB546" s="157"/>
      <c r="AC546" s="157"/>
      <c r="AD546" s="157"/>
      <c r="AE546" s="157"/>
      <c r="AF546" s="157"/>
      <c r="AG546" s="157"/>
      <c r="AH546" s="157"/>
      <c r="AI546" s="157"/>
      <c r="AJ546" s="157"/>
      <c r="AK546" s="157"/>
      <c r="AL546" s="157"/>
      <c r="AM546" s="157"/>
      <c r="AN546" s="157"/>
      <c r="AO546" s="157"/>
      <c r="AP546" s="157"/>
    </row>
    <row r="547" spans="1:42" ht="14.4" x14ac:dyDescent="0.25">
      <c r="A547" s="295" t="s">
        <v>98</v>
      </c>
      <c r="B547" s="295" t="s">
        <v>435</v>
      </c>
      <c r="C547" s="295" t="s">
        <v>43</v>
      </c>
      <c r="D547" s="295" t="s">
        <v>280</v>
      </c>
      <c r="E547" s="297">
        <v>0</v>
      </c>
      <c r="F547" s="297">
        <v>0</v>
      </c>
      <c r="G547" s="330">
        <v>0</v>
      </c>
      <c r="H547" s="330">
        <v>0</v>
      </c>
      <c r="I547" s="330">
        <v>0</v>
      </c>
      <c r="J547" s="330">
        <v>0</v>
      </c>
      <c r="K547" s="330">
        <v>0</v>
      </c>
      <c r="L547" s="330">
        <v>0</v>
      </c>
      <c r="M547" s="330">
        <v>0</v>
      </c>
      <c r="N547" s="330">
        <v>0</v>
      </c>
      <c r="O547" s="330">
        <v>0</v>
      </c>
      <c r="P547" s="330">
        <v>0</v>
      </c>
      <c r="Q547" s="330">
        <v>0</v>
      </c>
      <c r="R547" s="330">
        <v>0</v>
      </c>
      <c r="S547" s="330">
        <v>0</v>
      </c>
      <c r="T547" s="330">
        <v>0</v>
      </c>
      <c r="U547" s="330">
        <v>0</v>
      </c>
      <c r="V547" s="328"/>
      <c r="W547" s="260" t="s">
        <v>200</v>
      </c>
      <c r="X547" s="198" t="s">
        <v>501</v>
      </c>
      <c r="Y547" s="157" t="b">
        <v>1</v>
      </c>
      <c r="Z547" s="157"/>
      <c r="AA547" s="157"/>
      <c r="AB547" s="157"/>
      <c r="AC547" s="157"/>
      <c r="AD547" s="157"/>
      <c r="AE547" s="157"/>
      <c r="AF547" s="157"/>
      <c r="AG547" s="157"/>
      <c r="AH547" s="157"/>
      <c r="AI547" s="157"/>
      <c r="AJ547" s="157"/>
      <c r="AK547" s="157"/>
      <c r="AL547" s="157"/>
      <c r="AM547" s="157"/>
      <c r="AN547" s="157"/>
      <c r="AO547" s="157"/>
      <c r="AP547" s="157"/>
    </row>
    <row r="548" spans="1:42" ht="14.4" x14ac:dyDescent="0.25">
      <c r="A548" s="295" t="s">
        <v>98</v>
      </c>
      <c r="B548" s="295" t="s">
        <v>435</v>
      </c>
      <c r="C548" s="295" t="s">
        <v>43</v>
      </c>
      <c r="D548" s="295" t="s">
        <v>281</v>
      </c>
      <c r="E548" s="297">
        <v>0</v>
      </c>
      <c r="F548" s="297">
        <v>0</v>
      </c>
      <c r="G548" s="330">
        <v>0</v>
      </c>
      <c r="H548" s="330">
        <v>0</v>
      </c>
      <c r="I548" s="330">
        <v>0</v>
      </c>
      <c r="J548" s="330">
        <v>0</v>
      </c>
      <c r="K548" s="330">
        <v>0</v>
      </c>
      <c r="L548" s="330">
        <v>0</v>
      </c>
      <c r="M548" s="330">
        <v>0</v>
      </c>
      <c r="N548" s="330">
        <v>0</v>
      </c>
      <c r="O548" s="330">
        <v>0</v>
      </c>
      <c r="P548" s="330">
        <v>0</v>
      </c>
      <c r="Q548" s="330">
        <v>0</v>
      </c>
      <c r="R548" s="330">
        <v>0</v>
      </c>
      <c r="S548" s="330">
        <v>0</v>
      </c>
      <c r="T548" s="330">
        <v>0</v>
      </c>
      <c r="U548" s="330">
        <v>0</v>
      </c>
      <c r="V548" s="328"/>
      <c r="W548" s="260" t="s">
        <v>200</v>
      </c>
      <c r="X548" s="198" t="s">
        <v>501</v>
      </c>
      <c r="Y548" s="157" t="b">
        <v>1</v>
      </c>
      <c r="Z548" s="157"/>
      <c r="AA548" s="157"/>
      <c r="AB548" s="157"/>
      <c r="AC548" s="157"/>
      <c r="AD548" s="157"/>
      <c r="AE548" s="157"/>
      <c r="AF548" s="157"/>
      <c r="AG548" s="157"/>
      <c r="AH548" s="157"/>
      <c r="AI548" s="157"/>
      <c r="AJ548" s="157"/>
      <c r="AK548" s="157"/>
      <c r="AL548" s="157"/>
      <c r="AM548" s="157"/>
      <c r="AN548" s="157"/>
      <c r="AO548" s="157"/>
      <c r="AP548" s="157"/>
    </row>
    <row r="549" spans="1:42" ht="14.4" x14ac:dyDescent="0.25">
      <c r="A549" s="295" t="s">
        <v>98</v>
      </c>
      <c r="B549" s="295" t="s">
        <v>435</v>
      </c>
      <c r="C549" s="295" t="s">
        <v>43</v>
      </c>
      <c r="D549" s="295" t="s">
        <v>282</v>
      </c>
      <c r="E549" s="297">
        <v>0</v>
      </c>
      <c r="F549" s="297">
        <v>0</v>
      </c>
      <c r="G549" s="330">
        <v>0</v>
      </c>
      <c r="H549" s="330">
        <v>0</v>
      </c>
      <c r="I549" s="330">
        <v>0</v>
      </c>
      <c r="J549" s="330">
        <v>0</v>
      </c>
      <c r="K549" s="330">
        <v>0</v>
      </c>
      <c r="L549" s="330">
        <v>0</v>
      </c>
      <c r="M549" s="330">
        <v>0</v>
      </c>
      <c r="N549" s="330">
        <v>0</v>
      </c>
      <c r="O549" s="330">
        <v>0</v>
      </c>
      <c r="P549" s="330">
        <v>0</v>
      </c>
      <c r="Q549" s="330">
        <v>0</v>
      </c>
      <c r="R549" s="330">
        <v>0</v>
      </c>
      <c r="S549" s="330">
        <v>0</v>
      </c>
      <c r="T549" s="330">
        <v>0</v>
      </c>
      <c r="U549" s="330">
        <v>0</v>
      </c>
      <c r="V549" s="328"/>
      <c r="W549" s="260" t="s">
        <v>200</v>
      </c>
      <c r="X549" s="198" t="s">
        <v>501</v>
      </c>
      <c r="Y549" s="157" t="b">
        <v>1</v>
      </c>
      <c r="Z549" s="157"/>
      <c r="AA549" s="157"/>
      <c r="AB549" s="157"/>
      <c r="AC549" s="157"/>
      <c r="AD549" s="157"/>
      <c r="AE549" s="157"/>
      <c r="AF549" s="157"/>
      <c r="AG549" s="157"/>
      <c r="AH549" s="157"/>
      <c r="AI549" s="157"/>
      <c r="AJ549" s="157"/>
      <c r="AK549" s="157"/>
      <c r="AL549" s="157"/>
      <c r="AM549" s="157"/>
      <c r="AN549" s="157"/>
      <c r="AO549" s="157"/>
      <c r="AP549" s="157"/>
    </row>
    <row r="550" spans="1:42" ht="14.4" x14ac:dyDescent="0.25">
      <c r="A550" s="295" t="s">
        <v>98</v>
      </c>
      <c r="B550" s="295" t="s">
        <v>435</v>
      </c>
      <c r="C550" s="295" t="s">
        <v>44</v>
      </c>
      <c r="D550" s="295" t="s">
        <v>276</v>
      </c>
      <c r="E550" s="297">
        <v>0</v>
      </c>
      <c r="F550" s="297">
        <v>0</v>
      </c>
      <c r="G550" s="330">
        <v>0</v>
      </c>
      <c r="H550" s="330">
        <v>0</v>
      </c>
      <c r="I550" s="330">
        <v>0</v>
      </c>
      <c r="J550" s="330">
        <v>0</v>
      </c>
      <c r="K550" s="330">
        <v>0</v>
      </c>
      <c r="L550" s="330">
        <v>0</v>
      </c>
      <c r="M550" s="330">
        <v>0</v>
      </c>
      <c r="N550" s="330">
        <v>0</v>
      </c>
      <c r="O550" s="330">
        <v>0</v>
      </c>
      <c r="P550" s="330">
        <v>0</v>
      </c>
      <c r="Q550" s="330">
        <v>0</v>
      </c>
      <c r="R550" s="330">
        <v>0</v>
      </c>
      <c r="S550" s="330">
        <v>0</v>
      </c>
      <c r="T550" s="330">
        <v>0</v>
      </c>
      <c r="U550" s="330">
        <v>0</v>
      </c>
      <c r="V550" s="328"/>
      <c r="W550" s="260" t="s">
        <v>200</v>
      </c>
      <c r="X550" s="198" t="s">
        <v>501</v>
      </c>
      <c r="Y550" s="157" t="b">
        <v>1</v>
      </c>
      <c r="Z550" s="157"/>
      <c r="AA550" s="157"/>
      <c r="AB550" s="157"/>
      <c r="AC550" s="157"/>
      <c r="AD550" s="157"/>
      <c r="AE550" s="157"/>
      <c r="AF550" s="157"/>
      <c r="AG550" s="157"/>
      <c r="AH550" s="157"/>
      <c r="AI550" s="157"/>
      <c r="AJ550" s="157"/>
      <c r="AK550" s="157"/>
      <c r="AL550" s="157"/>
      <c r="AM550" s="157"/>
      <c r="AN550" s="157"/>
      <c r="AO550" s="157"/>
      <c r="AP550" s="157"/>
    </row>
    <row r="551" spans="1:42" ht="14.4" x14ac:dyDescent="0.25">
      <c r="A551" s="295" t="s">
        <v>98</v>
      </c>
      <c r="B551" s="295" t="s">
        <v>435</v>
      </c>
      <c r="C551" s="295" t="s">
        <v>44</v>
      </c>
      <c r="D551" s="295" t="s">
        <v>279</v>
      </c>
      <c r="E551" s="297">
        <v>0</v>
      </c>
      <c r="F551" s="297">
        <v>0</v>
      </c>
      <c r="G551" s="330">
        <v>0</v>
      </c>
      <c r="H551" s="330">
        <v>0</v>
      </c>
      <c r="I551" s="330">
        <v>0</v>
      </c>
      <c r="J551" s="330">
        <v>0</v>
      </c>
      <c r="K551" s="330">
        <v>0</v>
      </c>
      <c r="L551" s="330">
        <v>0</v>
      </c>
      <c r="M551" s="330">
        <v>0</v>
      </c>
      <c r="N551" s="330">
        <v>0</v>
      </c>
      <c r="O551" s="330">
        <v>0</v>
      </c>
      <c r="P551" s="330">
        <v>0</v>
      </c>
      <c r="Q551" s="330">
        <v>0</v>
      </c>
      <c r="R551" s="330">
        <v>0</v>
      </c>
      <c r="S551" s="330">
        <v>0</v>
      </c>
      <c r="T551" s="330">
        <v>0</v>
      </c>
      <c r="U551" s="330">
        <v>0</v>
      </c>
      <c r="V551" s="328"/>
      <c r="W551" s="260" t="s">
        <v>200</v>
      </c>
      <c r="X551" s="198" t="s">
        <v>501</v>
      </c>
      <c r="Y551" s="157" t="b">
        <v>1</v>
      </c>
      <c r="Z551" s="157"/>
      <c r="AA551" s="157"/>
      <c r="AB551" s="157"/>
      <c r="AC551" s="157"/>
      <c r="AD551" s="157"/>
      <c r="AE551" s="157"/>
      <c r="AF551" s="157"/>
      <c r="AG551" s="157"/>
      <c r="AH551" s="157"/>
      <c r="AI551" s="157"/>
      <c r="AJ551" s="157"/>
      <c r="AK551" s="157"/>
      <c r="AL551" s="157"/>
      <c r="AM551" s="157"/>
      <c r="AN551" s="157"/>
      <c r="AO551" s="157"/>
      <c r="AP551" s="157"/>
    </row>
    <row r="552" spans="1:42" ht="14.4" x14ac:dyDescent="0.25">
      <c r="A552" s="295" t="s">
        <v>98</v>
      </c>
      <c r="B552" s="295" t="s">
        <v>435</v>
      </c>
      <c r="C552" s="295" t="s">
        <v>44</v>
      </c>
      <c r="D552" s="295" t="s">
        <v>281</v>
      </c>
      <c r="E552" s="297">
        <v>0</v>
      </c>
      <c r="F552" s="297">
        <v>0</v>
      </c>
      <c r="G552" s="330">
        <v>0</v>
      </c>
      <c r="H552" s="330">
        <v>0</v>
      </c>
      <c r="I552" s="330">
        <v>0</v>
      </c>
      <c r="J552" s="330">
        <v>0</v>
      </c>
      <c r="K552" s="330">
        <v>0</v>
      </c>
      <c r="L552" s="330">
        <v>0</v>
      </c>
      <c r="M552" s="330">
        <v>0</v>
      </c>
      <c r="N552" s="330">
        <v>0</v>
      </c>
      <c r="O552" s="330">
        <v>0</v>
      </c>
      <c r="P552" s="330">
        <v>0</v>
      </c>
      <c r="Q552" s="330">
        <v>0</v>
      </c>
      <c r="R552" s="330">
        <v>0</v>
      </c>
      <c r="S552" s="330">
        <v>0</v>
      </c>
      <c r="T552" s="330">
        <v>0</v>
      </c>
      <c r="U552" s="330">
        <v>0</v>
      </c>
      <c r="V552" s="328"/>
      <c r="W552" s="260" t="s">
        <v>200</v>
      </c>
      <c r="X552" s="198" t="s">
        <v>501</v>
      </c>
      <c r="Y552" s="157" t="b">
        <v>1</v>
      </c>
      <c r="Z552" s="157"/>
      <c r="AA552" s="157"/>
      <c r="AB552" s="157"/>
      <c r="AC552" s="157"/>
      <c r="AD552" s="157"/>
      <c r="AE552" s="157"/>
      <c r="AF552" s="157"/>
      <c r="AG552" s="157"/>
      <c r="AH552" s="157"/>
      <c r="AI552" s="157"/>
      <c r="AJ552" s="157"/>
      <c r="AK552" s="157"/>
      <c r="AL552" s="157"/>
      <c r="AM552" s="157"/>
      <c r="AN552" s="157"/>
      <c r="AO552" s="157"/>
      <c r="AP552" s="157"/>
    </row>
    <row r="553" spans="1:42" x14ac:dyDescent="0.25">
      <c r="A553" s="295" t="s">
        <v>99</v>
      </c>
      <c r="B553" s="295" t="s">
        <v>435</v>
      </c>
      <c r="C553" s="295" t="s">
        <v>41</v>
      </c>
      <c r="D553" s="295" t="s">
        <v>280</v>
      </c>
      <c r="E553" s="297">
        <v>0.5</v>
      </c>
      <c r="F553" s="297">
        <v>0.5</v>
      </c>
      <c r="G553" s="297">
        <v>0.5</v>
      </c>
      <c r="H553" s="297">
        <v>0.5</v>
      </c>
      <c r="I553" s="297">
        <v>0.5</v>
      </c>
      <c r="J553" s="297">
        <v>0.5</v>
      </c>
      <c r="K553" s="297">
        <v>0.5</v>
      </c>
      <c r="L553" s="297">
        <v>0.5</v>
      </c>
      <c r="M553" s="297">
        <v>0.5</v>
      </c>
      <c r="N553" s="297">
        <v>0.5</v>
      </c>
      <c r="O553" s="297">
        <v>0.5</v>
      </c>
      <c r="P553" s="297">
        <v>0.5</v>
      </c>
      <c r="Q553" s="297">
        <v>0.5</v>
      </c>
      <c r="R553" s="297">
        <v>0.5</v>
      </c>
      <c r="S553" s="297">
        <v>0.5</v>
      </c>
      <c r="T553" s="297">
        <v>0.5</v>
      </c>
      <c r="U553" s="297">
        <v>0.5</v>
      </c>
      <c r="V553" s="328" t="s">
        <v>311</v>
      </c>
      <c r="W553" s="260" t="s">
        <v>200</v>
      </c>
      <c r="X553" s="198" t="s">
        <v>502</v>
      </c>
      <c r="Y553" s="157" t="b">
        <v>0</v>
      </c>
      <c r="Z553" s="157"/>
      <c r="AA553" s="157"/>
      <c r="AB553" s="157"/>
      <c r="AC553" s="157"/>
      <c r="AD553" s="157"/>
      <c r="AE553" s="157"/>
      <c r="AF553" s="157"/>
      <c r="AG553" s="157"/>
      <c r="AH553" s="157"/>
      <c r="AI553" s="157"/>
      <c r="AJ553" s="157"/>
      <c r="AK553" s="157"/>
      <c r="AL553" s="157"/>
      <c r="AM553" s="157"/>
      <c r="AN553" s="157"/>
      <c r="AO553" s="157"/>
      <c r="AP553" s="157"/>
    </row>
    <row r="554" spans="1:42" x14ac:dyDescent="0.25">
      <c r="A554" s="295" t="s">
        <v>99</v>
      </c>
      <c r="B554" s="295" t="s">
        <v>435</v>
      </c>
      <c r="C554" s="295" t="s">
        <v>41</v>
      </c>
      <c r="D554" s="295" t="s">
        <v>282</v>
      </c>
      <c r="E554" s="297">
        <v>0.5</v>
      </c>
      <c r="F554" s="297">
        <v>0.5</v>
      </c>
      <c r="G554" s="297">
        <v>0.5</v>
      </c>
      <c r="H554" s="297">
        <v>0.5</v>
      </c>
      <c r="I554" s="297">
        <v>0.5</v>
      </c>
      <c r="J554" s="297">
        <v>0.5</v>
      </c>
      <c r="K554" s="297">
        <v>0.5</v>
      </c>
      <c r="L554" s="297">
        <v>0.5</v>
      </c>
      <c r="M554" s="297">
        <v>0.5</v>
      </c>
      <c r="N554" s="297">
        <v>0.5</v>
      </c>
      <c r="O554" s="297">
        <v>0.5</v>
      </c>
      <c r="P554" s="297">
        <v>0.5</v>
      </c>
      <c r="Q554" s="297">
        <v>0.5</v>
      </c>
      <c r="R554" s="297">
        <v>0.5</v>
      </c>
      <c r="S554" s="297">
        <v>0.5</v>
      </c>
      <c r="T554" s="297">
        <v>0.5</v>
      </c>
      <c r="U554" s="297">
        <v>0.5</v>
      </c>
      <c r="V554" s="328"/>
      <c r="W554" s="260" t="s">
        <v>200</v>
      </c>
      <c r="X554" s="198" t="s">
        <v>502</v>
      </c>
      <c r="Y554" s="157" t="b">
        <v>0</v>
      </c>
      <c r="Z554" s="157"/>
      <c r="AA554" s="157"/>
      <c r="AB554" s="157"/>
      <c r="AC554" s="157"/>
      <c r="AD554" s="157"/>
      <c r="AE554" s="157"/>
      <c r="AF554" s="157"/>
      <c r="AG554" s="157"/>
      <c r="AH554" s="157"/>
      <c r="AI554" s="157"/>
      <c r="AJ554" s="157"/>
      <c r="AK554" s="157"/>
      <c r="AL554" s="157"/>
      <c r="AM554" s="157"/>
      <c r="AN554" s="157"/>
      <c r="AO554" s="157"/>
      <c r="AP554" s="157"/>
    </row>
    <row r="555" spans="1:42" x14ac:dyDescent="0.25">
      <c r="A555" s="295" t="s">
        <v>99</v>
      </c>
      <c r="B555" s="295" t="s">
        <v>435</v>
      </c>
      <c r="C555" s="295" t="s">
        <v>43</v>
      </c>
      <c r="D555" s="295" t="s">
        <v>276</v>
      </c>
      <c r="E555" s="297">
        <v>0.5</v>
      </c>
      <c r="F555" s="297">
        <v>0.5</v>
      </c>
      <c r="G555" s="297">
        <v>0.5</v>
      </c>
      <c r="H555" s="297">
        <v>0.5</v>
      </c>
      <c r="I555" s="297">
        <v>0.5</v>
      </c>
      <c r="J555" s="297">
        <v>0.5</v>
      </c>
      <c r="K555" s="297">
        <v>0.5</v>
      </c>
      <c r="L555" s="297">
        <v>0.5</v>
      </c>
      <c r="M555" s="297">
        <v>0.5</v>
      </c>
      <c r="N555" s="297">
        <v>0.5</v>
      </c>
      <c r="O555" s="297">
        <v>0.5</v>
      </c>
      <c r="P555" s="297">
        <v>0.5</v>
      </c>
      <c r="Q555" s="297">
        <v>0.5</v>
      </c>
      <c r="R555" s="297">
        <v>0.5</v>
      </c>
      <c r="S555" s="297">
        <v>0.5</v>
      </c>
      <c r="T555" s="297">
        <v>0.5</v>
      </c>
      <c r="U555" s="297">
        <v>0.5</v>
      </c>
      <c r="V555" s="328"/>
      <c r="W555" s="260" t="s">
        <v>200</v>
      </c>
      <c r="X555" s="198" t="s">
        <v>502</v>
      </c>
      <c r="Y555" s="157" t="b">
        <v>0</v>
      </c>
      <c r="Z555" s="157"/>
      <c r="AA555" s="157"/>
      <c r="AB555" s="157"/>
      <c r="AC555" s="157"/>
      <c r="AD555" s="157"/>
      <c r="AE555" s="157"/>
      <c r="AF555" s="157"/>
      <c r="AG555" s="157"/>
      <c r="AH555" s="157"/>
      <c r="AI555" s="157"/>
      <c r="AJ555" s="157"/>
      <c r="AK555" s="157"/>
      <c r="AL555" s="157"/>
      <c r="AM555" s="157"/>
      <c r="AN555" s="157"/>
      <c r="AO555" s="157"/>
      <c r="AP555" s="157"/>
    </row>
    <row r="556" spans="1:42" x14ac:dyDescent="0.25">
      <c r="A556" s="295" t="s">
        <v>99</v>
      </c>
      <c r="B556" s="295" t="s">
        <v>435</v>
      </c>
      <c r="C556" s="295" t="s">
        <v>43</v>
      </c>
      <c r="D556" s="295" t="s">
        <v>279</v>
      </c>
      <c r="E556" s="297">
        <v>0.5</v>
      </c>
      <c r="F556" s="297">
        <v>0.5</v>
      </c>
      <c r="G556" s="297">
        <v>0.5</v>
      </c>
      <c r="H556" s="297">
        <v>0.5</v>
      </c>
      <c r="I556" s="297">
        <v>0.5</v>
      </c>
      <c r="J556" s="297">
        <v>0.5</v>
      </c>
      <c r="K556" s="297">
        <v>0.5</v>
      </c>
      <c r="L556" s="297">
        <v>0.5</v>
      </c>
      <c r="M556" s="297">
        <v>0.5</v>
      </c>
      <c r="N556" s="297">
        <v>0.5</v>
      </c>
      <c r="O556" s="297">
        <v>0.5</v>
      </c>
      <c r="P556" s="297">
        <v>0.5</v>
      </c>
      <c r="Q556" s="297">
        <v>0.5</v>
      </c>
      <c r="R556" s="297">
        <v>0.5</v>
      </c>
      <c r="S556" s="297">
        <v>0.5</v>
      </c>
      <c r="T556" s="297">
        <v>0.5</v>
      </c>
      <c r="U556" s="297">
        <v>0.5</v>
      </c>
      <c r="V556" s="328"/>
      <c r="W556" s="260" t="s">
        <v>200</v>
      </c>
      <c r="X556" s="198" t="s">
        <v>502</v>
      </c>
      <c r="Y556" s="157" t="b">
        <v>0</v>
      </c>
      <c r="Z556" s="157"/>
      <c r="AA556" s="157"/>
      <c r="AB556" s="157"/>
      <c r="AC556" s="157"/>
      <c r="AD556" s="157"/>
      <c r="AE556" s="157"/>
      <c r="AF556" s="157"/>
      <c r="AG556" s="157"/>
      <c r="AH556" s="157"/>
      <c r="AI556" s="157"/>
      <c r="AJ556" s="157"/>
      <c r="AK556" s="157"/>
      <c r="AL556" s="157"/>
      <c r="AM556" s="157"/>
      <c r="AN556" s="157"/>
      <c r="AO556" s="157"/>
      <c r="AP556" s="157"/>
    </row>
    <row r="557" spans="1:42" x14ac:dyDescent="0.25">
      <c r="A557" s="295" t="s">
        <v>99</v>
      </c>
      <c r="B557" s="295" t="s">
        <v>435</v>
      </c>
      <c r="C557" s="295" t="s">
        <v>43</v>
      </c>
      <c r="D557" s="295" t="s">
        <v>280</v>
      </c>
      <c r="E557" s="297">
        <v>0.5</v>
      </c>
      <c r="F557" s="297">
        <v>0.5</v>
      </c>
      <c r="G557" s="297">
        <v>0.5</v>
      </c>
      <c r="H557" s="297">
        <v>0.5</v>
      </c>
      <c r="I557" s="297">
        <v>0.5</v>
      </c>
      <c r="J557" s="297">
        <v>0.5</v>
      </c>
      <c r="K557" s="297">
        <v>0.5</v>
      </c>
      <c r="L557" s="297">
        <v>0.5</v>
      </c>
      <c r="M557" s="297">
        <v>0.5</v>
      </c>
      <c r="N557" s="297">
        <v>0.5</v>
      </c>
      <c r="O557" s="297">
        <v>0.5</v>
      </c>
      <c r="P557" s="297">
        <v>0.5</v>
      </c>
      <c r="Q557" s="297">
        <v>0.5</v>
      </c>
      <c r="R557" s="297">
        <v>0.5</v>
      </c>
      <c r="S557" s="297">
        <v>0.5</v>
      </c>
      <c r="T557" s="297">
        <v>0.5</v>
      </c>
      <c r="U557" s="297">
        <v>0.5</v>
      </c>
      <c r="V557" s="328"/>
      <c r="W557" s="260" t="s">
        <v>200</v>
      </c>
      <c r="X557" s="198" t="s">
        <v>502</v>
      </c>
      <c r="Y557" s="157" t="b">
        <v>0</v>
      </c>
      <c r="Z557" s="157"/>
      <c r="AA557" s="157"/>
      <c r="AB557" s="157"/>
      <c r="AC557" s="157"/>
      <c r="AD557" s="157"/>
      <c r="AE557" s="157"/>
      <c r="AF557" s="157"/>
      <c r="AG557" s="157"/>
      <c r="AH557" s="157"/>
      <c r="AI557" s="157"/>
      <c r="AJ557" s="157"/>
      <c r="AK557" s="157"/>
      <c r="AL557" s="157"/>
      <c r="AM557" s="157"/>
      <c r="AN557" s="157"/>
      <c r="AO557" s="157"/>
      <c r="AP557" s="157"/>
    </row>
    <row r="558" spans="1:42" x14ac:dyDescent="0.25">
      <c r="A558" s="295" t="s">
        <v>99</v>
      </c>
      <c r="B558" s="295" t="s">
        <v>435</v>
      </c>
      <c r="C558" s="295" t="s">
        <v>43</v>
      </c>
      <c r="D558" s="295" t="s">
        <v>281</v>
      </c>
      <c r="E558" s="297">
        <v>0.5</v>
      </c>
      <c r="F558" s="297">
        <v>0.5</v>
      </c>
      <c r="G558" s="297">
        <v>0.5</v>
      </c>
      <c r="H558" s="297">
        <v>0.5</v>
      </c>
      <c r="I558" s="297">
        <v>0.5</v>
      </c>
      <c r="J558" s="297">
        <v>0.5</v>
      </c>
      <c r="K558" s="297">
        <v>0.5</v>
      </c>
      <c r="L558" s="297">
        <v>0.5</v>
      </c>
      <c r="M558" s="297">
        <v>0.5</v>
      </c>
      <c r="N558" s="297">
        <v>0.5</v>
      </c>
      <c r="O558" s="297">
        <v>0.5</v>
      </c>
      <c r="P558" s="297">
        <v>0.5</v>
      </c>
      <c r="Q558" s="297">
        <v>0.5</v>
      </c>
      <c r="R558" s="297">
        <v>0.5</v>
      </c>
      <c r="S558" s="297">
        <v>0.5</v>
      </c>
      <c r="T558" s="297">
        <v>0.5</v>
      </c>
      <c r="U558" s="297">
        <v>0.5</v>
      </c>
      <c r="V558" s="328"/>
      <c r="W558" s="260" t="s">
        <v>200</v>
      </c>
      <c r="X558" s="198" t="s">
        <v>502</v>
      </c>
      <c r="Y558" s="157" t="b">
        <v>0</v>
      </c>
      <c r="Z558" s="157"/>
      <c r="AA558" s="157"/>
      <c r="AB558" s="157"/>
      <c r="AC558" s="157"/>
      <c r="AD558" s="157"/>
      <c r="AE558" s="157"/>
      <c r="AF558" s="157"/>
      <c r="AG558" s="157"/>
      <c r="AH558" s="157"/>
      <c r="AI558" s="157"/>
      <c r="AJ558" s="157"/>
      <c r="AK558" s="157"/>
      <c r="AL558" s="157"/>
      <c r="AM558" s="157"/>
      <c r="AN558" s="157"/>
      <c r="AO558" s="157"/>
      <c r="AP558" s="157"/>
    </row>
    <row r="559" spans="1:42" x14ac:dyDescent="0.25">
      <c r="A559" s="295" t="s">
        <v>99</v>
      </c>
      <c r="B559" s="295" t="s">
        <v>435</v>
      </c>
      <c r="C559" s="295" t="s">
        <v>43</v>
      </c>
      <c r="D559" s="295" t="s">
        <v>282</v>
      </c>
      <c r="E559" s="297">
        <v>0.5</v>
      </c>
      <c r="F559" s="297">
        <v>0.5</v>
      </c>
      <c r="G559" s="297">
        <v>0.5</v>
      </c>
      <c r="H559" s="297">
        <v>0.5</v>
      </c>
      <c r="I559" s="297">
        <v>0.5</v>
      </c>
      <c r="J559" s="297">
        <v>0.5</v>
      </c>
      <c r="K559" s="297">
        <v>0.5</v>
      </c>
      <c r="L559" s="297">
        <v>0.5</v>
      </c>
      <c r="M559" s="297">
        <v>0.5</v>
      </c>
      <c r="N559" s="297">
        <v>0.5</v>
      </c>
      <c r="O559" s="297">
        <v>0.5</v>
      </c>
      <c r="P559" s="297">
        <v>0.5</v>
      </c>
      <c r="Q559" s="297">
        <v>0.5</v>
      </c>
      <c r="R559" s="297">
        <v>0.5</v>
      </c>
      <c r="S559" s="297">
        <v>0.5</v>
      </c>
      <c r="T559" s="297">
        <v>0.5</v>
      </c>
      <c r="U559" s="297">
        <v>0.5</v>
      </c>
      <c r="V559" s="328"/>
      <c r="W559" s="260" t="s">
        <v>200</v>
      </c>
      <c r="X559" s="198" t="s">
        <v>502</v>
      </c>
      <c r="Y559" s="157" t="b">
        <v>0</v>
      </c>
      <c r="Z559" s="157"/>
      <c r="AA559" s="157"/>
      <c r="AB559" s="157"/>
      <c r="AC559" s="157"/>
      <c r="AD559" s="157"/>
      <c r="AE559" s="157"/>
      <c r="AF559" s="157"/>
      <c r="AG559" s="157"/>
      <c r="AH559" s="157"/>
      <c r="AI559" s="157"/>
      <c r="AJ559" s="157"/>
      <c r="AK559" s="157"/>
      <c r="AL559" s="157"/>
      <c r="AM559" s="157"/>
      <c r="AN559" s="157"/>
      <c r="AO559" s="157"/>
      <c r="AP559" s="157"/>
    </row>
    <row r="560" spans="1:42" x14ac:dyDescent="0.25">
      <c r="A560" s="295" t="s">
        <v>99</v>
      </c>
      <c r="B560" s="295" t="s">
        <v>435</v>
      </c>
      <c r="C560" s="295" t="s">
        <v>44</v>
      </c>
      <c r="D560" s="295" t="s">
        <v>276</v>
      </c>
      <c r="E560" s="297">
        <v>0.5</v>
      </c>
      <c r="F560" s="297">
        <v>0.5</v>
      </c>
      <c r="G560" s="297">
        <v>0.5</v>
      </c>
      <c r="H560" s="297">
        <v>0.5</v>
      </c>
      <c r="I560" s="297">
        <v>0.5</v>
      </c>
      <c r="J560" s="297">
        <v>0.5</v>
      </c>
      <c r="K560" s="297">
        <v>0.5</v>
      </c>
      <c r="L560" s="297">
        <v>0.5</v>
      </c>
      <c r="M560" s="297">
        <v>0.5</v>
      </c>
      <c r="N560" s="297">
        <v>0.5</v>
      </c>
      <c r="O560" s="297">
        <v>0.5</v>
      </c>
      <c r="P560" s="297">
        <v>0.5</v>
      </c>
      <c r="Q560" s="297">
        <v>0.5</v>
      </c>
      <c r="R560" s="297">
        <v>0.5</v>
      </c>
      <c r="S560" s="297">
        <v>0.5</v>
      </c>
      <c r="T560" s="297">
        <v>0.5</v>
      </c>
      <c r="U560" s="297">
        <v>0.5</v>
      </c>
      <c r="V560" s="328"/>
      <c r="W560" s="260" t="s">
        <v>200</v>
      </c>
      <c r="X560" s="198" t="s">
        <v>502</v>
      </c>
      <c r="Y560" s="157" t="b">
        <v>0</v>
      </c>
      <c r="Z560" s="157"/>
      <c r="AA560" s="157"/>
      <c r="AB560" s="157"/>
      <c r="AC560" s="157"/>
      <c r="AD560" s="157"/>
      <c r="AE560" s="157"/>
      <c r="AF560" s="157"/>
      <c r="AG560" s="157"/>
      <c r="AH560" s="157"/>
      <c r="AI560" s="157"/>
      <c r="AJ560" s="157"/>
      <c r="AK560" s="157"/>
      <c r="AL560" s="157"/>
      <c r="AM560" s="157"/>
      <c r="AN560" s="157"/>
      <c r="AO560" s="157"/>
      <c r="AP560" s="157"/>
    </row>
    <row r="561" spans="1:42" x14ac:dyDescent="0.25">
      <c r="A561" s="295" t="s">
        <v>99</v>
      </c>
      <c r="B561" s="295" t="s">
        <v>435</v>
      </c>
      <c r="C561" s="295" t="s">
        <v>44</v>
      </c>
      <c r="D561" s="295" t="s">
        <v>279</v>
      </c>
      <c r="E561" s="297">
        <v>0.5</v>
      </c>
      <c r="F561" s="297">
        <v>0.5</v>
      </c>
      <c r="G561" s="297">
        <v>0.5</v>
      </c>
      <c r="H561" s="297">
        <v>0.5</v>
      </c>
      <c r="I561" s="297">
        <v>0.5</v>
      </c>
      <c r="J561" s="297">
        <v>0.5</v>
      </c>
      <c r="K561" s="297">
        <v>0.5</v>
      </c>
      <c r="L561" s="297">
        <v>0.5</v>
      </c>
      <c r="M561" s="297">
        <v>0.5</v>
      </c>
      <c r="N561" s="297">
        <v>0.5</v>
      </c>
      <c r="O561" s="297">
        <v>0.5</v>
      </c>
      <c r="P561" s="297">
        <v>0.5</v>
      </c>
      <c r="Q561" s="297">
        <v>0.5</v>
      </c>
      <c r="R561" s="297">
        <v>0.5</v>
      </c>
      <c r="S561" s="297">
        <v>0.5</v>
      </c>
      <c r="T561" s="297">
        <v>0.5</v>
      </c>
      <c r="U561" s="297">
        <v>0.5</v>
      </c>
      <c r="V561" s="328"/>
      <c r="W561" s="260" t="s">
        <v>200</v>
      </c>
      <c r="X561" s="198" t="s">
        <v>502</v>
      </c>
      <c r="Y561" s="157" t="b">
        <v>0</v>
      </c>
      <c r="Z561" s="157"/>
      <c r="AA561" s="157"/>
      <c r="AB561" s="157"/>
      <c r="AC561" s="157"/>
      <c r="AD561" s="157"/>
      <c r="AE561" s="157"/>
      <c r="AF561" s="157"/>
      <c r="AG561" s="157"/>
      <c r="AH561" s="157"/>
      <c r="AI561" s="157"/>
      <c r="AJ561" s="157"/>
      <c r="AK561" s="157"/>
      <c r="AL561" s="157"/>
      <c r="AM561" s="157"/>
      <c r="AN561" s="157"/>
      <c r="AO561" s="157"/>
      <c r="AP561" s="157"/>
    </row>
    <row r="562" spans="1:42" x14ac:dyDescent="0.25">
      <c r="A562" s="295" t="s">
        <v>99</v>
      </c>
      <c r="B562" s="295" t="s">
        <v>435</v>
      </c>
      <c r="C562" s="295" t="s">
        <v>44</v>
      </c>
      <c r="D562" s="295" t="s">
        <v>281</v>
      </c>
      <c r="E562" s="297">
        <v>0.5</v>
      </c>
      <c r="F562" s="297">
        <v>0.5</v>
      </c>
      <c r="G562" s="297">
        <v>0.5</v>
      </c>
      <c r="H562" s="297">
        <v>0.5</v>
      </c>
      <c r="I562" s="297">
        <v>0.5</v>
      </c>
      <c r="J562" s="297">
        <v>0.5</v>
      </c>
      <c r="K562" s="297">
        <v>0.5</v>
      </c>
      <c r="L562" s="297">
        <v>0.5</v>
      </c>
      <c r="M562" s="297">
        <v>0.5</v>
      </c>
      <c r="N562" s="297">
        <v>0.5</v>
      </c>
      <c r="O562" s="297">
        <v>0.5</v>
      </c>
      <c r="P562" s="297">
        <v>0.5</v>
      </c>
      <c r="Q562" s="297">
        <v>0.5</v>
      </c>
      <c r="R562" s="297">
        <v>0.5</v>
      </c>
      <c r="S562" s="297">
        <v>0.5</v>
      </c>
      <c r="T562" s="297">
        <v>0.5</v>
      </c>
      <c r="U562" s="297">
        <v>0.5</v>
      </c>
      <c r="V562" s="328"/>
      <c r="W562" s="260" t="s">
        <v>200</v>
      </c>
      <c r="X562" s="198" t="s">
        <v>502</v>
      </c>
      <c r="Y562" s="157" t="b">
        <v>0</v>
      </c>
      <c r="Z562" s="157"/>
      <c r="AA562" s="157"/>
      <c r="AB562" s="157"/>
      <c r="AC562" s="157"/>
      <c r="AD562" s="157"/>
      <c r="AE562" s="157"/>
      <c r="AF562" s="157"/>
      <c r="AG562" s="157"/>
      <c r="AH562" s="157"/>
      <c r="AI562" s="157"/>
      <c r="AJ562" s="157"/>
      <c r="AK562" s="157"/>
      <c r="AL562" s="157"/>
      <c r="AM562" s="157"/>
      <c r="AN562" s="157"/>
      <c r="AO562" s="157"/>
      <c r="AP562" s="157"/>
    </row>
    <row r="563" spans="1:42" x14ac:dyDescent="0.25">
      <c r="A563" s="295" t="s">
        <v>129</v>
      </c>
      <c r="B563" s="295" t="s">
        <v>435</v>
      </c>
      <c r="C563" s="295" t="s">
        <v>41</v>
      </c>
      <c r="D563" s="295" t="s">
        <v>280</v>
      </c>
      <c r="E563" s="297">
        <v>0.5</v>
      </c>
      <c r="F563" s="297">
        <v>0.5</v>
      </c>
      <c r="G563" s="297">
        <v>0.5</v>
      </c>
      <c r="H563" s="297">
        <v>0.5</v>
      </c>
      <c r="I563" s="297">
        <v>0.5</v>
      </c>
      <c r="J563" s="297">
        <v>0.5</v>
      </c>
      <c r="K563" s="297">
        <v>0.5</v>
      </c>
      <c r="L563" s="297">
        <v>0.5</v>
      </c>
      <c r="M563" s="297">
        <v>0.5</v>
      </c>
      <c r="N563" s="297">
        <v>0.5</v>
      </c>
      <c r="O563" s="297">
        <v>0.5</v>
      </c>
      <c r="P563" s="297">
        <v>0.5</v>
      </c>
      <c r="Q563" s="297">
        <v>0.5</v>
      </c>
      <c r="R563" s="297">
        <v>0.5</v>
      </c>
      <c r="S563" s="297">
        <v>0.5</v>
      </c>
      <c r="T563" s="297">
        <v>0.5</v>
      </c>
      <c r="U563" s="297">
        <v>0.5</v>
      </c>
      <c r="V563" s="328"/>
      <c r="W563" s="260" t="s">
        <v>200</v>
      </c>
      <c r="X563" s="198" t="s">
        <v>503</v>
      </c>
      <c r="Y563" s="157" t="b">
        <v>0</v>
      </c>
      <c r="Z563" s="157"/>
      <c r="AA563" s="157"/>
      <c r="AB563" s="157"/>
      <c r="AC563" s="157"/>
      <c r="AD563" s="157"/>
      <c r="AE563" s="157"/>
      <c r="AF563" s="157"/>
      <c r="AG563" s="157"/>
      <c r="AH563" s="157"/>
      <c r="AI563" s="157"/>
      <c r="AJ563" s="157"/>
      <c r="AK563" s="157"/>
      <c r="AL563" s="157"/>
      <c r="AM563" s="157"/>
      <c r="AN563" s="157"/>
      <c r="AO563" s="157"/>
      <c r="AP563" s="157"/>
    </row>
    <row r="564" spans="1:42" x14ac:dyDescent="0.25">
      <c r="A564" s="295" t="s">
        <v>129</v>
      </c>
      <c r="B564" s="295" t="s">
        <v>435</v>
      </c>
      <c r="C564" s="295" t="s">
        <v>41</v>
      </c>
      <c r="D564" s="295" t="s">
        <v>282</v>
      </c>
      <c r="E564" s="297">
        <v>0.5</v>
      </c>
      <c r="F564" s="297">
        <v>0.5</v>
      </c>
      <c r="G564" s="297">
        <v>0.5</v>
      </c>
      <c r="H564" s="297">
        <v>0.5</v>
      </c>
      <c r="I564" s="297">
        <v>0.5</v>
      </c>
      <c r="J564" s="297">
        <v>0.5</v>
      </c>
      <c r="K564" s="297">
        <v>0.5</v>
      </c>
      <c r="L564" s="297">
        <v>0.5</v>
      </c>
      <c r="M564" s="297">
        <v>0.5</v>
      </c>
      <c r="N564" s="297">
        <v>0.5</v>
      </c>
      <c r="O564" s="297">
        <v>0.5</v>
      </c>
      <c r="P564" s="297">
        <v>0.5</v>
      </c>
      <c r="Q564" s="297">
        <v>0.5</v>
      </c>
      <c r="R564" s="297">
        <v>0.5</v>
      </c>
      <c r="S564" s="297">
        <v>0.5</v>
      </c>
      <c r="T564" s="297">
        <v>0.5</v>
      </c>
      <c r="U564" s="297">
        <v>0.5</v>
      </c>
      <c r="V564" s="328"/>
      <c r="W564" s="260" t="s">
        <v>200</v>
      </c>
      <c r="X564" s="198" t="s">
        <v>503</v>
      </c>
      <c r="Y564" s="157" t="b">
        <v>0</v>
      </c>
      <c r="Z564" s="157"/>
      <c r="AA564" s="157"/>
      <c r="AB564" s="157"/>
      <c r="AC564" s="157"/>
      <c r="AD564" s="157"/>
      <c r="AE564" s="157"/>
      <c r="AF564" s="157"/>
      <c r="AG564" s="157"/>
      <c r="AH564" s="157"/>
      <c r="AI564" s="157"/>
      <c r="AJ564" s="157"/>
      <c r="AK564" s="157"/>
      <c r="AL564" s="157"/>
      <c r="AM564" s="157"/>
      <c r="AN564" s="157"/>
      <c r="AO564" s="157"/>
      <c r="AP564" s="157"/>
    </row>
    <row r="565" spans="1:42" x14ac:dyDescent="0.25">
      <c r="A565" s="295" t="s">
        <v>129</v>
      </c>
      <c r="B565" s="295" t="s">
        <v>435</v>
      </c>
      <c r="C565" s="295" t="s">
        <v>43</v>
      </c>
      <c r="D565" s="295" t="s">
        <v>276</v>
      </c>
      <c r="E565" s="297">
        <v>0.5</v>
      </c>
      <c r="F565" s="297">
        <v>0.5</v>
      </c>
      <c r="G565" s="297">
        <v>0.5</v>
      </c>
      <c r="H565" s="297">
        <v>0.5</v>
      </c>
      <c r="I565" s="297">
        <v>0.5</v>
      </c>
      <c r="J565" s="297">
        <v>0.5</v>
      </c>
      <c r="K565" s="297">
        <v>0.5</v>
      </c>
      <c r="L565" s="297">
        <v>0.5</v>
      </c>
      <c r="M565" s="297">
        <v>0.5</v>
      </c>
      <c r="N565" s="297">
        <v>0.5</v>
      </c>
      <c r="O565" s="297">
        <v>0.5</v>
      </c>
      <c r="P565" s="297">
        <v>0.5</v>
      </c>
      <c r="Q565" s="297">
        <v>0.5</v>
      </c>
      <c r="R565" s="297">
        <v>0.5</v>
      </c>
      <c r="S565" s="297">
        <v>0.5</v>
      </c>
      <c r="T565" s="297">
        <v>0.5</v>
      </c>
      <c r="U565" s="297">
        <v>0.5</v>
      </c>
      <c r="V565" s="328"/>
      <c r="W565" s="260" t="s">
        <v>200</v>
      </c>
      <c r="X565" s="198" t="s">
        <v>503</v>
      </c>
      <c r="Y565" s="157" t="b">
        <v>0</v>
      </c>
      <c r="Z565" s="157"/>
      <c r="AA565" s="157"/>
      <c r="AB565" s="157"/>
      <c r="AC565" s="157"/>
      <c r="AD565" s="157"/>
      <c r="AE565" s="157"/>
      <c r="AF565" s="157"/>
      <c r="AG565" s="157"/>
      <c r="AH565" s="157"/>
      <c r="AI565" s="157"/>
      <c r="AJ565" s="157"/>
      <c r="AK565" s="157"/>
      <c r="AL565" s="157"/>
      <c r="AM565" s="157"/>
      <c r="AN565" s="157"/>
      <c r="AO565" s="157"/>
      <c r="AP565" s="157"/>
    </row>
    <row r="566" spans="1:42" x14ac:dyDescent="0.25">
      <c r="A566" s="295" t="s">
        <v>129</v>
      </c>
      <c r="B566" s="295" t="s">
        <v>435</v>
      </c>
      <c r="C566" s="295" t="s">
        <v>43</v>
      </c>
      <c r="D566" s="295" t="s">
        <v>279</v>
      </c>
      <c r="E566" s="297">
        <v>0.5</v>
      </c>
      <c r="F566" s="297">
        <v>0.5</v>
      </c>
      <c r="G566" s="297">
        <v>0.5</v>
      </c>
      <c r="H566" s="297">
        <v>0.5</v>
      </c>
      <c r="I566" s="297">
        <v>0.5</v>
      </c>
      <c r="J566" s="297">
        <v>0.5</v>
      </c>
      <c r="K566" s="297">
        <v>0.5</v>
      </c>
      <c r="L566" s="297">
        <v>0.5</v>
      </c>
      <c r="M566" s="297">
        <v>0.5</v>
      </c>
      <c r="N566" s="297">
        <v>0.5</v>
      </c>
      <c r="O566" s="297">
        <v>0.5</v>
      </c>
      <c r="P566" s="297">
        <v>0.5</v>
      </c>
      <c r="Q566" s="297">
        <v>0.5</v>
      </c>
      <c r="R566" s="297">
        <v>0.5</v>
      </c>
      <c r="S566" s="297">
        <v>0.5</v>
      </c>
      <c r="T566" s="297">
        <v>0.5</v>
      </c>
      <c r="U566" s="297">
        <v>0.5</v>
      </c>
      <c r="V566" s="328"/>
      <c r="W566" s="260" t="s">
        <v>200</v>
      </c>
      <c r="X566" s="198" t="s">
        <v>503</v>
      </c>
      <c r="Y566" s="157" t="b">
        <v>0</v>
      </c>
      <c r="Z566" s="157"/>
      <c r="AA566" s="157"/>
      <c r="AB566" s="157"/>
      <c r="AC566" s="157"/>
      <c r="AD566" s="157"/>
      <c r="AE566" s="157"/>
      <c r="AF566" s="157"/>
      <c r="AG566" s="157"/>
      <c r="AH566" s="157"/>
      <c r="AI566" s="157"/>
      <c r="AJ566" s="157"/>
      <c r="AK566" s="157"/>
      <c r="AL566" s="157"/>
      <c r="AM566" s="157"/>
      <c r="AN566" s="157"/>
      <c r="AO566" s="157"/>
      <c r="AP566" s="157"/>
    </row>
    <row r="567" spans="1:42" x14ac:dyDescent="0.25">
      <c r="A567" s="295" t="s">
        <v>129</v>
      </c>
      <c r="B567" s="295" t="s">
        <v>435</v>
      </c>
      <c r="C567" s="295" t="s">
        <v>43</v>
      </c>
      <c r="D567" s="295" t="s">
        <v>280</v>
      </c>
      <c r="E567" s="297">
        <v>0.5</v>
      </c>
      <c r="F567" s="297">
        <v>0.5</v>
      </c>
      <c r="G567" s="297">
        <v>0.5</v>
      </c>
      <c r="H567" s="297">
        <v>0.5</v>
      </c>
      <c r="I567" s="297">
        <v>0.5</v>
      </c>
      <c r="J567" s="297">
        <v>0.5</v>
      </c>
      <c r="K567" s="297">
        <v>0.5</v>
      </c>
      <c r="L567" s="297">
        <v>0.5</v>
      </c>
      <c r="M567" s="297">
        <v>0.5</v>
      </c>
      <c r="N567" s="297">
        <v>0.5</v>
      </c>
      <c r="O567" s="297">
        <v>0.5</v>
      </c>
      <c r="P567" s="297">
        <v>0.5</v>
      </c>
      <c r="Q567" s="297">
        <v>0.5</v>
      </c>
      <c r="R567" s="297">
        <v>0.5</v>
      </c>
      <c r="S567" s="297">
        <v>0.5</v>
      </c>
      <c r="T567" s="297">
        <v>0.5</v>
      </c>
      <c r="U567" s="297">
        <v>0.5</v>
      </c>
      <c r="V567" s="328"/>
      <c r="W567" s="260" t="s">
        <v>200</v>
      </c>
      <c r="X567" s="198" t="s">
        <v>503</v>
      </c>
      <c r="Y567" s="157" t="b">
        <v>0</v>
      </c>
      <c r="Z567" s="157"/>
      <c r="AA567" s="157"/>
      <c r="AB567" s="157"/>
      <c r="AC567" s="157"/>
      <c r="AD567" s="157"/>
      <c r="AE567" s="157"/>
      <c r="AF567" s="157"/>
      <c r="AG567" s="157"/>
      <c r="AH567" s="157"/>
      <c r="AI567" s="157"/>
      <c r="AJ567" s="157"/>
      <c r="AK567" s="157"/>
      <c r="AL567" s="157"/>
      <c r="AM567" s="157"/>
      <c r="AN567" s="157"/>
      <c r="AO567" s="157"/>
      <c r="AP567" s="157"/>
    </row>
    <row r="568" spans="1:42" x14ac:dyDescent="0.25">
      <c r="A568" s="295" t="s">
        <v>129</v>
      </c>
      <c r="B568" s="295" t="s">
        <v>435</v>
      </c>
      <c r="C568" s="295" t="s">
        <v>43</v>
      </c>
      <c r="D568" s="295" t="s">
        <v>281</v>
      </c>
      <c r="E568" s="297">
        <v>0.5</v>
      </c>
      <c r="F568" s="297">
        <v>0.5</v>
      </c>
      <c r="G568" s="297">
        <v>0.5</v>
      </c>
      <c r="H568" s="297">
        <v>0.5</v>
      </c>
      <c r="I568" s="297">
        <v>0.5</v>
      </c>
      <c r="J568" s="297">
        <v>0.5</v>
      </c>
      <c r="K568" s="297">
        <v>0.5</v>
      </c>
      <c r="L568" s="297">
        <v>0.5</v>
      </c>
      <c r="M568" s="297">
        <v>0.5</v>
      </c>
      <c r="N568" s="297">
        <v>0.5</v>
      </c>
      <c r="O568" s="297">
        <v>0.5</v>
      </c>
      <c r="P568" s="297">
        <v>0.5</v>
      </c>
      <c r="Q568" s="297">
        <v>0.5</v>
      </c>
      <c r="R568" s="297">
        <v>0.5</v>
      </c>
      <c r="S568" s="297">
        <v>0.5</v>
      </c>
      <c r="T568" s="297">
        <v>0.5</v>
      </c>
      <c r="U568" s="297">
        <v>0.5</v>
      </c>
      <c r="V568" s="328"/>
      <c r="W568" s="260" t="s">
        <v>200</v>
      </c>
      <c r="X568" s="198" t="s">
        <v>503</v>
      </c>
      <c r="Y568" s="157" t="b">
        <v>0</v>
      </c>
      <c r="Z568" s="157"/>
      <c r="AA568" s="157"/>
      <c r="AB568" s="157"/>
      <c r="AC568" s="157"/>
      <c r="AD568" s="157"/>
      <c r="AE568" s="157"/>
      <c r="AF568" s="157"/>
      <c r="AG568" s="157"/>
      <c r="AH568" s="157"/>
      <c r="AI568" s="157"/>
      <c r="AJ568" s="157"/>
      <c r="AK568" s="157"/>
      <c r="AL568" s="157"/>
      <c r="AM568" s="157"/>
      <c r="AN568" s="157"/>
      <c r="AO568" s="157"/>
      <c r="AP568" s="157"/>
    </row>
    <row r="569" spans="1:42" x14ac:dyDescent="0.25">
      <c r="A569" s="295" t="s">
        <v>129</v>
      </c>
      <c r="B569" s="295" t="s">
        <v>435</v>
      </c>
      <c r="C569" s="295" t="s">
        <v>43</v>
      </c>
      <c r="D569" s="295" t="s">
        <v>282</v>
      </c>
      <c r="E569" s="297">
        <v>0.5</v>
      </c>
      <c r="F569" s="297">
        <v>0.5</v>
      </c>
      <c r="G569" s="297">
        <v>0.5</v>
      </c>
      <c r="H569" s="297">
        <v>0.5</v>
      </c>
      <c r="I569" s="297">
        <v>0.5</v>
      </c>
      <c r="J569" s="297">
        <v>0.5</v>
      </c>
      <c r="K569" s="297">
        <v>0.5</v>
      </c>
      <c r="L569" s="297">
        <v>0.5</v>
      </c>
      <c r="M569" s="297">
        <v>0.5</v>
      </c>
      <c r="N569" s="297">
        <v>0.5</v>
      </c>
      <c r="O569" s="297">
        <v>0.5</v>
      </c>
      <c r="P569" s="297">
        <v>0.5</v>
      </c>
      <c r="Q569" s="297">
        <v>0.5</v>
      </c>
      <c r="R569" s="297">
        <v>0.5</v>
      </c>
      <c r="S569" s="297">
        <v>0.5</v>
      </c>
      <c r="T569" s="297">
        <v>0.5</v>
      </c>
      <c r="U569" s="297">
        <v>0.5</v>
      </c>
      <c r="V569" s="328"/>
      <c r="W569" s="260" t="s">
        <v>200</v>
      </c>
      <c r="X569" s="198" t="s">
        <v>503</v>
      </c>
      <c r="Y569" s="157" t="b">
        <v>0</v>
      </c>
      <c r="Z569" s="157"/>
      <c r="AA569" s="157"/>
      <c r="AB569" s="157"/>
      <c r="AC569" s="157"/>
      <c r="AD569" s="157"/>
      <c r="AE569" s="157"/>
      <c r="AF569" s="157"/>
      <c r="AG569" s="157"/>
      <c r="AH569" s="157"/>
      <c r="AI569" s="157"/>
      <c r="AJ569" s="157"/>
      <c r="AK569" s="157"/>
      <c r="AL569" s="157"/>
      <c r="AM569" s="157"/>
      <c r="AN569" s="157"/>
      <c r="AO569" s="157"/>
      <c r="AP569" s="157"/>
    </row>
    <row r="570" spans="1:42" x14ac:dyDescent="0.25">
      <c r="A570" s="295" t="s">
        <v>129</v>
      </c>
      <c r="B570" s="295" t="s">
        <v>435</v>
      </c>
      <c r="C570" s="295" t="s">
        <v>44</v>
      </c>
      <c r="D570" s="295" t="s">
        <v>276</v>
      </c>
      <c r="E570" s="297">
        <v>0.5</v>
      </c>
      <c r="F570" s="297">
        <v>0.5</v>
      </c>
      <c r="G570" s="297">
        <v>0.5</v>
      </c>
      <c r="H570" s="297">
        <v>0.5</v>
      </c>
      <c r="I570" s="297">
        <v>0.5</v>
      </c>
      <c r="J570" s="297">
        <v>0.5</v>
      </c>
      <c r="K570" s="297">
        <v>0.5</v>
      </c>
      <c r="L570" s="297">
        <v>0.5</v>
      </c>
      <c r="M570" s="297">
        <v>0.5</v>
      </c>
      <c r="N570" s="297">
        <v>0.5</v>
      </c>
      <c r="O570" s="297">
        <v>0.5</v>
      </c>
      <c r="P570" s="297">
        <v>0.5</v>
      </c>
      <c r="Q570" s="297">
        <v>0.5</v>
      </c>
      <c r="R570" s="297">
        <v>0.5</v>
      </c>
      <c r="S570" s="297">
        <v>0.5</v>
      </c>
      <c r="T570" s="297">
        <v>0.5</v>
      </c>
      <c r="U570" s="297">
        <v>0.5</v>
      </c>
      <c r="V570" s="328"/>
      <c r="W570" s="260" t="s">
        <v>200</v>
      </c>
      <c r="X570" s="198" t="s">
        <v>503</v>
      </c>
      <c r="Y570" s="157" t="b">
        <v>0</v>
      </c>
      <c r="Z570" s="157"/>
      <c r="AA570" s="157"/>
      <c r="AB570" s="157"/>
      <c r="AC570" s="157"/>
      <c r="AD570" s="157"/>
      <c r="AE570" s="157"/>
      <c r="AF570" s="157"/>
      <c r="AG570" s="157"/>
      <c r="AH570" s="157"/>
      <c r="AI570" s="157"/>
      <c r="AJ570" s="157"/>
      <c r="AK570" s="157"/>
      <c r="AL570" s="157"/>
      <c r="AM570" s="157"/>
      <c r="AN570" s="157"/>
      <c r="AO570" s="157"/>
      <c r="AP570" s="157"/>
    </row>
    <row r="571" spans="1:42" x14ac:dyDescent="0.25">
      <c r="A571" s="295" t="s">
        <v>129</v>
      </c>
      <c r="B571" s="295" t="s">
        <v>435</v>
      </c>
      <c r="C571" s="295" t="s">
        <v>44</v>
      </c>
      <c r="D571" s="295" t="s">
        <v>279</v>
      </c>
      <c r="E571" s="297">
        <v>0.5</v>
      </c>
      <c r="F571" s="297">
        <v>0.5</v>
      </c>
      <c r="G571" s="297">
        <v>0.5</v>
      </c>
      <c r="H571" s="297">
        <v>0.5</v>
      </c>
      <c r="I571" s="297">
        <v>0.5</v>
      </c>
      <c r="J571" s="297">
        <v>0.5</v>
      </c>
      <c r="K571" s="297">
        <v>0.5</v>
      </c>
      <c r="L571" s="297">
        <v>0.5</v>
      </c>
      <c r="M571" s="297">
        <v>0.5</v>
      </c>
      <c r="N571" s="297">
        <v>0.5</v>
      </c>
      <c r="O571" s="297">
        <v>0.5</v>
      </c>
      <c r="P571" s="297">
        <v>0.5</v>
      </c>
      <c r="Q571" s="297">
        <v>0.5</v>
      </c>
      <c r="R571" s="297">
        <v>0.5</v>
      </c>
      <c r="S571" s="297">
        <v>0.5</v>
      </c>
      <c r="T571" s="297">
        <v>0.5</v>
      </c>
      <c r="U571" s="297">
        <v>0.5</v>
      </c>
      <c r="V571" s="328"/>
      <c r="W571" s="260" t="s">
        <v>200</v>
      </c>
      <c r="X571" s="198" t="s">
        <v>503</v>
      </c>
      <c r="Y571" s="157" t="b">
        <v>0</v>
      </c>
      <c r="Z571" s="157"/>
      <c r="AA571" s="157"/>
      <c r="AB571" s="157"/>
      <c r="AC571" s="157"/>
      <c r="AD571" s="157"/>
      <c r="AE571" s="157"/>
      <c r="AF571" s="157"/>
      <c r="AG571" s="157"/>
      <c r="AH571" s="157"/>
      <c r="AI571" s="157"/>
      <c r="AJ571" s="157"/>
      <c r="AK571" s="157"/>
      <c r="AL571" s="157"/>
      <c r="AM571" s="157"/>
      <c r="AN571" s="157"/>
      <c r="AO571" s="157"/>
      <c r="AP571" s="157"/>
    </row>
    <row r="572" spans="1:42" x14ac:dyDescent="0.25">
      <c r="A572" s="295" t="s">
        <v>129</v>
      </c>
      <c r="B572" s="295" t="s">
        <v>435</v>
      </c>
      <c r="C572" s="295" t="s">
        <v>44</v>
      </c>
      <c r="D572" s="295" t="s">
        <v>281</v>
      </c>
      <c r="E572" s="297">
        <v>0.5</v>
      </c>
      <c r="F572" s="297">
        <v>0.5</v>
      </c>
      <c r="G572" s="297">
        <v>0.5</v>
      </c>
      <c r="H572" s="297">
        <v>0.5</v>
      </c>
      <c r="I572" s="297">
        <v>0.5</v>
      </c>
      <c r="J572" s="297">
        <v>0.5</v>
      </c>
      <c r="K572" s="297">
        <v>0.5</v>
      </c>
      <c r="L572" s="297">
        <v>0.5</v>
      </c>
      <c r="M572" s="297">
        <v>0.5</v>
      </c>
      <c r="N572" s="297">
        <v>0.5</v>
      </c>
      <c r="O572" s="297">
        <v>0.5</v>
      </c>
      <c r="P572" s="297">
        <v>0.5</v>
      </c>
      <c r="Q572" s="297">
        <v>0.5</v>
      </c>
      <c r="R572" s="297">
        <v>0.5</v>
      </c>
      <c r="S572" s="297">
        <v>0.5</v>
      </c>
      <c r="T572" s="297">
        <v>0.5</v>
      </c>
      <c r="U572" s="297">
        <v>0.5</v>
      </c>
      <c r="V572" s="328"/>
      <c r="W572" s="260" t="s">
        <v>200</v>
      </c>
      <c r="X572" s="198" t="s">
        <v>503</v>
      </c>
      <c r="Y572" s="157" t="b">
        <v>0</v>
      </c>
      <c r="Z572" s="157"/>
      <c r="AA572" s="157"/>
      <c r="AB572" s="157"/>
      <c r="AC572" s="157"/>
      <c r="AD572" s="157"/>
      <c r="AE572" s="157"/>
      <c r="AF572" s="157"/>
      <c r="AG572" s="157"/>
      <c r="AH572" s="157"/>
      <c r="AI572" s="157"/>
      <c r="AJ572" s="157"/>
      <c r="AK572" s="157"/>
      <c r="AL572" s="157"/>
      <c r="AM572" s="157"/>
      <c r="AN572" s="157"/>
      <c r="AO572" s="157"/>
      <c r="AP572" s="157"/>
    </row>
    <row r="573" spans="1:42" x14ac:dyDescent="0.25">
      <c r="A573" s="295" t="s">
        <v>100</v>
      </c>
      <c r="B573" s="295" t="s">
        <v>435</v>
      </c>
      <c r="C573" s="295" t="s">
        <v>43</v>
      </c>
      <c r="D573" s="295" t="s">
        <v>276</v>
      </c>
      <c r="E573" s="297">
        <v>0.5</v>
      </c>
      <c r="F573" s="297">
        <v>0.5</v>
      </c>
      <c r="G573" s="297">
        <v>0.5</v>
      </c>
      <c r="H573" s="297">
        <v>0.5</v>
      </c>
      <c r="I573" s="297">
        <v>0.5</v>
      </c>
      <c r="J573" s="297">
        <v>0.5</v>
      </c>
      <c r="K573" s="297">
        <v>0.5</v>
      </c>
      <c r="L573" s="297">
        <v>0.5</v>
      </c>
      <c r="M573" s="297">
        <v>0.5</v>
      </c>
      <c r="N573" s="297">
        <v>0.5</v>
      </c>
      <c r="O573" s="297">
        <v>0.5</v>
      </c>
      <c r="P573" s="297">
        <v>0.5</v>
      </c>
      <c r="Q573" s="297">
        <v>0.5</v>
      </c>
      <c r="R573" s="297">
        <v>0.5</v>
      </c>
      <c r="S573" s="297">
        <v>0.5</v>
      </c>
      <c r="T573" s="297">
        <v>0.5</v>
      </c>
      <c r="U573" s="297">
        <v>0.5</v>
      </c>
      <c r="V573" s="328"/>
      <c r="W573" s="260" t="s">
        <v>200</v>
      </c>
      <c r="X573" s="198" t="s">
        <v>504</v>
      </c>
      <c r="Y573" s="157" t="b">
        <v>0</v>
      </c>
      <c r="Z573" s="157"/>
      <c r="AA573" s="157"/>
      <c r="AB573" s="157"/>
      <c r="AC573" s="157"/>
      <c r="AD573" s="157"/>
      <c r="AE573" s="157"/>
      <c r="AF573" s="157"/>
      <c r="AG573" s="157"/>
      <c r="AH573" s="157"/>
      <c r="AI573" s="157"/>
      <c r="AJ573" s="157"/>
      <c r="AK573" s="157"/>
      <c r="AL573" s="157"/>
      <c r="AM573" s="157"/>
      <c r="AN573" s="157"/>
      <c r="AO573" s="157"/>
      <c r="AP573" s="157"/>
    </row>
    <row r="574" spans="1:42" x14ac:dyDescent="0.25">
      <c r="A574" s="295" t="s">
        <v>100</v>
      </c>
      <c r="B574" s="295" t="s">
        <v>435</v>
      </c>
      <c r="C574" s="295" t="s">
        <v>44</v>
      </c>
      <c r="D574" s="295" t="s">
        <v>276</v>
      </c>
      <c r="E574" s="297">
        <v>0.5</v>
      </c>
      <c r="F574" s="297">
        <v>0.5</v>
      </c>
      <c r="G574" s="297">
        <v>0.5</v>
      </c>
      <c r="H574" s="297">
        <v>0.5</v>
      </c>
      <c r="I574" s="297">
        <v>0.5</v>
      </c>
      <c r="J574" s="297">
        <v>0.5</v>
      </c>
      <c r="K574" s="297">
        <v>0.5</v>
      </c>
      <c r="L574" s="297">
        <v>0.5</v>
      </c>
      <c r="M574" s="297">
        <v>0.5</v>
      </c>
      <c r="N574" s="297">
        <v>0.5</v>
      </c>
      <c r="O574" s="297">
        <v>0.5</v>
      </c>
      <c r="P574" s="297">
        <v>0.5</v>
      </c>
      <c r="Q574" s="297">
        <v>0.5</v>
      </c>
      <c r="R574" s="297">
        <v>0.5</v>
      </c>
      <c r="S574" s="297">
        <v>0.5</v>
      </c>
      <c r="T574" s="297">
        <v>0.5</v>
      </c>
      <c r="U574" s="297">
        <v>0.5</v>
      </c>
      <c r="V574" s="328"/>
      <c r="W574" s="260" t="s">
        <v>200</v>
      </c>
      <c r="X574" s="198" t="s">
        <v>504</v>
      </c>
      <c r="Y574" s="157" t="b">
        <v>0</v>
      </c>
      <c r="Z574" s="157"/>
      <c r="AA574" s="157"/>
      <c r="AB574" s="157"/>
      <c r="AC574" s="157"/>
      <c r="AD574" s="157"/>
      <c r="AE574" s="157"/>
      <c r="AF574" s="157"/>
      <c r="AG574" s="157"/>
      <c r="AH574" s="157"/>
      <c r="AI574" s="157"/>
      <c r="AJ574" s="157"/>
      <c r="AK574" s="157"/>
      <c r="AL574" s="157"/>
      <c r="AM574" s="157"/>
      <c r="AN574" s="157"/>
      <c r="AO574" s="157"/>
      <c r="AP574" s="157"/>
    </row>
    <row r="575" spans="1:42" x14ac:dyDescent="0.25">
      <c r="A575" s="295" t="s">
        <v>101</v>
      </c>
      <c r="B575" s="295" t="s">
        <v>435</v>
      </c>
      <c r="C575" s="295" t="s">
        <v>44</v>
      </c>
      <c r="D575" s="295" t="s">
        <v>276</v>
      </c>
      <c r="E575" s="297">
        <v>0.5</v>
      </c>
      <c r="F575" s="297">
        <v>0.5</v>
      </c>
      <c r="G575" s="297">
        <v>0.5</v>
      </c>
      <c r="H575" s="297">
        <v>0.5</v>
      </c>
      <c r="I575" s="297">
        <v>0.5</v>
      </c>
      <c r="J575" s="297">
        <v>0.5</v>
      </c>
      <c r="K575" s="297">
        <v>0.5</v>
      </c>
      <c r="L575" s="297">
        <v>0.5</v>
      </c>
      <c r="M575" s="297">
        <v>0.5</v>
      </c>
      <c r="N575" s="297">
        <v>0.5</v>
      </c>
      <c r="O575" s="297">
        <v>0.5</v>
      </c>
      <c r="P575" s="297">
        <v>0.5</v>
      </c>
      <c r="Q575" s="297">
        <v>0.5</v>
      </c>
      <c r="R575" s="297">
        <v>0.5</v>
      </c>
      <c r="S575" s="297">
        <v>0.5</v>
      </c>
      <c r="T575" s="297">
        <v>0.5</v>
      </c>
      <c r="U575" s="297">
        <v>0.5</v>
      </c>
      <c r="V575" s="328"/>
      <c r="W575" s="260" t="s">
        <v>200</v>
      </c>
      <c r="X575" s="198" t="s">
        <v>505</v>
      </c>
      <c r="Y575" s="157" t="b">
        <v>0</v>
      </c>
      <c r="Z575" s="157"/>
      <c r="AA575" s="157"/>
      <c r="AB575" s="157"/>
      <c r="AC575" s="157"/>
      <c r="AD575" s="157"/>
      <c r="AE575" s="157"/>
      <c r="AF575" s="157"/>
      <c r="AG575" s="157"/>
      <c r="AH575" s="157"/>
      <c r="AI575" s="157"/>
      <c r="AJ575" s="157"/>
      <c r="AK575" s="157"/>
      <c r="AL575" s="157"/>
      <c r="AM575" s="157"/>
      <c r="AN575" s="157"/>
      <c r="AO575" s="157"/>
      <c r="AP575" s="157"/>
    </row>
    <row r="576" spans="1:42" x14ac:dyDescent="0.25">
      <c r="A576" s="295" t="s">
        <v>101</v>
      </c>
      <c r="B576" s="295" t="s">
        <v>435</v>
      </c>
      <c r="C576" s="295" t="s">
        <v>44</v>
      </c>
      <c r="D576" s="295" t="s">
        <v>279</v>
      </c>
      <c r="E576" s="297">
        <v>0.5</v>
      </c>
      <c r="F576" s="297">
        <v>0.5</v>
      </c>
      <c r="G576" s="297">
        <v>0.5</v>
      </c>
      <c r="H576" s="297">
        <v>0.5</v>
      </c>
      <c r="I576" s="297">
        <v>0.5</v>
      </c>
      <c r="J576" s="297">
        <v>0.5</v>
      </c>
      <c r="K576" s="297">
        <v>0.5</v>
      </c>
      <c r="L576" s="297">
        <v>0.5</v>
      </c>
      <c r="M576" s="297">
        <v>0.5</v>
      </c>
      <c r="N576" s="297">
        <v>0.5</v>
      </c>
      <c r="O576" s="297">
        <v>0.5</v>
      </c>
      <c r="P576" s="297">
        <v>0.5</v>
      </c>
      <c r="Q576" s="297">
        <v>0.5</v>
      </c>
      <c r="R576" s="297">
        <v>0.5</v>
      </c>
      <c r="S576" s="297">
        <v>0.5</v>
      </c>
      <c r="T576" s="297">
        <v>0.5</v>
      </c>
      <c r="U576" s="297">
        <v>0.5</v>
      </c>
      <c r="V576" s="328"/>
      <c r="W576" s="260" t="s">
        <v>200</v>
      </c>
      <c r="X576" s="198" t="s">
        <v>505</v>
      </c>
      <c r="Y576" s="157" t="b">
        <v>0</v>
      </c>
      <c r="Z576" s="157"/>
      <c r="AA576" s="157"/>
      <c r="AB576" s="157"/>
      <c r="AC576" s="157"/>
      <c r="AD576" s="157"/>
      <c r="AE576" s="157"/>
      <c r="AF576" s="157"/>
      <c r="AG576" s="157"/>
      <c r="AH576" s="157"/>
      <c r="AI576" s="157"/>
      <c r="AJ576" s="157"/>
      <c r="AK576" s="157"/>
      <c r="AL576" s="157"/>
      <c r="AM576" s="157"/>
      <c r="AN576" s="157"/>
      <c r="AO576" s="157"/>
      <c r="AP576" s="157"/>
    </row>
    <row r="577" spans="1:42" x14ac:dyDescent="0.25">
      <c r="A577" s="295" t="s">
        <v>101</v>
      </c>
      <c r="B577" s="295" t="s">
        <v>435</v>
      </c>
      <c r="C577" s="295" t="s">
        <v>44</v>
      </c>
      <c r="D577" s="295" t="s">
        <v>281</v>
      </c>
      <c r="E577" s="297">
        <v>0.5</v>
      </c>
      <c r="F577" s="297">
        <v>0.5</v>
      </c>
      <c r="G577" s="297">
        <v>0.5</v>
      </c>
      <c r="H577" s="297">
        <v>0.5</v>
      </c>
      <c r="I577" s="297">
        <v>0.5</v>
      </c>
      <c r="J577" s="297">
        <v>0.5</v>
      </c>
      <c r="K577" s="297">
        <v>0.5</v>
      </c>
      <c r="L577" s="297">
        <v>0.5</v>
      </c>
      <c r="M577" s="297">
        <v>0.5</v>
      </c>
      <c r="N577" s="297">
        <v>0.5</v>
      </c>
      <c r="O577" s="297">
        <v>0.5</v>
      </c>
      <c r="P577" s="297">
        <v>0.5</v>
      </c>
      <c r="Q577" s="297">
        <v>0.5</v>
      </c>
      <c r="R577" s="297">
        <v>0.5</v>
      </c>
      <c r="S577" s="297">
        <v>0.5</v>
      </c>
      <c r="T577" s="297">
        <v>0.5</v>
      </c>
      <c r="U577" s="297">
        <v>0.5</v>
      </c>
      <c r="V577" s="328"/>
      <c r="W577" s="260" t="s">
        <v>200</v>
      </c>
      <c r="X577" s="198" t="s">
        <v>505</v>
      </c>
      <c r="Y577" s="157" t="b">
        <v>0</v>
      </c>
      <c r="Z577" s="157"/>
      <c r="AA577" s="157"/>
      <c r="AB577" s="157"/>
      <c r="AC577" s="157"/>
      <c r="AD577" s="157"/>
      <c r="AE577" s="157"/>
      <c r="AF577" s="157"/>
      <c r="AG577" s="157"/>
      <c r="AH577" s="157"/>
      <c r="AI577" s="157"/>
      <c r="AJ577" s="157"/>
      <c r="AK577" s="157"/>
      <c r="AL577" s="157"/>
      <c r="AM577" s="157"/>
      <c r="AN577" s="157"/>
      <c r="AO577" s="157"/>
      <c r="AP577" s="157"/>
    </row>
    <row r="578" spans="1:42" x14ac:dyDescent="0.25">
      <c r="A578" s="295" t="s">
        <v>101</v>
      </c>
      <c r="B578" s="295" t="s">
        <v>435</v>
      </c>
      <c r="C578" s="295" t="s">
        <v>41</v>
      </c>
      <c r="D578" s="295" t="s">
        <v>280</v>
      </c>
      <c r="E578" s="297">
        <v>0.5</v>
      </c>
      <c r="F578" s="297">
        <v>0.5</v>
      </c>
      <c r="G578" s="297">
        <v>0.5</v>
      </c>
      <c r="H578" s="297">
        <v>0.5</v>
      </c>
      <c r="I578" s="297">
        <v>0.5</v>
      </c>
      <c r="J578" s="297">
        <v>0.5</v>
      </c>
      <c r="K578" s="297">
        <v>0.5</v>
      </c>
      <c r="L578" s="297">
        <v>0.5</v>
      </c>
      <c r="M578" s="297">
        <v>0.5</v>
      </c>
      <c r="N578" s="297">
        <v>0.5</v>
      </c>
      <c r="O578" s="297">
        <v>0.5</v>
      </c>
      <c r="P578" s="297">
        <v>0.5</v>
      </c>
      <c r="Q578" s="297">
        <v>0.5</v>
      </c>
      <c r="R578" s="297">
        <v>0.5</v>
      </c>
      <c r="S578" s="297">
        <v>0.5</v>
      </c>
      <c r="T578" s="297">
        <v>0.5</v>
      </c>
      <c r="U578" s="297">
        <v>0.5</v>
      </c>
      <c r="V578" s="328"/>
      <c r="W578" s="260" t="s">
        <v>200</v>
      </c>
      <c r="X578" s="198" t="s">
        <v>505</v>
      </c>
      <c r="Y578" s="157" t="b">
        <v>0</v>
      </c>
      <c r="Z578" s="157"/>
      <c r="AA578" s="157"/>
      <c r="AB578" s="157"/>
      <c r="AC578" s="157"/>
      <c r="AD578" s="157"/>
      <c r="AE578" s="157"/>
      <c r="AF578" s="157"/>
      <c r="AG578" s="157"/>
      <c r="AH578" s="157"/>
      <c r="AI578" s="157"/>
      <c r="AJ578" s="157"/>
      <c r="AK578" s="157"/>
      <c r="AL578" s="157"/>
      <c r="AM578" s="157"/>
      <c r="AN578" s="157"/>
      <c r="AO578" s="157"/>
      <c r="AP578" s="157"/>
    </row>
    <row r="579" spans="1:42" x14ac:dyDescent="0.25">
      <c r="A579" s="295" t="s">
        <v>101</v>
      </c>
      <c r="B579" s="295" t="s">
        <v>435</v>
      </c>
      <c r="C579" s="295" t="s">
        <v>41</v>
      </c>
      <c r="D579" s="295" t="s">
        <v>282</v>
      </c>
      <c r="E579" s="297">
        <v>0.5</v>
      </c>
      <c r="F579" s="297">
        <v>0.5</v>
      </c>
      <c r="G579" s="297">
        <v>0.5</v>
      </c>
      <c r="H579" s="297">
        <v>0.5</v>
      </c>
      <c r="I579" s="297">
        <v>0.5</v>
      </c>
      <c r="J579" s="297">
        <v>0.5</v>
      </c>
      <c r="K579" s="297">
        <v>0.5</v>
      </c>
      <c r="L579" s="297">
        <v>0.5</v>
      </c>
      <c r="M579" s="297">
        <v>0.5</v>
      </c>
      <c r="N579" s="297">
        <v>0.5</v>
      </c>
      <c r="O579" s="297">
        <v>0.5</v>
      </c>
      <c r="P579" s="297">
        <v>0.5</v>
      </c>
      <c r="Q579" s="297">
        <v>0.5</v>
      </c>
      <c r="R579" s="297">
        <v>0.5</v>
      </c>
      <c r="S579" s="297">
        <v>0.5</v>
      </c>
      <c r="T579" s="297">
        <v>0.5</v>
      </c>
      <c r="U579" s="297">
        <v>0.5</v>
      </c>
      <c r="V579" s="328"/>
      <c r="W579" s="260" t="s">
        <v>200</v>
      </c>
      <c r="X579" s="198" t="s">
        <v>505</v>
      </c>
      <c r="Y579" s="157" t="b">
        <v>0</v>
      </c>
      <c r="Z579" s="157"/>
      <c r="AA579" s="157"/>
      <c r="AB579" s="157"/>
      <c r="AC579" s="157"/>
      <c r="AD579" s="157"/>
      <c r="AE579" s="157"/>
      <c r="AF579" s="157"/>
      <c r="AG579" s="157"/>
      <c r="AH579" s="157"/>
      <c r="AI579" s="157"/>
      <c r="AJ579" s="157"/>
      <c r="AK579" s="157"/>
      <c r="AL579" s="157"/>
      <c r="AM579" s="157"/>
      <c r="AN579" s="157"/>
      <c r="AO579" s="157"/>
      <c r="AP579" s="157"/>
    </row>
    <row r="580" spans="1:42" x14ac:dyDescent="0.25">
      <c r="A580" s="295" t="s">
        <v>101</v>
      </c>
      <c r="B580" s="295" t="s">
        <v>435</v>
      </c>
      <c r="C580" s="295" t="s">
        <v>43</v>
      </c>
      <c r="D580" s="295" t="s">
        <v>276</v>
      </c>
      <c r="E580" s="297">
        <v>0.5</v>
      </c>
      <c r="F580" s="297">
        <v>0.5</v>
      </c>
      <c r="G580" s="297">
        <v>0.5</v>
      </c>
      <c r="H580" s="297">
        <v>0.5</v>
      </c>
      <c r="I580" s="297">
        <v>0.5</v>
      </c>
      <c r="J580" s="297">
        <v>0.5</v>
      </c>
      <c r="K580" s="297">
        <v>0.5</v>
      </c>
      <c r="L580" s="297">
        <v>0.5</v>
      </c>
      <c r="M580" s="297">
        <v>0.5</v>
      </c>
      <c r="N580" s="297">
        <v>0.5</v>
      </c>
      <c r="O580" s="297">
        <v>0.5</v>
      </c>
      <c r="P580" s="297">
        <v>0.5</v>
      </c>
      <c r="Q580" s="297">
        <v>0.5</v>
      </c>
      <c r="R580" s="297">
        <v>0.5</v>
      </c>
      <c r="S580" s="297">
        <v>0.5</v>
      </c>
      <c r="T580" s="297">
        <v>0.5</v>
      </c>
      <c r="U580" s="297">
        <v>0.5</v>
      </c>
      <c r="V580" s="328"/>
      <c r="W580" s="260" t="s">
        <v>200</v>
      </c>
      <c r="X580" s="198" t="s">
        <v>505</v>
      </c>
      <c r="Y580" s="157" t="b">
        <v>0</v>
      </c>
      <c r="Z580" s="157"/>
      <c r="AA580" s="157"/>
      <c r="AB580" s="157"/>
      <c r="AC580" s="157"/>
      <c r="AD580" s="157"/>
      <c r="AE580" s="157"/>
      <c r="AF580" s="157"/>
      <c r="AG580" s="157"/>
      <c r="AH580" s="157"/>
      <c r="AI580" s="157"/>
      <c r="AJ580" s="157"/>
      <c r="AK580" s="157"/>
      <c r="AL580" s="157"/>
      <c r="AM580" s="157"/>
      <c r="AN580" s="157"/>
      <c r="AO580" s="157"/>
      <c r="AP580" s="157"/>
    </row>
    <row r="581" spans="1:42" x14ac:dyDescent="0.25">
      <c r="A581" s="295" t="s">
        <v>101</v>
      </c>
      <c r="B581" s="295" t="s">
        <v>435</v>
      </c>
      <c r="C581" s="295" t="s">
        <v>43</v>
      </c>
      <c r="D581" s="295" t="s">
        <v>279</v>
      </c>
      <c r="E581" s="297">
        <v>0.5</v>
      </c>
      <c r="F581" s="297">
        <v>0.5</v>
      </c>
      <c r="G581" s="297">
        <v>0.5</v>
      </c>
      <c r="H581" s="297">
        <v>0.5</v>
      </c>
      <c r="I581" s="297">
        <v>0.5</v>
      </c>
      <c r="J581" s="297">
        <v>0.5</v>
      </c>
      <c r="K581" s="297">
        <v>0.5</v>
      </c>
      <c r="L581" s="297">
        <v>0.5</v>
      </c>
      <c r="M581" s="297">
        <v>0.5</v>
      </c>
      <c r="N581" s="297">
        <v>0.5</v>
      </c>
      <c r="O581" s="297">
        <v>0.5</v>
      </c>
      <c r="P581" s="297">
        <v>0.5</v>
      </c>
      <c r="Q581" s="297">
        <v>0.5</v>
      </c>
      <c r="R581" s="297">
        <v>0.5</v>
      </c>
      <c r="S581" s="297">
        <v>0.5</v>
      </c>
      <c r="T581" s="297">
        <v>0.5</v>
      </c>
      <c r="U581" s="297">
        <v>0.5</v>
      </c>
      <c r="V581" s="328"/>
      <c r="W581" s="260" t="s">
        <v>200</v>
      </c>
      <c r="X581" s="198" t="s">
        <v>505</v>
      </c>
      <c r="Y581" s="157" t="b">
        <v>0</v>
      </c>
      <c r="Z581" s="157"/>
      <c r="AA581" s="157"/>
      <c r="AB581" s="157"/>
      <c r="AC581" s="157"/>
      <c r="AD581" s="157"/>
      <c r="AE581" s="157"/>
      <c r="AF581" s="157"/>
      <c r="AG581" s="157"/>
      <c r="AH581" s="157"/>
      <c r="AI581" s="157"/>
      <c r="AJ581" s="157"/>
      <c r="AK581" s="157"/>
      <c r="AL581" s="157"/>
      <c r="AM581" s="157"/>
      <c r="AN581" s="157"/>
      <c r="AO581" s="157"/>
      <c r="AP581" s="157"/>
    </row>
    <row r="582" spans="1:42" x14ac:dyDescent="0.25">
      <c r="A582" s="295" t="s">
        <v>101</v>
      </c>
      <c r="B582" s="295" t="s">
        <v>435</v>
      </c>
      <c r="C582" s="295" t="s">
        <v>43</v>
      </c>
      <c r="D582" s="295" t="s">
        <v>280</v>
      </c>
      <c r="E582" s="297">
        <v>0.5</v>
      </c>
      <c r="F582" s="297">
        <v>0.5</v>
      </c>
      <c r="G582" s="297">
        <v>0.5</v>
      </c>
      <c r="H582" s="297">
        <v>0.5</v>
      </c>
      <c r="I582" s="297">
        <v>0.5</v>
      </c>
      <c r="J582" s="297">
        <v>0.5</v>
      </c>
      <c r="K582" s="297">
        <v>0.5</v>
      </c>
      <c r="L582" s="297">
        <v>0.5</v>
      </c>
      <c r="M582" s="297">
        <v>0.5</v>
      </c>
      <c r="N582" s="297">
        <v>0.5</v>
      </c>
      <c r="O582" s="297">
        <v>0.5</v>
      </c>
      <c r="P582" s="297">
        <v>0.5</v>
      </c>
      <c r="Q582" s="297">
        <v>0.5</v>
      </c>
      <c r="R582" s="297">
        <v>0.5</v>
      </c>
      <c r="S582" s="297">
        <v>0.5</v>
      </c>
      <c r="T582" s="297">
        <v>0.5</v>
      </c>
      <c r="U582" s="297">
        <v>0.5</v>
      </c>
      <c r="V582" s="328"/>
      <c r="W582" s="260" t="s">
        <v>200</v>
      </c>
      <c r="X582" s="198" t="s">
        <v>505</v>
      </c>
      <c r="Y582" s="157" t="b">
        <v>0</v>
      </c>
      <c r="Z582" s="157"/>
      <c r="AA582" s="157"/>
      <c r="AB582" s="157"/>
      <c r="AC582" s="157"/>
      <c r="AD582" s="157"/>
      <c r="AE582" s="157"/>
      <c r="AF582" s="157"/>
      <c r="AG582" s="157"/>
      <c r="AH582" s="157"/>
      <c r="AI582" s="157"/>
      <c r="AJ582" s="157"/>
      <c r="AK582" s="157"/>
      <c r="AL582" s="157"/>
      <c r="AM582" s="157"/>
      <c r="AN582" s="157"/>
      <c r="AO582" s="157"/>
      <c r="AP582" s="157"/>
    </row>
    <row r="583" spans="1:42" x14ac:dyDescent="0.25">
      <c r="A583" s="295" t="s">
        <v>101</v>
      </c>
      <c r="B583" s="295" t="s">
        <v>435</v>
      </c>
      <c r="C583" s="295" t="s">
        <v>43</v>
      </c>
      <c r="D583" s="295" t="s">
        <v>281</v>
      </c>
      <c r="E583" s="297">
        <v>0.5</v>
      </c>
      <c r="F583" s="297">
        <v>0.5</v>
      </c>
      <c r="G583" s="297">
        <v>0.5</v>
      </c>
      <c r="H583" s="297">
        <v>0.5</v>
      </c>
      <c r="I583" s="297">
        <v>0.5</v>
      </c>
      <c r="J583" s="297">
        <v>0.5</v>
      </c>
      <c r="K583" s="297">
        <v>0.5</v>
      </c>
      <c r="L583" s="297">
        <v>0.5</v>
      </c>
      <c r="M583" s="297">
        <v>0.5</v>
      </c>
      <c r="N583" s="297">
        <v>0.5</v>
      </c>
      <c r="O583" s="297">
        <v>0.5</v>
      </c>
      <c r="P583" s="297">
        <v>0.5</v>
      </c>
      <c r="Q583" s="297">
        <v>0.5</v>
      </c>
      <c r="R583" s="297">
        <v>0.5</v>
      </c>
      <c r="S583" s="297">
        <v>0.5</v>
      </c>
      <c r="T583" s="297">
        <v>0.5</v>
      </c>
      <c r="U583" s="297">
        <v>0.5</v>
      </c>
      <c r="V583" s="328"/>
      <c r="W583" s="260" t="s">
        <v>200</v>
      </c>
      <c r="X583" s="198" t="s">
        <v>505</v>
      </c>
      <c r="Y583" s="157" t="b">
        <v>0</v>
      </c>
      <c r="Z583" s="157"/>
      <c r="AA583" s="157"/>
      <c r="AB583" s="157"/>
      <c r="AC583" s="157"/>
      <c r="AD583" s="157"/>
      <c r="AE583" s="157"/>
      <c r="AF583" s="157"/>
      <c r="AG583" s="157"/>
      <c r="AH583" s="157"/>
      <c r="AI583" s="157"/>
      <c r="AJ583" s="157"/>
      <c r="AK583" s="157"/>
      <c r="AL583" s="157"/>
      <c r="AM583" s="157"/>
      <c r="AN583" s="157"/>
      <c r="AO583" s="157"/>
      <c r="AP583" s="157"/>
    </row>
    <row r="584" spans="1:42" x14ac:dyDescent="0.25">
      <c r="A584" s="295" t="s">
        <v>101</v>
      </c>
      <c r="B584" s="295" t="s">
        <v>435</v>
      </c>
      <c r="C584" s="295" t="s">
        <v>43</v>
      </c>
      <c r="D584" s="295" t="s">
        <v>282</v>
      </c>
      <c r="E584" s="297">
        <v>0.5</v>
      </c>
      <c r="F584" s="297">
        <v>0.5</v>
      </c>
      <c r="G584" s="297">
        <v>0.5</v>
      </c>
      <c r="H584" s="297">
        <v>0.5</v>
      </c>
      <c r="I584" s="297">
        <v>0.5</v>
      </c>
      <c r="J584" s="297">
        <v>0.5</v>
      </c>
      <c r="K584" s="297">
        <v>0.5</v>
      </c>
      <c r="L584" s="297">
        <v>0.5</v>
      </c>
      <c r="M584" s="297">
        <v>0.5</v>
      </c>
      <c r="N584" s="297">
        <v>0.5</v>
      </c>
      <c r="O584" s="297">
        <v>0.5</v>
      </c>
      <c r="P584" s="297">
        <v>0.5</v>
      </c>
      <c r="Q584" s="297">
        <v>0.5</v>
      </c>
      <c r="R584" s="297">
        <v>0.5</v>
      </c>
      <c r="S584" s="297">
        <v>0.5</v>
      </c>
      <c r="T584" s="297">
        <v>0.5</v>
      </c>
      <c r="U584" s="297">
        <v>0.5</v>
      </c>
      <c r="V584" s="328"/>
      <c r="W584" s="260" t="s">
        <v>200</v>
      </c>
      <c r="X584" s="198" t="s">
        <v>505</v>
      </c>
      <c r="Y584" s="157" t="b">
        <v>0</v>
      </c>
      <c r="Z584" s="157"/>
      <c r="AA584" s="157"/>
      <c r="AB584" s="157"/>
      <c r="AC584" s="157"/>
      <c r="AD584" s="157"/>
      <c r="AE584" s="157"/>
      <c r="AF584" s="157"/>
      <c r="AG584" s="157"/>
      <c r="AH584" s="157"/>
      <c r="AI584" s="157"/>
      <c r="AJ584" s="157"/>
      <c r="AK584" s="157"/>
      <c r="AL584" s="157"/>
      <c r="AM584" s="157"/>
      <c r="AN584" s="157"/>
      <c r="AO584" s="157"/>
      <c r="AP584" s="157"/>
    </row>
    <row r="585" spans="1:42" x14ac:dyDescent="0.25">
      <c r="A585" s="295" t="s">
        <v>101</v>
      </c>
      <c r="B585" s="295" t="s">
        <v>435</v>
      </c>
      <c r="C585" s="295" t="s">
        <v>45</v>
      </c>
      <c r="D585" s="295" t="s">
        <v>269</v>
      </c>
      <c r="E585" s="297">
        <v>0</v>
      </c>
      <c r="F585" s="297">
        <v>0</v>
      </c>
      <c r="G585" s="297">
        <v>0</v>
      </c>
      <c r="H585" s="297">
        <v>0</v>
      </c>
      <c r="I585" s="297">
        <v>0</v>
      </c>
      <c r="J585" s="297">
        <v>0</v>
      </c>
      <c r="K585" s="297">
        <v>0</v>
      </c>
      <c r="L585" s="297">
        <v>0</v>
      </c>
      <c r="M585" s="297">
        <v>0</v>
      </c>
      <c r="N585" s="297">
        <v>0</v>
      </c>
      <c r="O585" s="297">
        <v>0</v>
      </c>
      <c r="P585" s="297">
        <v>0</v>
      </c>
      <c r="Q585" s="297">
        <v>0</v>
      </c>
      <c r="R585" s="297">
        <v>0</v>
      </c>
      <c r="S585" s="297">
        <v>0</v>
      </c>
      <c r="T585" s="297">
        <v>0</v>
      </c>
      <c r="U585" s="297">
        <v>0</v>
      </c>
      <c r="V585" s="328"/>
      <c r="W585" s="260" t="s">
        <v>45</v>
      </c>
      <c r="X585" s="198" t="s">
        <v>506</v>
      </c>
      <c r="Y585" s="157" t="b">
        <v>1</v>
      </c>
      <c r="Z585" s="157"/>
      <c r="AA585" s="157"/>
      <c r="AB585" s="157"/>
      <c r="AC585" s="157"/>
      <c r="AD585" s="157"/>
      <c r="AE585" s="157"/>
      <c r="AF585" s="157"/>
      <c r="AG585" s="157"/>
      <c r="AH585" s="157"/>
      <c r="AI585" s="157"/>
      <c r="AJ585" s="157"/>
      <c r="AK585" s="157"/>
      <c r="AL585" s="157"/>
      <c r="AM585" s="157"/>
      <c r="AN585" s="157"/>
      <c r="AO585" s="157"/>
      <c r="AP585" s="157"/>
    </row>
    <row r="586" spans="1:42" x14ac:dyDescent="0.25">
      <c r="A586" s="295" t="s">
        <v>101</v>
      </c>
      <c r="B586" s="295" t="s">
        <v>435</v>
      </c>
      <c r="C586" s="295" t="s">
        <v>45</v>
      </c>
      <c r="D586" s="295" t="s">
        <v>272</v>
      </c>
      <c r="E586" s="297">
        <v>0</v>
      </c>
      <c r="F586" s="297">
        <v>0</v>
      </c>
      <c r="G586" s="297">
        <v>0</v>
      </c>
      <c r="H586" s="297">
        <v>0</v>
      </c>
      <c r="I586" s="297">
        <v>0</v>
      </c>
      <c r="J586" s="297">
        <v>0</v>
      </c>
      <c r="K586" s="297">
        <v>0</v>
      </c>
      <c r="L586" s="297">
        <v>0</v>
      </c>
      <c r="M586" s="297">
        <v>0</v>
      </c>
      <c r="N586" s="297">
        <v>0</v>
      </c>
      <c r="O586" s="297">
        <v>0</v>
      </c>
      <c r="P586" s="297">
        <v>0</v>
      </c>
      <c r="Q586" s="297">
        <v>0</v>
      </c>
      <c r="R586" s="297">
        <v>0</v>
      </c>
      <c r="S586" s="297">
        <v>0</v>
      </c>
      <c r="T586" s="297">
        <v>0</v>
      </c>
      <c r="U586" s="297">
        <v>0</v>
      </c>
      <c r="V586" s="328"/>
      <c r="W586" s="260" t="s">
        <v>45</v>
      </c>
      <c r="X586" s="198" t="s">
        <v>506</v>
      </c>
      <c r="Y586" s="157" t="b">
        <v>1</v>
      </c>
      <c r="Z586" s="157"/>
      <c r="AA586" s="157"/>
      <c r="AB586" s="157"/>
      <c r="AC586" s="157"/>
      <c r="AD586" s="157"/>
      <c r="AE586" s="157"/>
      <c r="AF586" s="157"/>
      <c r="AG586" s="157"/>
      <c r="AH586" s="157"/>
      <c r="AI586" s="157"/>
      <c r="AJ586" s="157"/>
      <c r="AK586" s="157"/>
      <c r="AL586" s="157"/>
      <c r="AM586" s="157"/>
      <c r="AN586" s="157"/>
      <c r="AO586" s="157"/>
      <c r="AP586" s="157"/>
    </row>
    <row r="587" spans="1:42" x14ac:dyDescent="0.25">
      <c r="A587" s="295" t="s">
        <v>101</v>
      </c>
      <c r="B587" s="295" t="s">
        <v>435</v>
      </c>
      <c r="C587" s="295" t="s">
        <v>40</v>
      </c>
      <c r="D587" s="295" t="s">
        <v>276</v>
      </c>
      <c r="E587" s="297">
        <v>1.4534675041933419E-2</v>
      </c>
      <c r="F587" s="297">
        <v>1.5244854047336337E-2</v>
      </c>
      <c r="G587" s="297">
        <v>1.5989733121248524E-2</v>
      </c>
      <c r="H587" s="297">
        <v>1.6771007744309917E-2</v>
      </c>
      <c r="I587" s="297">
        <v>1.7779100645075378E-2</v>
      </c>
      <c r="J587" s="297">
        <v>1.8847789266269059E-2</v>
      </c>
      <c r="K587" s="297">
        <v>1.9980715971934421E-2</v>
      </c>
      <c r="L587" s="297">
        <v>2.1181742065930001E-2</v>
      </c>
      <c r="M587" s="297">
        <v>2.2454960952240151E-2</v>
      </c>
      <c r="N587" s="297">
        <v>2.3804712086342342E-2</v>
      </c>
      <c r="O587" s="297">
        <v>2.5235595765180863E-2</v>
      </c>
      <c r="P587" s="297">
        <v>2.6752488806154922E-2</v>
      </c>
      <c r="Q587" s="297">
        <v>2.8360561168559163E-2</v>
      </c>
      <c r="R587" s="297">
        <v>3.0065293574126691E-2</v>
      </c>
      <c r="S587" s="297">
        <v>3.1872496186729958E-2</v>
      </c>
      <c r="T587" s="297">
        <v>3.3788328414904673E-2</v>
      </c>
      <c r="U587" s="297">
        <v>3.5819319904688812E-2</v>
      </c>
      <c r="V587" s="328" t="s">
        <v>312</v>
      </c>
      <c r="W587" s="260" t="s">
        <v>203</v>
      </c>
      <c r="X587" s="198" t="s">
        <v>507</v>
      </c>
      <c r="Y587" s="157" t="b">
        <v>1</v>
      </c>
      <c r="Z587" s="157"/>
      <c r="AA587" s="157"/>
      <c r="AB587" s="157"/>
      <c r="AC587" s="157"/>
      <c r="AD587" s="157"/>
      <c r="AE587" s="157"/>
      <c r="AF587" s="157"/>
      <c r="AG587" s="157"/>
      <c r="AH587" s="157"/>
      <c r="AI587" s="157"/>
      <c r="AJ587" s="157"/>
      <c r="AK587" s="157"/>
      <c r="AL587" s="157"/>
      <c r="AM587" s="157"/>
      <c r="AN587" s="157"/>
      <c r="AO587" s="157"/>
      <c r="AP587" s="157"/>
    </row>
    <row r="588" spans="1:42" x14ac:dyDescent="0.25">
      <c r="A588" s="295" t="s">
        <v>101</v>
      </c>
      <c r="B588" s="295" t="s">
        <v>435</v>
      </c>
      <c r="C588" s="295" t="s">
        <v>40</v>
      </c>
      <c r="D588" s="295" t="s">
        <v>279</v>
      </c>
      <c r="E588" s="297">
        <v>1.4534675041933419E-2</v>
      </c>
      <c r="F588" s="297">
        <v>1.5244854047336337E-2</v>
      </c>
      <c r="G588" s="297">
        <v>1.5989733121248524E-2</v>
      </c>
      <c r="H588" s="297">
        <v>1.6771007744309917E-2</v>
      </c>
      <c r="I588" s="297">
        <v>1.7779100645075378E-2</v>
      </c>
      <c r="J588" s="297">
        <v>1.8847789266269059E-2</v>
      </c>
      <c r="K588" s="297">
        <v>1.9980715971934421E-2</v>
      </c>
      <c r="L588" s="297">
        <v>2.1181742065930001E-2</v>
      </c>
      <c r="M588" s="297">
        <v>2.2454960952240151E-2</v>
      </c>
      <c r="N588" s="297">
        <v>2.3804712086342342E-2</v>
      </c>
      <c r="O588" s="297">
        <v>2.5235595765180863E-2</v>
      </c>
      <c r="P588" s="297">
        <v>2.6752488806154922E-2</v>
      </c>
      <c r="Q588" s="297">
        <v>2.8360561168559163E-2</v>
      </c>
      <c r="R588" s="297">
        <v>3.0065293574126691E-2</v>
      </c>
      <c r="S588" s="297">
        <v>3.1872496186729958E-2</v>
      </c>
      <c r="T588" s="297">
        <v>3.3788328414904673E-2</v>
      </c>
      <c r="U588" s="297">
        <v>3.5819319904688812E-2</v>
      </c>
      <c r="V588" s="328"/>
      <c r="W588" s="260" t="s">
        <v>203</v>
      </c>
      <c r="X588" s="198" t="s">
        <v>507</v>
      </c>
      <c r="Y588" s="157" t="b">
        <v>1</v>
      </c>
      <c r="Z588" s="157"/>
      <c r="AA588" s="157"/>
      <c r="AB588" s="157"/>
      <c r="AC588" s="157"/>
      <c r="AD588" s="157"/>
      <c r="AE588" s="157"/>
      <c r="AF588" s="157"/>
      <c r="AG588" s="157"/>
      <c r="AH588" s="157"/>
      <c r="AI588" s="157"/>
      <c r="AJ588" s="157"/>
      <c r="AK588" s="157"/>
      <c r="AL588" s="157"/>
      <c r="AM588" s="157"/>
      <c r="AN588" s="157"/>
      <c r="AO588" s="157"/>
      <c r="AP588" s="157"/>
    </row>
    <row r="589" spans="1:42" x14ac:dyDescent="0.25">
      <c r="A589" s="295" t="s">
        <v>101</v>
      </c>
      <c r="B589" s="295" t="s">
        <v>435</v>
      </c>
      <c r="C589" s="295" t="s">
        <v>40</v>
      </c>
      <c r="D589" s="295" t="s">
        <v>280</v>
      </c>
      <c r="E589" s="297">
        <v>1.4534675041933419E-2</v>
      </c>
      <c r="F589" s="297">
        <v>1.5244854047336337E-2</v>
      </c>
      <c r="G589" s="297">
        <v>1.5989733121248524E-2</v>
      </c>
      <c r="H589" s="297">
        <v>1.6771007744309917E-2</v>
      </c>
      <c r="I589" s="297">
        <v>1.7779100645075378E-2</v>
      </c>
      <c r="J589" s="297">
        <v>1.8847789266269059E-2</v>
      </c>
      <c r="K589" s="297">
        <v>1.9980715971934421E-2</v>
      </c>
      <c r="L589" s="297">
        <v>2.1181742065930001E-2</v>
      </c>
      <c r="M589" s="297">
        <v>2.2454960952240151E-2</v>
      </c>
      <c r="N589" s="297">
        <v>2.3804712086342342E-2</v>
      </c>
      <c r="O589" s="297">
        <v>2.5235595765180863E-2</v>
      </c>
      <c r="P589" s="297">
        <v>2.6752488806154922E-2</v>
      </c>
      <c r="Q589" s="297">
        <v>2.8360561168559163E-2</v>
      </c>
      <c r="R589" s="297">
        <v>3.0065293574126691E-2</v>
      </c>
      <c r="S589" s="297">
        <v>3.1872496186729958E-2</v>
      </c>
      <c r="T589" s="297">
        <v>3.3788328414904673E-2</v>
      </c>
      <c r="U589" s="297">
        <v>3.5819319904688812E-2</v>
      </c>
      <c r="V589" s="328"/>
      <c r="W589" s="260" t="s">
        <v>203</v>
      </c>
      <c r="X589" s="198" t="s">
        <v>507</v>
      </c>
      <c r="Y589" s="157" t="b">
        <v>1</v>
      </c>
      <c r="Z589" s="157"/>
      <c r="AA589" s="157"/>
      <c r="AB589" s="157"/>
      <c r="AC589" s="157"/>
      <c r="AD589" s="157"/>
      <c r="AE589" s="157"/>
      <c r="AF589" s="157"/>
      <c r="AG589" s="157"/>
      <c r="AH589" s="157"/>
      <c r="AI589" s="157"/>
      <c r="AJ589" s="157"/>
      <c r="AK589" s="157"/>
      <c r="AL589" s="157"/>
      <c r="AM589" s="157"/>
      <c r="AN589" s="157"/>
      <c r="AO589" s="157"/>
      <c r="AP589" s="157"/>
    </row>
    <row r="590" spans="1:42" x14ac:dyDescent="0.25">
      <c r="A590" s="295" t="s">
        <v>101</v>
      </c>
      <c r="B590" s="295" t="s">
        <v>435</v>
      </c>
      <c r="C590" s="295" t="s">
        <v>40</v>
      </c>
      <c r="D590" s="295" t="s">
        <v>281</v>
      </c>
      <c r="E590" s="297">
        <v>1.4534675041933419E-2</v>
      </c>
      <c r="F590" s="297">
        <v>1.5244854047336337E-2</v>
      </c>
      <c r="G590" s="297">
        <v>1.5989733121248524E-2</v>
      </c>
      <c r="H590" s="297">
        <v>1.6771007744309917E-2</v>
      </c>
      <c r="I590" s="297">
        <v>1.7779100645075378E-2</v>
      </c>
      <c r="J590" s="297">
        <v>1.8847789266269059E-2</v>
      </c>
      <c r="K590" s="297">
        <v>1.9980715971934421E-2</v>
      </c>
      <c r="L590" s="297">
        <v>2.1181742065930001E-2</v>
      </c>
      <c r="M590" s="297">
        <v>2.2454960952240151E-2</v>
      </c>
      <c r="N590" s="297">
        <v>2.3804712086342342E-2</v>
      </c>
      <c r="O590" s="297">
        <v>2.5235595765180863E-2</v>
      </c>
      <c r="P590" s="297">
        <v>2.6752488806154922E-2</v>
      </c>
      <c r="Q590" s="297">
        <v>2.8360561168559163E-2</v>
      </c>
      <c r="R590" s="297">
        <v>3.0065293574126691E-2</v>
      </c>
      <c r="S590" s="297">
        <v>3.1872496186729958E-2</v>
      </c>
      <c r="T590" s="297">
        <v>3.3788328414904673E-2</v>
      </c>
      <c r="U590" s="297">
        <v>3.5819319904688812E-2</v>
      </c>
      <c r="V590" s="328"/>
      <c r="W590" s="260" t="s">
        <v>203</v>
      </c>
      <c r="X590" s="198" t="s">
        <v>507</v>
      </c>
      <c r="Y590" s="157" t="b">
        <v>1</v>
      </c>
      <c r="Z590" s="157"/>
      <c r="AA590" s="157"/>
      <c r="AB590" s="157"/>
      <c r="AC590" s="157"/>
      <c r="AD590" s="157"/>
      <c r="AE590" s="157"/>
      <c r="AF590" s="157"/>
      <c r="AG590" s="157"/>
      <c r="AH590" s="157"/>
      <c r="AI590" s="157"/>
      <c r="AJ590" s="157"/>
      <c r="AK590" s="157"/>
      <c r="AL590" s="157"/>
      <c r="AM590" s="157"/>
      <c r="AN590" s="157"/>
      <c r="AO590" s="157"/>
      <c r="AP590" s="157"/>
    </row>
    <row r="591" spans="1:42" x14ac:dyDescent="0.25">
      <c r="A591" s="295" t="s">
        <v>101</v>
      </c>
      <c r="B591" s="295" t="s">
        <v>435</v>
      </c>
      <c r="C591" s="295" t="s">
        <v>40</v>
      </c>
      <c r="D591" s="295" t="s">
        <v>282</v>
      </c>
      <c r="E591" s="297">
        <v>1.4534675041933419E-2</v>
      </c>
      <c r="F591" s="297">
        <v>1.5244854047336337E-2</v>
      </c>
      <c r="G591" s="297">
        <v>1.5989733121248524E-2</v>
      </c>
      <c r="H591" s="297">
        <v>1.6771007744309917E-2</v>
      </c>
      <c r="I591" s="297">
        <v>1.7779100645075378E-2</v>
      </c>
      <c r="J591" s="297">
        <v>1.8847789266269059E-2</v>
      </c>
      <c r="K591" s="297">
        <v>1.9980715971934421E-2</v>
      </c>
      <c r="L591" s="297">
        <v>2.1181742065930001E-2</v>
      </c>
      <c r="M591" s="297">
        <v>2.2454960952240151E-2</v>
      </c>
      <c r="N591" s="297">
        <v>2.3804712086342342E-2</v>
      </c>
      <c r="O591" s="297">
        <v>2.5235595765180863E-2</v>
      </c>
      <c r="P591" s="297">
        <v>2.6752488806154922E-2</v>
      </c>
      <c r="Q591" s="297">
        <v>2.8360561168559163E-2</v>
      </c>
      <c r="R591" s="297">
        <v>3.0065293574126691E-2</v>
      </c>
      <c r="S591" s="297">
        <v>3.1872496186729958E-2</v>
      </c>
      <c r="T591" s="297">
        <v>3.3788328414904673E-2</v>
      </c>
      <c r="U591" s="297">
        <v>3.5819319904688812E-2</v>
      </c>
      <c r="V591" s="328"/>
      <c r="W591" s="260" t="s">
        <v>203</v>
      </c>
      <c r="X591" s="198" t="s">
        <v>507</v>
      </c>
      <c r="Y591" s="157" t="b">
        <v>1</v>
      </c>
      <c r="Z591" s="157"/>
      <c r="AA591" s="157"/>
      <c r="AB591" s="157"/>
      <c r="AC591" s="157"/>
      <c r="AD591" s="157"/>
      <c r="AE591" s="157"/>
      <c r="AF591" s="157"/>
      <c r="AG591" s="157"/>
      <c r="AH591" s="157"/>
      <c r="AI591" s="157"/>
      <c r="AJ591" s="157"/>
      <c r="AK591" s="157"/>
      <c r="AL591" s="157"/>
      <c r="AM591" s="157"/>
      <c r="AN591" s="157"/>
      <c r="AO591" s="157"/>
      <c r="AP591" s="157"/>
    </row>
    <row r="592" spans="1:42" x14ac:dyDescent="0.25">
      <c r="A592" s="295" t="s">
        <v>101</v>
      </c>
      <c r="B592" s="295" t="s">
        <v>435</v>
      </c>
      <c r="C592" s="295" t="s">
        <v>42</v>
      </c>
      <c r="D592" s="295" t="s">
        <v>276</v>
      </c>
      <c r="E592" s="297">
        <v>1.4534675041933419E-2</v>
      </c>
      <c r="F592" s="297">
        <v>1.5244854047336337E-2</v>
      </c>
      <c r="G592" s="297">
        <v>1.5989733121248524E-2</v>
      </c>
      <c r="H592" s="297">
        <v>1.6771007744309917E-2</v>
      </c>
      <c r="I592" s="297">
        <v>1.7779100645075378E-2</v>
      </c>
      <c r="J592" s="297">
        <v>1.8847789266269059E-2</v>
      </c>
      <c r="K592" s="297">
        <v>1.9980715971934421E-2</v>
      </c>
      <c r="L592" s="297">
        <v>2.1181742065930001E-2</v>
      </c>
      <c r="M592" s="297">
        <v>2.2454960952240151E-2</v>
      </c>
      <c r="N592" s="297">
        <v>2.3804712086342342E-2</v>
      </c>
      <c r="O592" s="297">
        <v>2.5235595765180863E-2</v>
      </c>
      <c r="P592" s="297">
        <v>2.6752488806154922E-2</v>
      </c>
      <c r="Q592" s="297">
        <v>2.8360561168559163E-2</v>
      </c>
      <c r="R592" s="297">
        <v>3.0065293574126691E-2</v>
      </c>
      <c r="S592" s="297">
        <v>3.1872496186729958E-2</v>
      </c>
      <c r="T592" s="297">
        <v>3.3788328414904673E-2</v>
      </c>
      <c r="U592" s="297">
        <v>3.5819319904688812E-2</v>
      </c>
      <c r="V592" s="328"/>
      <c r="W592" s="260" t="s">
        <v>203</v>
      </c>
      <c r="X592" s="198" t="s">
        <v>507</v>
      </c>
      <c r="Y592" s="157" t="b">
        <v>1</v>
      </c>
      <c r="Z592" s="157"/>
      <c r="AA592" s="157"/>
      <c r="AB592" s="157"/>
      <c r="AC592" s="157"/>
      <c r="AD592" s="157"/>
      <c r="AE592" s="157"/>
      <c r="AF592" s="157"/>
      <c r="AG592" s="157"/>
      <c r="AH592" s="157"/>
      <c r="AI592" s="157"/>
      <c r="AJ592" s="157"/>
      <c r="AK592" s="157"/>
      <c r="AL592" s="157"/>
      <c r="AM592" s="157"/>
      <c r="AN592" s="157"/>
      <c r="AO592" s="157"/>
      <c r="AP592" s="157"/>
    </row>
    <row r="593" spans="1:42" x14ac:dyDescent="0.25">
      <c r="A593" s="295" t="s">
        <v>101</v>
      </c>
      <c r="B593" s="295" t="s">
        <v>435</v>
      </c>
      <c r="C593" s="295" t="s">
        <v>42</v>
      </c>
      <c r="D593" s="295" t="s">
        <v>279</v>
      </c>
      <c r="E593" s="297">
        <v>1.4534675041933419E-2</v>
      </c>
      <c r="F593" s="297">
        <v>1.5244854047336337E-2</v>
      </c>
      <c r="G593" s="297">
        <v>1.5989733121248524E-2</v>
      </c>
      <c r="H593" s="297">
        <v>1.6771007744309917E-2</v>
      </c>
      <c r="I593" s="297">
        <v>1.7779100645075378E-2</v>
      </c>
      <c r="J593" s="297">
        <v>1.8847789266269059E-2</v>
      </c>
      <c r="K593" s="297">
        <v>1.9980715971934421E-2</v>
      </c>
      <c r="L593" s="297">
        <v>2.1181742065930001E-2</v>
      </c>
      <c r="M593" s="297">
        <v>2.2454960952240151E-2</v>
      </c>
      <c r="N593" s="297">
        <v>2.3804712086342342E-2</v>
      </c>
      <c r="O593" s="297">
        <v>2.5235595765180863E-2</v>
      </c>
      <c r="P593" s="297">
        <v>2.6752488806154922E-2</v>
      </c>
      <c r="Q593" s="297">
        <v>2.8360561168559163E-2</v>
      </c>
      <c r="R593" s="297">
        <v>3.0065293574126691E-2</v>
      </c>
      <c r="S593" s="297">
        <v>3.1872496186729958E-2</v>
      </c>
      <c r="T593" s="297">
        <v>3.3788328414904673E-2</v>
      </c>
      <c r="U593" s="297">
        <v>3.5819319904688812E-2</v>
      </c>
      <c r="V593" s="328"/>
      <c r="W593" s="260" t="s">
        <v>203</v>
      </c>
      <c r="X593" s="198" t="s">
        <v>507</v>
      </c>
      <c r="Y593" s="157" t="b">
        <v>1</v>
      </c>
      <c r="Z593" s="157"/>
      <c r="AA593" s="157"/>
      <c r="AB593" s="157"/>
      <c r="AC593" s="157"/>
      <c r="AD593" s="157"/>
      <c r="AE593" s="157"/>
      <c r="AF593" s="157"/>
      <c r="AG593" s="157"/>
      <c r="AH593" s="157"/>
      <c r="AI593" s="157"/>
      <c r="AJ593" s="157"/>
      <c r="AK593" s="157"/>
      <c r="AL593" s="157"/>
      <c r="AM593" s="157"/>
      <c r="AN593" s="157"/>
      <c r="AO593" s="157"/>
      <c r="AP593" s="157"/>
    </row>
    <row r="594" spans="1:42" x14ac:dyDescent="0.25">
      <c r="A594" s="295" t="s">
        <v>101</v>
      </c>
      <c r="B594" s="295" t="s">
        <v>435</v>
      </c>
      <c r="C594" s="295" t="s">
        <v>42</v>
      </c>
      <c r="D594" s="295" t="s">
        <v>280</v>
      </c>
      <c r="E594" s="297">
        <v>1.4534675041933419E-2</v>
      </c>
      <c r="F594" s="297">
        <v>1.5244854047336337E-2</v>
      </c>
      <c r="G594" s="297">
        <v>1.5989733121248524E-2</v>
      </c>
      <c r="H594" s="297">
        <v>1.6771007744309917E-2</v>
      </c>
      <c r="I594" s="297">
        <v>1.7779100645075378E-2</v>
      </c>
      <c r="J594" s="297">
        <v>1.8847789266269059E-2</v>
      </c>
      <c r="K594" s="297">
        <v>1.9980715971934421E-2</v>
      </c>
      <c r="L594" s="297">
        <v>2.1181742065930001E-2</v>
      </c>
      <c r="M594" s="297">
        <v>2.2454960952240151E-2</v>
      </c>
      <c r="N594" s="297">
        <v>2.3804712086342342E-2</v>
      </c>
      <c r="O594" s="297">
        <v>2.5235595765180863E-2</v>
      </c>
      <c r="P594" s="297">
        <v>2.6752488806154922E-2</v>
      </c>
      <c r="Q594" s="297">
        <v>2.8360561168559163E-2</v>
      </c>
      <c r="R594" s="297">
        <v>3.0065293574126691E-2</v>
      </c>
      <c r="S594" s="297">
        <v>3.1872496186729958E-2</v>
      </c>
      <c r="T594" s="297">
        <v>3.3788328414904673E-2</v>
      </c>
      <c r="U594" s="297">
        <v>3.5819319904688812E-2</v>
      </c>
      <c r="V594" s="328"/>
      <c r="W594" s="260" t="s">
        <v>203</v>
      </c>
      <c r="X594" s="198" t="s">
        <v>507</v>
      </c>
      <c r="Y594" s="157" t="b">
        <v>1</v>
      </c>
      <c r="Z594" s="157"/>
      <c r="AA594" s="157"/>
      <c r="AB594" s="157"/>
      <c r="AC594" s="157"/>
      <c r="AD594" s="157"/>
      <c r="AE594" s="157"/>
      <c r="AF594" s="157"/>
      <c r="AG594" s="157"/>
      <c r="AH594" s="157"/>
      <c r="AI594" s="157"/>
      <c r="AJ594" s="157"/>
      <c r="AK594" s="157"/>
      <c r="AL594" s="157"/>
      <c r="AM594" s="157"/>
      <c r="AN594" s="157"/>
      <c r="AO594" s="157"/>
      <c r="AP594" s="157"/>
    </row>
    <row r="595" spans="1:42" x14ac:dyDescent="0.25">
      <c r="A595" s="295" t="s">
        <v>101</v>
      </c>
      <c r="B595" s="295" t="s">
        <v>435</v>
      </c>
      <c r="C595" s="295" t="s">
        <v>42</v>
      </c>
      <c r="D595" s="295" t="s">
        <v>281</v>
      </c>
      <c r="E595" s="297">
        <v>1.4534675041933419E-2</v>
      </c>
      <c r="F595" s="297">
        <v>1.5244854047336337E-2</v>
      </c>
      <c r="G595" s="297">
        <v>1.5989733121248524E-2</v>
      </c>
      <c r="H595" s="297">
        <v>1.6771007744309917E-2</v>
      </c>
      <c r="I595" s="297">
        <v>1.7779100645075378E-2</v>
      </c>
      <c r="J595" s="297">
        <v>1.8847789266269059E-2</v>
      </c>
      <c r="K595" s="297">
        <v>1.9980715971934421E-2</v>
      </c>
      <c r="L595" s="297">
        <v>2.1181742065930001E-2</v>
      </c>
      <c r="M595" s="297">
        <v>2.2454960952240151E-2</v>
      </c>
      <c r="N595" s="297">
        <v>2.3804712086342342E-2</v>
      </c>
      <c r="O595" s="297">
        <v>2.5235595765180863E-2</v>
      </c>
      <c r="P595" s="297">
        <v>2.6752488806154922E-2</v>
      </c>
      <c r="Q595" s="297">
        <v>2.8360561168559163E-2</v>
      </c>
      <c r="R595" s="297">
        <v>3.0065293574126691E-2</v>
      </c>
      <c r="S595" s="297">
        <v>3.1872496186729958E-2</v>
      </c>
      <c r="T595" s="297">
        <v>3.3788328414904673E-2</v>
      </c>
      <c r="U595" s="297">
        <v>3.5819319904688812E-2</v>
      </c>
      <c r="V595" s="328"/>
      <c r="W595" s="260" t="s">
        <v>203</v>
      </c>
      <c r="X595" s="198" t="s">
        <v>507</v>
      </c>
      <c r="Y595" s="157" t="b">
        <v>1</v>
      </c>
      <c r="Z595" s="157"/>
      <c r="AA595" s="157"/>
      <c r="AB595" s="157"/>
      <c r="AC595" s="157"/>
      <c r="AD595" s="157"/>
      <c r="AE595" s="157"/>
      <c r="AF595" s="157"/>
      <c r="AG595" s="157"/>
      <c r="AH595" s="157"/>
      <c r="AI595" s="157"/>
      <c r="AJ595" s="157"/>
      <c r="AK595" s="157"/>
      <c r="AL595" s="157"/>
      <c r="AM595" s="157"/>
      <c r="AN595" s="157"/>
      <c r="AO595" s="157"/>
      <c r="AP595" s="157"/>
    </row>
    <row r="596" spans="1:42" x14ac:dyDescent="0.25">
      <c r="A596" s="295" t="s">
        <v>101</v>
      </c>
      <c r="B596" s="295" t="s">
        <v>435</v>
      </c>
      <c r="C596" s="295" t="s">
        <v>42</v>
      </c>
      <c r="D596" s="295" t="s">
        <v>282</v>
      </c>
      <c r="E596" s="297">
        <v>1.4534675041933419E-2</v>
      </c>
      <c r="F596" s="297">
        <v>1.5244854047336337E-2</v>
      </c>
      <c r="G596" s="297">
        <v>1.5989733121248524E-2</v>
      </c>
      <c r="H596" s="297">
        <v>1.6771007744309917E-2</v>
      </c>
      <c r="I596" s="297">
        <v>1.7779100645075378E-2</v>
      </c>
      <c r="J596" s="297">
        <v>1.8847789266269059E-2</v>
      </c>
      <c r="K596" s="297">
        <v>1.9980715971934421E-2</v>
      </c>
      <c r="L596" s="297">
        <v>2.1181742065930001E-2</v>
      </c>
      <c r="M596" s="297">
        <v>2.2454960952240151E-2</v>
      </c>
      <c r="N596" s="297">
        <v>2.3804712086342342E-2</v>
      </c>
      <c r="O596" s="297">
        <v>2.5235595765180863E-2</v>
      </c>
      <c r="P596" s="297">
        <v>2.6752488806154922E-2</v>
      </c>
      <c r="Q596" s="297">
        <v>2.8360561168559163E-2</v>
      </c>
      <c r="R596" s="297">
        <v>3.0065293574126691E-2</v>
      </c>
      <c r="S596" s="297">
        <v>3.1872496186729958E-2</v>
      </c>
      <c r="T596" s="297">
        <v>3.3788328414904673E-2</v>
      </c>
      <c r="U596" s="297">
        <v>3.5819319904688812E-2</v>
      </c>
      <c r="V596" s="328"/>
      <c r="W596" s="260" t="s">
        <v>203</v>
      </c>
      <c r="X596" s="198" t="s">
        <v>507</v>
      </c>
      <c r="Y596" s="157" t="b">
        <v>1</v>
      </c>
      <c r="Z596" s="157"/>
      <c r="AA596" s="157"/>
      <c r="AB596" s="157"/>
      <c r="AC596" s="157"/>
      <c r="AD596" s="157"/>
      <c r="AE596" s="157"/>
      <c r="AF596" s="157"/>
      <c r="AG596" s="157"/>
      <c r="AH596" s="157"/>
      <c r="AI596" s="157"/>
      <c r="AJ596" s="157"/>
      <c r="AK596" s="157"/>
      <c r="AL596" s="157"/>
      <c r="AM596" s="157"/>
      <c r="AN596" s="157"/>
      <c r="AO596" s="157"/>
      <c r="AP596" s="157"/>
    </row>
    <row r="597" spans="1:42" x14ac:dyDescent="0.25">
      <c r="A597" s="295" t="s">
        <v>102</v>
      </c>
      <c r="B597" s="295" t="s">
        <v>435</v>
      </c>
      <c r="C597" s="295" t="s">
        <v>44</v>
      </c>
      <c r="D597" s="295" t="s">
        <v>276</v>
      </c>
      <c r="E597" s="297">
        <v>0.5</v>
      </c>
      <c r="F597" s="297">
        <v>0.5</v>
      </c>
      <c r="G597" s="297">
        <v>0.5</v>
      </c>
      <c r="H597" s="297">
        <v>0.5</v>
      </c>
      <c r="I597" s="297">
        <v>0.5</v>
      </c>
      <c r="J597" s="297">
        <v>0.5</v>
      </c>
      <c r="K597" s="297">
        <v>0.5</v>
      </c>
      <c r="L597" s="297">
        <v>0.5</v>
      </c>
      <c r="M597" s="297">
        <v>0.5</v>
      </c>
      <c r="N597" s="297">
        <v>0.5</v>
      </c>
      <c r="O597" s="297">
        <v>0.5</v>
      </c>
      <c r="P597" s="297">
        <v>0.5</v>
      </c>
      <c r="Q597" s="297">
        <v>0.5</v>
      </c>
      <c r="R597" s="297">
        <v>0.5</v>
      </c>
      <c r="S597" s="297">
        <v>0.5</v>
      </c>
      <c r="T597" s="297">
        <v>0.5</v>
      </c>
      <c r="U597" s="297">
        <v>0.5</v>
      </c>
      <c r="V597" s="328"/>
      <c r="W597" s="260" t="s">
        <v>200</v>
      </c>
      <c r="X597" s="198" t="s">
        <v>508</v>
      </c>
      <c r="Y597" s="157" t="b">
        <v>0</v>
      </c>
      <c r="Z597" s="157"/>
      <c r="AA597" s="157"/>
      <c r="AB597" s="157"/>
      <c r="AC597" s="157"/>
      <c r="AD597" s="157"/>
      <c r="AE597" s="157"/>
      <c r="AF597" s="157"/>
      <c r="AG597" s="157"/>
      <c r="AH597" s="157"/>
      <c r="AI597" s="157"/>
      <c r="AJ597" s="157"/>
      <c r="AK597" s="157"/>
      <c r="AL597" s="157"/>
      <c r="AM597" s="157"/>
      <c r="AN597" s="157"/>
      <c r="AO597" s="157"/>
      <c r="AP597" s="157"/>
    </row>
    <row r="598" spans="1:42" x14ac:dyDescent="0.25">
      <c r="A598" s="295" t="s">
        <v>102</v>
      </c>
      <c r="B598" s="295" t="s">
        <v>435</v>
      </c>
      <c r="C598" s="295" t="s">
        <v>44</v>
      </c>
      <c r="D598" s="295" t="s">
        <v>279</v>
      </c>
      <c r="E598" s="297">
        <v>0.5</v>
      </c>
      <c r="F598" s="297">
        <v>0.5</v>
      </c>
      <c r="G598" s="297">
        <v>0.5</v>
      </c>
      <c r="H598" s="297">
        <v>0.5</v>
      </c>
      <c r="I598" s="297">
        <v>0.5</v>
      </c>
      <c r="J598" s="297">
        <v>0.5</v>
      </c>
      <c r="K598" s="297">
        <v>0.5</v>
      </c>
      <c r="L598" s="297">
        <v>0.5</v>
      </c>
      <c r="M598" s="297">
        <v>0.5</v>
      </c>
      <c r="N598" s="297">
        <v>0.5</v>
      </c>
      <c r="O598" s="297">
        <v>0.5</v>
      </c>
      <c r="P598" s="297">
        <v>0.5</v>
      </c>
      <c r="Q598" s="297">
        <v>0.5</v>
      </c>
      <c r="R598" s="297">
        <v>0.5</v>
      </c>
      <c r="S598" s="297">
        <v>0.5</v>
      </c>
      <c r="T598" s="297">
        <v>0.5</v>
      </c>
      <c r="U598" s="297">
        <v>0.5</v>
      </c>
      <c r="V598" s="328"/>
      <c r="W598" s="260" t="s">
        <v>200</v>
      </c>
      <c r="X598" s="198" t="s">
        <v>508</v>
      </c>
      <c r="Y598" s="157" t="b">
        <v>0</v>
      </c>
      <c r="Z598" s="157"/>
      <c r="AA598" s="157"/>
      <c r="AB598" s="157"/>
      <c r="AC598" s="157"/>
      <c r="AD598" s="157"/>
      <c r="AE598" s="157"/>
      <c r="AF598" s="157"/>
      <c r="AG598" s="157"/>
      <c r="AH598" s="157"/>
      <c r="AI598" s="157"/>
      <c r="AJ598" s="157"/>
      <c r="AK598" s="157"/>
      <c r="AL598" s="157"/>
      <c r="AM598" s="157"/>
      <c r="AN598" s="157"/>
      <c r="AO598" s="157"/>
      <c r="AP598" s="157"/>
    </row>
    <row r="599" spans="1:42" x14ac:dyDescent="0.25">
      <c r="A599" s="295" t="s">
        <v>102</v>
      </c>
      <c r="B599" s="295" t="s">
        <v>435</v>
      </c>
      <c r="C599" s="295" t="s">
        <v>44</v>
      </c>
      <c r="D599" s="295" t="s">
        <v>281</v>
      </c>
      <c r="E599" s="297">
        <v>0.5</v>
      </c>
      <c r="F599" s="297">
        <v>0.5</v>
      </c>
      <c r="G599" s="297">
        <v>0.5</v>
      </c>
      <c r="H599" s="297">
        <v>0.5</v>
      </c>
      <c r="I599" s="297">
        <v>0.5</v>
      </c>
      <c r="J599" s="297">
        <v>0.5</v>
      </c>
      <c r="K599" s="297">
        <v>0.5</v>
      </c>
      <c r="L599" s="297">
        <v>0.5</v>
      </c>
      <c r="M599" s="297">
        <v>0.5</v>
      </c>
      <c r="N599" s="297">
        <v>0.5</v>
      </c>
      <c r="O599" s="297">
        <v>0.5</v>
      </c>
      <c r="P599" s="297">
        <v>0.5</v>
      </c>
      <c r="Q599" s="297">
        <v>0.5</v>
      </c>
      <c r="R599" s="297">
        <v>0.5</v>
      </c>
      <c r="S599" s="297">
        <v>0.5</v>
      </c>
      <c r="T599" s="297">
        <v>0.5</v>
      </c>
      <c r="U599" s="297">
        <v>0.5</v>
      </c>
      <c r="V599" s="328"/>
      <c r="W599" s="260" t="s">
        <v>200</v>
      </c>
      <c r="X599" s="198" t="s">
        <v>508</v>
      </c>
      <c r="Y599" s="157" t="b">
        <v>0</v>
      </c>
      <c r="Z599" s="157"/>
      <c r="AA599" s="157"/>
      <c r="AB599" s="157"/>
      <c r="AC599" s="157"/>
      <c r="AD599" s="157"/>
      <c r="AE599" s="157"/>
      <c r="AF599" s="157"/>
      <c r="AG599" s="157"/>
      <c r="AH599" s="157"/>
      <c r="AI599" s="157"/>
      <c r="AJ599" s="157"/>
      <c r="AK599" s="157"/>
      <c r="AL599" s="157"/>
      <c r="AM599" s="157"/>
      <c r="AN599" s="157"/>
      <c r="AO599" s="157"/>
      <c r="AP599" s="157"/>
    </row>
    <row r="600" spans="1:42" x14ac:dyDescent="0.25">
      <c r="A600" s="295" t="s">
        <v>102</v>
      </c>
      <c r="B600" s="295" t="s">
        <v>435</v>
      </c>
      <c r="C600" s="295" t="s">
        <v>41</v>
      </c>
      <c r="D600" s="295" t="s">
        <v>280</v>
      </c>
      <c r="E600" s="297">
        <v>0.5</v>
      </c>
      <c r="F600" s="297">
        <v>0.5</v>
      </c>
      <c r="G600" s="297">
        <v>0.5</v>
      </c>
      <c r="H600" s="297">
        <v>0.5</v>
      </c>
      <c r="I600" s="297">
        <v>0.5</v>
      </c>
      <c r="J600" s="297">
        <v>0.5</v>
      </c>
      <c r="K600" s="297">
        <v>0.5</v>
      </c>
      <c r="L600" s="297">
        <v>0.5</v>
      </c>
      <c r="M600" s="297">
        <v>0.5</v>
      </c>
      <c r="N600" s="297">
        <v>0.5</v>
      </c>
      <c r="O600" s="297">
        <v>0.5</v>
      </c>
      <c r="P600" s="297">
        <v>0.5</v>
      </c>
      <c r="Q600" s="297">
        <v>0.5</v>
      </c>
      <c r="R600" s="297">
        <v>0.5</v>
      </c>
      <c r="S600" s="297">
        <v>0.5</v>
      </c>
      <c r="T600" s="297">
        <v>0.5</v>
      </c>
      <c r="U600" s="297">
        <v>0.5</v>
      </c>
      <c r="V600" s="328"/>
      <c r="W600" s="260" t="s">
        <v>200</v>
      </c>
      <c r="X600" s="198" t="s">
        <v>508</v>
      </c>
      <c r="Y600" s="157" t="b">
        <v>0</v>
      </c>
      <c r="Z600" s="157"/>
      <c r="AA600" s="157"/>
      <c r="AB600" s="157"/>
      <c r="AC600" s="157"/>
      <c r="AD600" s="157"/>
      <c r="AE600" s="157"/>
      <c r="AF600" s="157"/>
      <c r="AG600" s="157"/>
      <c r="AH600" s="157"/>
      <c r="AI600" s="157"/>
      <c r="AJ600" s="157"/>
      <c r="AK600" s="157"/>
      <c r="AL600" s="157"/>
      <c r="AM600" s="157"/>
      <c r="AN600" s="157"/>
      <c r="AO600" s="157"/>
      <c r="AP600" s="157"/>
    </row>
    <row r="601" spans="1:42" x14ac:dyDescent="0.25">
      <c r="A601" s="295" t="s">
        <v>102</v>
      </c>
      <c r="B601" s="295" t="s">
        <v>435</v>
      </c>
      <c r="C601" s="295" t="s">
        <v>41</v>
      </c>
      <c r="D601" s="295" t="s">
        <v>282</v>
      </c>
      <c r="E601" s="297">
        <v>0.5</v>
      </c>
      <c r="F601" s="297">
        <v>0.5</v>
      </c>
      <c r="G601" s="297">
        <v>0.5</v>
      </c>
      <c r="H601" s="297">
        <v>0.5</v>
      </c>
      <c r="I601" s="297">
        <v>0.5</v>
      </c>
      <c r="J601" s="297">
        <v>0.5</v>
      </c>
      <c r="K601" s="297">
        <v>0.5</v>
      </c>
      <c r="L601" s="297">
        <v>0.5</v>
      </c>
      <c r="M601" s="297">
        <v>0.5</v>
      </c>
      <c r="N601" s="297">
        <v>0.5</v>
      </c>
      <c r="O601" s="297">
        <v>0.5</v>
      </c>
      <c r="P601" s="297">
        <v>0.5</v>
      </c>
      <c r="Q601" s="297">
        <v>0.5</v>
      </c>
      <c r="R601" s="297">
        <v>0.5</v>
      </c>
      <c r="S601" s="297">
        <v>0.5</v>
      </c>
      <c r="T601" s="297">
        <v>0.5</v>
      </c>
      <c r="U601" s="297">
        <v>0.5</v>
      </c>
      <c r="V601" s="328"/>
      <c r="W601" s="260" t="s">
        <v>200</v>
      </c>
      <c r="X601" s="198" t="s">
        <v>508</v>
      </c>
      <c r="Y601" s="157" t="b">
        <v>0</v>
      </c>
      <c r="Z601" s="157"/>
      <c r="AA601" s="157"/>
      <c r="AB601" s="157"/>
      <c r="AC601" s="157"/>
      <c r="AD601" s="157"/>
      <c r="AE601" s="157"/>
      <c r="AF601" s="157"/>
      <c r="AG601" s="157"/>
      <c r="AH601" s="157"/>
      <c r="AI601" s="157"/>
      <c r="AJ601" s="157"/>
      <c r="AK601" s="157"/>
      <c r="AL601" s="157"/>
      <c r="AM601" s="157"/>
      <c r="AN601" s="157"/>
      <c r="AO601" s="157"/>
      <c r="AP601" s="157"/>
    </row>
    <row r="602" spans="1:42" x14ac:dyDescent="0.25">
      <c r="A602" s="295" t="s">
        <v>102</v>
      </c>
      <c r="B602" s="295" t="s">
        <v>435</v>
      </c>
      <c r="C602" s="295" t="s">
        <v>43</v>
      </c>
      <c r="D602" s="295" t="s">
        <v>276</v>
      </c>
      <c r="E602" s="297">
        <v>0.5</v>
      </c>
      <c r="F602" s="297">
        <v>0.5</v>
      </c>
      <c r="G602" s="297">
        <v>0.5</v>
      </c>
      <c r="H602" s="297">
        <v>0.5</v>
      </c>
      <c r="I602" s="297">
        <v>0.5</v>
      </c>
      <c r="J602" s="297">
        <v>0.5</v>
      </c>
      <c r="K602" s="297">
        <v>0.5</v>
      </c>
      <c r="L602" s="297">
        <v>0.5</v>
      </c>
      <c r="M602" s="297">
        <v>0.5</v>
      </c>
      <c r="N602" s="297">
        <v>0.5</v>
      </c>
      <c r="O602" s="297">
        <v>0.5</v>
      </c>
      <c r="P602" s="297">
        <v>0.5</v>
      </c>
      <c r="Q602" s="297">
        <v>0.5</v>
      </c>
      <c r="R602" s="297">
        <v>0.5</v>
      </c>
      <c r="S602" s="297">
        <v>0.5</v>
      </c>
      <c r="T602" s="297">
        <v>0.5</v>
      </c>
      <c r="U602" s="297">
        <v>0.5</v>
      </c>
      <c r="V602" s="328"/>
      <c r="W602" s="260" t="s">
        <v>200</v>
      </c>
      <c r="X602" s="198" t="s">
        <v>508</v>
      </c>
      <c r="Y602" s="157" t="b">
        <v>0</v>
      </c>
      <c r="Z602" s="157"/>
      <c r="AA602" s="157"/>
      <c r="AB602" s="157"/>
      <c r="AC602" s="157"/>
      <c r="AD602" s="157"/>
      <c r="AE602" s="157"/>
      <c r="AF602" s="157"/>
      <c r="AG602" s="157"/>
      <c r="AH602" s="157"/>
      <c r="AI602" s="157"/>
      <c r="AJ602" s="157"/>
      <c r="AK602" s="157"/>
      <c r="AL602" s="157"/>
      <c r="AM602" s="157"/>
      <c r="AN602" s="157"/>
      <c r="AO602" s="157"/>
      <c r="AP602" s="157"/>
    </row>
    <row r="603" spans="1:42" x14ac:dyDescent="0.25">
      <c r="A603" s="295" t="s">
        <v>102</v>
      </c>
      <c r="B603" s="295" t="s">
        <v>435</v>
      </c>
      <c r="C603" s="295" t="s">
        <v>43</v>
      </c>
      <c r="D603" s="295" t="s">
        <v>279</v>
      </c>
      <c r="E603" s="297">
        <v>0.5</v>
      </c>
      <c r="F603" s="297">
        <v>0.5</v>
      </c>
      <c r="G603" s="297">
        <v>0.5</v>
      </c>
      <c r="H603" s="297">
        <v>0.5</v>
      </c>
      <c r="I603" s="297">
        <v>0.5</v>
      </c>
      <c r="J603" s="297">
        <v>0.5</v>
      </c>
      <c r="K603" s="297">
        <v>0.5</v>
      </c>
      <c r="L603" s="297">
        <v>0.5</v>
      </c>
      <c r="M603" s="297">
        <v>0.5</v>
      </c>
      <c r="N603" s="297">
        <v>0.5</v>
      </c>
      <c r="O603" s="297">
        <v>0.5</v>
      </c>
      <c r="P603" s="297">
        <v>0.5</v>
      </c>
      <c r="Q603" s="297">
        <v>0.5</v>
      </c>
      <c r="R603" s="297">
        <v>0.5</v>
      </c>
      <c r="S603" s="297">
        <v>0.5</v>
      </c>
      <c r="T603" s="297">
        <v>0.5</v>
      </c>
      <c r="U603" s="297">
        <v>0.5</v>
      </c>
      <c r="V603" s="328"/>
      <c r="W603" s="260" t="s">
        <v>200</v>
      </c>
      <c r="X603" s="198" t="s">
        <v>508</v>
      </c>
      <c r="Y603" s="157" t="b">
        <v>0</v>
      </c>
      <c r="Z603" s="157"/>
      <c r="AA603" s="157"/>
      <c r="AB603" s="157"/>
      <c r="AC603" s="157"/>
      <c r="AD603" s="157"/>
      <c r="AE603" s="157"/>
      <c r="AF603" s="157"/>
      <c r="AG603" s="157"/>
      <c r="AH603" s="157"/>
      <c r="AI603" s="157"/>
      <c r="AJ603" s="157"/>
      <c r="AK603" s="157"/>
      <c r="AL603" s="157"/>
      <c r="AM603" s="157"/>
      <c r="AN603" s="157"/>
      <c r="AO603" s="157"/>
      <c r="AP603" s="157"/>
    </row>
    <row r="604" spans="1:42" x14ac:dyDescent="0.25">
      <c r="A604" s="295" t="s">
        <v>102</v>
      </c>
      <c r="B604" s="295" t="s">
        <v>435</v>
      </c>
      <c r="C604" s="295" t="s">
        <v>43</v>
      </c>
      <c r="D604" s="295" t="s">
        <v>280</v>
      </c>
      <c r="E604" s="297">
        <v>0.5</v>
      </c>
      <c r="F604" s="297">
        <v>0.5</v>
      </c>
      <c r="G604" s="297">
        <v>0.5</v>
      </c>
      <c r="H604" s="297">
        <v>0.5</v>
      </c>
      <c r="I604" s="297">
        <v>0.5</v>
      </c>
      <c r="J604" s="297">
        <v>0.5</v>
      </c>
      <c r="K604" s="297">
        <v>0.5</v>
      </c>
      <c r="L604" s="297">
        <v>0.5</v>
      </c>
      <c r="M604" s="297">
        <v>0.5</v>
      </c>
      <c r="N604" s="297">
        <v>0.5</v>
      </c>
      <c r="O604" s="297">
        <v>0.5</v>
      </c>
      <c r="P604" s="297">
        <v>0.5</v>
      </c>
      <c r="Q604" s="297">
        <v>0.5</v>
      </c>
      <c r="R604" s="297">
        <v>0.5</v>
      </c>
      <c r="S604" s="297">
        <v>0.5</v>
      </c>
      <c r="T604" s="297">
        <v>0.5</v>
      </c>
      <c r="U604" s="297">
        <v>0.5</v>
      </c>
      <c r="V604" s="328"/>
      <c r="W604" s="260" t="s">
        <v>200</v>
      </c>
      <c r="X604" s="198" t="s">
        <v>508</v>
      </c>
      <c r="Y604" s="157" t="b">
        <v>0</v>
      </c>
      <c r="Z604" s="157"/>
      <c r="AA604" s="157"/>
      <c r="AB604" s="157"/>
      <c r="AC604" s="157"/>
      <c r="AD604" s="157"/>
      <c r="AE604" s="157"/>
      <c r="AF604" s="157"/>
      <c r="AG604" s="157"/>
      <c r="AH604" s="157"/>
      <c r="AI604" s="157"/>
      <c r="AJ604" s="157"/>
      <c r="AK604" s="157"/>
      <c r="AL604" s="157"/>
      <c r="AM604" s="157"/>
      <c r="AN604" s="157"/>
      <c r="AO604" s="157"/>
      <c r="AP604" s="157"/>
    </row>
    <row r="605" spans="1:42" x14ac:dyDescent="0.25">
      <c r="A605" s="295" t="s">
        <v>102</v>
      </c>
      <c r="B605" s="295" t="s">
        <v>435</v>
      </c>
      <c r="C605" s="295" t="s">
        <v>43</v>
      </c>
      <c r="D605" s="295" t="s">
        <v>281</v>
      </c>
      <c r="E605" s="297">
        <v>0.5</v>
      </c>
      <c r="F605" s="297">
        <v>0.5</v>
      </c>
      <c r="G605" s="297">
        <v>0.5</v>
      </c>
      <c r="H605" s="297">
        <v>0.5</v>
      </c>
      <c r="I605" s="297">
        <v>0.5</v>
      </c>
      <c r="J605" s="297">
        <v>0.5</v>
      </c>
      <c r="K605" s="297">
        <v>0.5</v>
      </c>
      <c r="L605" s="297">
        <v>0.5</v>
      </c>
      <c r="M605" s="297">
        <v>0.5</v>
      </c>
      <c r="N605" s="297">
        <v>0.5</v>
      </c>
      <c r="O605" s="297">
        <v>0.5</v>
      </c>
      <c r="P605" s="297">
        <v>0.5</v>
      </c>
      <c r="Q605" s="297">
        <v>0.5</v>
      </c>
      <c r="R605" s="297">
        <v>0.5</v>
      </c>
      <c r="S605" s="297">
        <v>0.5</v>
      </c>
      <c r="T605" s="297">
        <v>0.5</v>
      </c>
      <c r="U605" s="297">
        <v>0.5</v>
      </c>
      <c r="V605" s="328"/>
      <c r="W605" s="260" t="s">
        <v>200</v>
      </c>
      <c r="X605" s="198" t="s">
        <v>508</v>
      </c>
      <c r="Y605" s="157" t="b">
        <v>0</v>
      </c>
      <c r="Z605" s="157"/>
      <c r="AA605" s="157"/>
      <c r="AB605" s="157"/>
      <c r="AC605" s="157"/>
      <c r="AD605" s="157"/>
      <c r="AE605" s="157"/>
      <c r="AF605" s="157"/>
      <c r="AG605" s="157"/>
      <c r="AH605" s="157"/>
      <c r="AI605" s="157"/>
      <c r="AJ605" s="157"/>
      <c r="AK605" s="157"/>
      <c r="AL605" s="157"/>
      <c r="AM605" s="157"/>
      <c r="AN605" s="157"/>
      <c r="AO605" s="157"/>
      <c r="AP605" s="157"/>
    </row>
    <row r="606" spans="1:42" x14ac:dyDescent="0.25">
      <c r="A606" s="295" t="s">
        <v>102</v>
      </c>
      <c r="B606" s="295" t="s">
        <v>435</v>
      </c>
      <c r="C606" s="295" t="s">
        <v>43</v>
      </c>
      <c r="D606" s="295" t="s">
        <v>282</v>
      </c>
      <c r="E606" s="297">
        <v>0.5</v>
      </c>
      <c r="F606" s="297">
        <v>0.5</v>
      </c>
      <c r="G606" s="297">
        <v>0.5</v>
      </c>
      <c r="H606" s="297">
        <v>0.5</v>
      </c>
      <c r="I606" s="297">
        <v>0.5</v>
      </c>
      <c r="J606" s="297">
        <v>0.5</v>
      </c>
      <c r="K606" s="297">
        <v>0.5</v>
      </c>
      <c r="L606" s="297">
        <v>0.5</v>
      </c>
      <c r="M606" s="297">
        <v>0.5</v>
      </c>
      <c r="N606" s="297">
        <v>0.5</v>
      </c>
      <c r="O606" s="297">
        <v>0.5</v>
      </c>
      <c r="P606" s="297">
        <v>0.5</v>
      </c>
      <c r="Q606" s="297">
        <v>0.5</v>
      </c>
      <c r="R606" s="297">
        <v>0.5</v>
      </c>
      <c r="S606" s="297">
        <v>0.5</v>
      </c>
      <c r="T606" s="297">
        <v>0.5</v>
      </c>
      <c r="U606" s="297">
        <v>0.5</v>
      </c>
      <c r="V606" s="328"/>
      <c r="W606" s="260" t="s">
        <v>200</v>
      </c>
      <c r="X606" s="198" t="s">
        <v>508</v>
      </c>
      <c r="Y606" s="157" t="b">
        <v>0</v>
      </c>
      <c r="Z606" s="157"/>
      <c r="AA606" s="157"/>
      <c r="AB606" s="157"/>
      <c r="AC606" s="157"/>
      <c r="AD606" s="157"/>
      <c r="AE606" s="157"/>
      <c r="AF606" s="157"/>
      <c r="AG606" s="157"/>
      <c r="AH606" s="157"/>
      <c r="AI606" s="157"/>
      <c r="AJ606" s="157"/>
      <c r="AK606" s="157"/>
      <c r="AL606" s="157"/>
      <c r="AM606" s="157"/>
      <c r="AN606" s="157"/>
      <c r="AO606" s="157"/>
      <c r="AP606" s="157"/>
    </row>
    <row r="607" spans="1:42" x14ac:dyDescent="0.25">
      <c r="A607" s="295" t="s">
        <v>102</v>
      </c>
      <c r="B607" s="295" t="s">
        <v>435</v>
      </c>
      <c r="C607" s="295" t="s">
        <v>45</v>
      </c>
      <c r="D607" s="295" t="s">
        <v>269</v>
      </c>
      <c r="E607" s="297">
        <v>1</v>
      </c>
      <c r="F607" s="297">
        <v>1</v>
      </c>
      <c r="G607" s="297">
        <v>1</v>
      </c>
      <c r="H607" s="297">
        <v>1</v>
      </c>
      <c r="I607" s="297">
        <v>1</v>
      </c>
      <c r="J607" s="297">
        <v>1</v>
      </c>
      <c r="K607" s="297">
        <v>1</v>
      </c>
      <c r="L607" s="297">
        <v>1</v>
      </c>
      <c r="M607" s="297">
        <v>1</v>
      </c>
      <c r="N607" s="297">
        <v>1</v>
      </c>
      <c r="O607" s="297">
        <v>1</v>
      </c>
      <c r="P607" s="297">
        <v>1</v>
      </c>
      <c r="Q607" s="297">
        <v>1</v>
      </c>
      <c r="R607" s="297">
        <v>1</v>
      </c>
      <c r="S607" s="297">
        <v>1</v>
      </c>
      <c r="T607" s="297">
        <v>1</v>
      </c>
      <c r="U607" s="297">
        <v>1</v>
      </c>
      <c r="V607" s="328" t="s">
        <v>313</v>
      </c>
      <c r="W607" s="260" t="s">
        <v>45</v>
      </c>
      <c r="X607" s="198" t="s">
        <v>509</v>
      </c>
      <c r="Y607" s="157" t="b">
        <v>0</v>
      </c>
      <c r="Z607" s="157"/>
      <c r="AA607" s="157"/>
      <c r="AB607" s="157"/>
      <c r="AC607" s="157"/>
      <c r="AD607" s="157"/>
      <c r="AE607" s="157"/>
      <c r="AF607" s="157"/>
      <c r="AG607" s="157"/>
      <c r="AH607" s="157"/>
      <c r="AI607" s="157"/>
      <c r="AJ607" s="157"/>
      <c r="AK607" s="157"/>
      <c r="AL607" s="157"/>
      <c r="AM607" s="157"/>
      <c r="AN607" s="157"/>
      <c r="AO607" s="157"/>
      <c r="AP607" s="157"/>
    </row>
    <row r="608" spans="1:42" x14ac:dyDescent="0.25">
      <c r="A608" s="295" t="s">
        <v>102</v>
      </c>
      <c r="B608" s="295" t="s">
        <v>435</v>
      </c>
      <c r="C608" s="295" t="s">
        <v>45</v>
      </c>
      <c r="D608" s="295" t="s">
        <v>272</v>
      </c>
      <c r="E608" s="297">
        <v>1</v>
      </c>
      <c r="F608" s="297">
        <v>1</v>
      </c>
      <c r="G608" s="297">
        <v>1</v>
      </c>
      <c r="H608" s="297">
        <v>1</v>
      </c>
      <c r="I608" s="297">
        <v>1</v>
      </c>
      <c r="J608" s="297">
        <v>1</v>
      </c>
      <c r="K608" s="297">
        <v>1</v>
      </c>
      <c r="L608" s="297">
        <v>1</v>
      </c>
      <c r="M608" s="297">
        <v>1</v>
      </c>
      <c r="N608" s="297">
        <v>1</v>
      </c>
      <c r="O608" s="297">
        <v>1</v>
      </c>
      <c r="P608" s="297">
        <v>1</v>
      </c>
      <c r="Q608" s="297">
        <v>1</v>
      </c>
      <c r="R608" s="297">
        <v>1</v>
      </c>
      <c r="S608" s="297">
        <v>1</v>
      </c>
      <c r="T608" s="297">
        <v>1</v>
      </c>
      <c r="U608" s="297">
        <v>1</v>
      </c>
      <c r="V608" s="328"/>
      <c r="W608" s="260" t="s">
        <v>45</v>
      </c>
      <c r="X608" s="198" t="s">
        <v>509</v>
      </c>
      <c r="Y608" s="157" t="b">
        <v>0</v>
      </c>
      <c r="Z608" s="157"/>
      <c r="AA608" s="157"/>
      <c r="AB608" s="157"/>
      <c r="AC608" s="157"/>
      <c r="AD608" s="157"/>
      <c r="AE608" s="157"/>
      <c r="AF608" s="157"/>
      <c r="AG608" s="157"/>
      <c r="AH608" s="157"/>
      <c r="AI608" s="157"/>
      <c r="AJ608" s="157"/>
      <c r="AK608" s="157"/>
      <c r="AL608" s="157"/>
      <c r="AM608" s="157"/>
      <c r="AN608" s="157"/>
      <c r="AO608" s="157"/>
      <c r="AP608" s="157"/>
    </row>
    <row r="609" spans="1:42" x14ac:dyDescent="0.25">
      <c r="A609" s="295" t="s">
        <v>102</v>
      </c>
      <c r="B609" s="295" t="s">
        <v>435</v>
      </c>
      <c r="C609" s="295" t="s">
        <v>40</v>
      </c>
      <c r="D609" s="295" t="s">
        <v>276</v>
      </c>
      <c r="E609" s="297">
        <v>0.9854653249580666</v>
      </c>
      <c r="F609" s="297">
        <v>0.98475514595266367</v>
      </c>
      <c r="G609" s="297">
        <v>0.98401026687875148</v>
      </c>
      <c r="H609" s="297">
        <v>0.98322899225569005</v>
      </c>
      <c r="I609" s="297">
        <v>0.98222089935492463</v>
      </c>
      <c r="J609" s="297">
        <v>0.98115221073373093</v>
      </c>
      <c r="K609" s="297">
        <v>0.9800192840280656</v>
      </c>
      <c r="L609" s="297">
        <v>0.97881825793406996</v>
      </c>
      <c r="M609" s="297">
        <v>0.9775450390477598</v>
      </c>
      <c r="N609" s="297">
        <v>0.97619528791365762</v>
      </c>
      <c r="O609" s="297">
        <v>0.97476440423481914</v>
      </c>
      <c r="P609" s="297">
        <v>0.97324751119384512</v>
      </c>
      <c r="Q609" s="297">
        <v>0.97163943883144088</v>
      </c>
      <c r="R609" s="297">
        <v>0.96993470642587332</v>
      </c>
      <c r="S609" s="297">
        <v>0.96812750381327006</v>
      </c>
      <c r="T609" s="297">
        <v>0.96621167158509536</v>
      </c>
      <c r="U609" s="297">
        <v>0.96418068009531122</v>
      </c>
      <c r="V609" s="328"/>
      <c r="W609" s="260" t="s">
        <v>203</v>
      </c>
      <c r="X609" s="198" t="s">
        <v>510</v>
      </c>
      <c r="Y609" s="157" t="b">
        <v>0</v>
      </c>
      <c r="Z609" s="157"/>
      <c r="AA609" s="157"/>
      <c r="AB609" s="157"/>
      <c r="AC609" s="157"/>
      <c r="AD609" s="157"/>
      <c r="AE609" s="157"/>
      <c r="AF609" s="157"/>
      <c r="AG609" s="157"/>
      <c r="AH609" s="157"/>
      <c r="AI609" s="157"/>
      <c r="AJ609" s="157"/>
      <c r="AK609" s="157"/>
      <c r="AL609" s="157"/>
      <c r="AM609" s="157"/>
      <c r="AN609" s="157"/>
      <c r="AO609" s="157"/>
      <c r="AP609" s="157"/>
    </row>
    <row r="610" spans="1:42" x14ac:dyDescent="0.25">
      <c r="A610" s="295" t="s">
        <v>102</v>
      </c>
      <c r="B610" s="295" t="s">
        <v>435</v>
      </c>
      <c r="C610" s="295" t="s">
        <v>40</v>
      </c>
      <c r="D610" s="295" t="s">
        <v>279</v>
      </c>
      <c r="E610" s="297">
        <v>0.9854653249580666</v>
      </c>
      <c r="F610" s="297">
        <v>0.98475514595266367</v>
      </c>
      <c r="G610" s="297">
        <v>0.98401026687875148</v>
      </c>
      <c r="H610" s="297">
        <v>0.98322899225569005</v>
      </c>
      <c r="I610" s="297">
        <v>0.98222089935492463</v>
      </c>
      <c r="J610" s="297">
        <v>0.98115221073373093</v>
      </c>
      <c r="K610" s="297">
        <v>0.9800192840280656</v>
      </c>
      <c r="L610" s="297">
        <v>0.97881825793406996</v>
      </c>
      <c r="M610" s="297">
        <v>0.9775450390477598</v>
      </c>
      <c r="N610" s="297">
        <v>0.97619528791365762</v>
      </c>
      <c r="O610" s="297">
        <v>0.97476440423481914</v>
      </c>
      <c r="P610" s="297">
        <v>0.97324751119384512</v>
      </c>
      <c r="Q610" s="297">
        <v>0.97163943883144088</v>
      </c>
      <c r="R610" s="297">
        <v>0.96993470642587332</v>
      </c>
      <c r="S610" s="297">
        <v>0.96812750381327006</v>
      </c>
      <c r="T610" s="297">
        <v>0.96621167158509536</v>
      </c>
      <c r="U610" s="297">
        <v>0.96418068009531122</v>
      </c>
      <c r="V610" s="328"/>
      <c r="W610" s="260" t="s">
        <v>203</v>
      </c>
      <c r="X610" s="198" t="s">
        <v>510</v>
      </c>
      <c r="Y610" s="157" t="b">
        <v>0</v>
      </c>
      <c r="Z610" s="157"/>
      <c r="AA610" s="157"/>
      <c r="AB610" s="157"/>
      <c r="AC610" s="157"/>
      <c r="AD610" s="157"/>
      <c r="AE610" s="157"/>
      <c r="AF610" s="157"/>
      <c r="AG610" s="157"/>
      <c r="AH610" s="157"/>
      <c r="AI610" s="157"/>
      <c r="AJ610" s="157"/>
      <c r="AK610" s="157"/>
      <c r="AL610" s="157"/>
      <c r="AM610" s="157"/>
      <c r="AN610" s="157"/>
      <c r="AO610" s="157"/>
      <c r="AP610" s="157"/>
    </row>
    <row r="611" spans="1:42" x14ac:dyDescent="0.25">
      <c r="A611" s="295" t="s">
        <v>102</v>
      </c>
      <c r="B611" s="295" t="s">
        <v>435</v>
      </c>
      <c r="C611" s="295" t="s">
        <v>40</v>
      </c>
      <c r="D611" s="295" t="s">
        <v>280</v>
      </c>
      <c r="E611" s="297">
        <v>0.9854653249580666</v>
      </c>
      <c r="F611" s="297">
        <v>0.98475514595266367</v>
      </c>
      <c r="G611" s="297">
        <v>0.98401026687875148</v>
      </c>
      <c r="H611" s="297">
        <v>0.98322899225569005</v>
      </c>
      <c r="I611" s="297">
        <v>0.98222089935492463</v>
      </c>
      <c r="J611" s="297">
        <v>0.98115221073373093</v>
      </c>
      <c r="K611" s="297">
        <v>0.9800192840280656</v>
      </c>
      <c r="L611" s="297">
        <v>0.97881825793406996</v>
      </c>
      <c r="M611" s="297">
        <v>0.9775450390477598</v>
      </c>
      <c r="N611" s="297">
        <v>0.97619528791365762</v>
      </c>
      <c r="O611" s="297">
        <v>0.97476440423481914</v>
      </c>
      <c r="P611" s="297">
        <v>0.97324751119384512</v>
      </c>
      <c r="Q611" s="297">
        <v>0.97163943883144088</v>
      </c>
      <c r="R611" s="297">
        <v>0.96993470642587332</v>
      </c>
      <c r="S611" s="297">
        <v>0.96812750381327006</v>
      </c>
      <c r="T611" s="297">
        <v>0.96621167158509536</v>
      </c>
      <c r="U611" s="297">
        <v>0.96418068009531122</v>
      </c>
      <c r="V611" s="328"/>
      <c r="W611" s="260" t="s">
        <v>203</v>
      </c>
      <c r="X611" s="198" t="s">
        <v>510</v>
      </c>
      <c r="Y611" s="157" t="b">
        <v>0</v>
      </c>
      <c r="Z611" s="157"/>
      <c r="AA611" s="157"/>
      <c r="AB611" s="157"/>
      <c r="AC611" s="157"/>
      <c r="AD611" s="157"/>
      <c r="AE611" s="157"/>
      <c r="AF611" s="157"/>
      <c r="AG611" s="157"/>
      <c r="AH611" s="157"/>
      <c r="AI611" s="157"/>
      <c r="AJ611" s="157"/>
      <c r="AK611" s="157"/>
      <c r="AL611" s="157"/>
      <c r="AM611" s="157"/>
      <c r="AN611" s="157"/>
      <c r="AO611" s="157"/>
      <c r="AP611" s="157"/>
    </row>
    <row r="612" spans="1:42" x14ac:dyDescent="0.25">
      <c r="A612" s="295" t="s">
        <v>102</v>
      </c>
      <c r="B612" s="295" t="s">
        <v>435</v>
      </c>
      <c r="C612" s="295" t="s">
        <v>40</v>
      </c>
      <c r="D612" s="295" t="s">
        <v>281</v>
      </c>
      <c r="E612" s="297">
        <v>0.9854653249580666</v>
      </c>
      <c r="F612" s="297">
        <v>0.98475514595266367</v>
      </c>
      <c r="G612" s="297">
        <v>0.98401026687875148</v>
      </c>
      <c r="H612" s="297">
        <v>0.98322899225569005</v>
      </c>
      <c r="I612" s="297">
        <v>0.98222089935492463</v>
      </c>
      <c r="J612" s="297">
        <v>0.98115221073373093</v>
      </c>
      <c r="K612" s="297">
        <v>0.9800192840280656</v>
      </c>
      <c r="L612" s="297">
        <v>0.97881825793406996</v>
      </c>
      <c r="M612" s="297">
        <v>0.9775450390477598</v>
      </c>
      <c r="N612" s="297">
        <v>0.97619528791365762</v>
      </c>
      <c r="O612" s="297">
        <v>0.97476440423481914</v>
      </c>
      <c r="P612" s="297">
        <v>0.97324751119384512</v>
      </c>
      <c r="Q612" s="297">
        <v>0.97163943883144088</v>
      </c>
      <c r="R612" s="297">
        <v>0.96993470642587332</v>
      </c>
      <c r="S612" s="297">
        <v>0.96812750381327006</v>
      </c>
      <c r="T612" s="297">
        <v>0.96621167158509536</v>
      </c>
      <c r="U612" s="297">
        <v>0.96418068009531122</v>
      </c>
      <c r="V612" s="328"/>
      <c r="W612" s="260" t="s">
        <v>203</v>
      </c>
      <c r="X612" s="198" t="s">
        <v>510</v>
      </c>
      <c r="Y612" s="157" t="b">
        <v>0</v>
      </c>
      <c r="Z612" s="157"/>
      <c r="AA612" s="157"/>
      <c r="AB612" s="157"/>
      <c r="AC612" s="157"/>
      <c r="AD612" s="157"/>
      <c r="AE612" s="157"/>
      <c r="AF612" s="157"/>
      <c r="AG612" s="157"/>
      <c r="AH612" s="157"/>
      <c r="AI612" s="157"/>
      <c r="AJ612" s="157"/>
      <c r="AK612" s="157"/>
      <c r="AL612" s="157"/>
      <c r="AM612" s="157"/>
      <c r="AN612" s="157"/>
      <c r="AO612" s="157"/>
      <c r="AP612" s="157"/>
    </row>
    <row r="613" spans="1:42" x14ac:dyDescent="0.25">
      <c r="A613" s="295" t="s">
        <v>102</v>
      </c>
      <c r="B613" s="295" t="s">
        <v>435</v>
      </c>
      <c r="C613" s="295" t="s">
        <v>40</v>
      </c>
      <c r="D613" s="295" t="s">
        <v>282</v>
      </c>
      <c r="E613" s="297">
        <v>0.9854653249580666</v>
      </c>
      <c r="F613" s="297">
        <v>0.98475514595266367</v>
      </c>
      <c r="G613" s="297">
        <v>0.98401026687875148</v>
      </c>
      <c r="H613" s="297">
        <v>0.98322899225569005</v>
      </c>
      <c r="I613" s="297">
        <v>0.98222089935492463</v>
      </c>
      <c r="J613" s="297">
        <v>0.98115221073373093</v>
      </c>
      <c r="K613" s="297">
        <v>0.9800192840280656</v>
      </c>
      <c r="L613" s="297">
        <v>0.97881825793406996</v>
      </c>
      <c r="M613" s="297">
        <v>0.9775450390477598</v>
      </c>
      <c r="N613" s="297">
        <v>0.97619528791365762</v>
      </c>
      <c r="O613" s="297">
        <v>0.97476440423481914</v>
      </c>
      <c r="P613" s="297">
        <v>0.97324751119384512</v>
      </c>
      <c r="Q613" s="297">
        <v>0.97163943883144088</v>
      </c>
      <c r="R613" s="297">
        <v>0.96993470642587332</v>
      </c>
      <c r="S613" s="297">
        <v>0.96812750381327006</v>
      </c>
      <c r="T613" s="297">
        <v>0.96621167158509536</v>
      </c>
      <c r="U613" s="297">
        <v>0.96418068009531122</v>
      </c>
      <c r="V613" s="328"/>
      <c r="W613" s="260" t="s">
        <v>203</v>
      </c>
      <c r="X613" s="198" t="s">
        <v>510</v>
      </c>
      <c r="Y613" s="157" t="b">
        <v>0</v>
      </c>
      <c r="Z613" s="157"/>
      <c r="AA613" s="157"/>
      <c r="AB613" s="157"/>
      <c r="AC613" s="157"/>
      <c r="AD613" s="157"/>
      <c r="AE613" s="157"/>
      <c r="AF613" s="157"/>
      <c r="AG613" s="157"/>
      <c r="AH613" s="157"/>
      <c r="AI613" s="157"/>
      <c r="AJ613" s="157"/>
      <c r="AK613" s="157"/>
      <c r="AL613" s="157"/>
      <c r="AM613" s="157"/>
      <c r="AN613" s="157"/>
      <c r="AO613" s="157"/>
      <c r="AP613" s="157"/>
    </row>
    <row r="614" spans="1:42" x14ac:dyDescent="0.25">
      <c r="A614" s="295" t="s">
        <v>102</v>
      </c>
      <c r="B614" s="295" t="s">
        <v>435</v>
      </c>
      <c r="C614" s="295" t="s">
        <v>42</v>
      </c>
      <c r="D614" s="295" t="s">
        <v>276</v>
      </c>
      <c r="E614" s="297">
        <v>0.9854653249580666</v>
      </c>
      <c r="F614" s="297">
        <v>0.98475514595266367</v>
      </c>
      <c r="G614" s="297">
        <v>0.98401026687875148</v>
      </c>
      <c r="H614" s="297">
        <v>0.98322899225569005</v>
      </c>
      <c r="I614" s="297">
        <v>0.98222089935492463</v>
      </c>
      <c r="J614" s="297">
        <v>0.98115221073373093</v>
      </c>
      <c r="K614" s="297">
        <v>0.9800192840280656</v>
      </c>
      <c r="L614" s="297">
        <v>0.97881825793406996</v>
      </c>
      <c r="M614" s="297">
        <v>0.9775450390477598</v>
      </c>
      <c r="N614" s="297">
        <v>0.97619528791365762</v>
      </c>
      <c r="O614" s="297">
        <v>0.97476440423481914</v>
      </c>
      <c r="P614" s="297">
        <v>0.97324751119384512</v>
      </c>
      <c r="Q614" s="297">
        <v>0.97163943883144088</v>
      </c>
      <c r="R614" s="297">
        <v>0.96993470642587332</v>
      </c>
      <c r="S614" s="297">
        <v>0.96812750381327006</v>
      </c>
      <c r="T614" s="297">
        <v>0.96621167158509536</v>
      </c>
      <c r="U614" s="297">
        <v>0.96418068009531122</v>
      </c>
      <c r="V614" s="328"/>
      <c r="W614" s="260" t="s">
        <v>203</v>
      </c>
      <c r="X614" s="198" t="s">
        <v>510</v>
      </c>
      <c r="Y614" s="157" t="b">
        <v>0</v>
      </c>
      <c r="Z614" s="157"/>
      <c r="AA614" s="157"/>
      <c r="AB614" s="157"/>
      <c r="AC614" s="157"/>
      <c r="AD614" s="157"/>
      <c r="AE614" s="157"/>
      <c r="AF614" s="157"/>
      <c r="AG614" s="157"/>
      <c r="AH614" s="157"/>
      <c r="AI614" s="157"/>
      <c r="AJ614" s="157"/>
      <c r="AK614" s="157"/>
      <c r="AL614" s="157"/>
      <c r="AM614" s="157"/>
      <c r="AN614" s="157"/>
      <c r="AO614" s="157"/>
      <c r="AP614" s="157"/>
    </row>
    <row r="615" spans="1:42" x14ac:dyDescent="0.25">
      <c r="A615" s="295" t="s">
        <v>102</v>
      </c>
      <c r="B615" s="295" t="s">
        <v>435</v>
      </c>
      <c r="C615" s="295" t="s">
        <v>42</v>
      </c>
      <c r="D615" s="295" t="s">
        <v>279</v>
      </c>
      <c r="E615" s="297">
        <v>0.9854653249580666</v>
      </c>
      <c r="F615" s="297">
        <v>0.98475514595266367</v>
      </c>
      <c r="G615" s="297">
        <v>0.98401026687875148</v>
      </c>
      <c r="H615" s="297">
        <v>0.98322899225569005</v>
      </c>
      <c r="I615" s="297">
        <v>0.98222089935492463</v>
      </c>
      <c r="J615" s="297">
        <v>0.98115221073373093</v>
      </c>
      <c r="K615" s="297">
        <v>0.9800192840280656</v>
      </c>
      <c r="L615" s="297">
        <v>0.97881825793406996</v>
      </c>
      <c r="M615" s="297">
        <v>0.9775450390477598</v>
      </c>
      <c r="N615" s="297">
        <v>0.97619528791365762</v>
      </c>
      <c r="O615" s="297">
        <v>0.97476440423481914</v>
      </c>
      <c r="P615" s="297">
        <v>0.97324751119384512</v>
      </c>
      <c r="Q615" s="297">
        <v>0.97163943883144088</v>
      </c>
      <c r="R615" s="297">
        <v>0.96993470642587332</v>
      </c>
      <c r="S615" s="297">
        <v>0.96812750381327006</v>
      </c>
      <c r="T615" s="297">
        <v>0.96621167158509536</v>
      </c>
      <c r="U615" s="297">
        <v>0.96418068009531122</v>
      </c>
      <c r="V615" s="328"/>
      <c r="W615" s="260" t="s">
        <v>203</v>
      </c>
      <c r="X615" s="198" t="s">
        <v>510</v>
      </c>
      <c r="Y615" s="157" t="b">
        <v>0</v>
      </c>
      <c r="Z615" s="157"/>
      <c r="AA615" s="157"/>
      <c r="AB615" s="157"/>
      <c r="AC615" s="157"/>
      <c r="AD615" s="157"/>
      <c r="AE615" s="157"/>
      <c r="AF615" s="157"/>
      <c r="AG615" s="157"/>
      <c r="AH615" s="157"/>
      <c r="AI615" s="157"/>
      <c r="AJ615" s="157"/>
      <c r="AK615" s="157"/>
      <c r="AL615" s="157"/>
      <c r="AM615" s="157"/>
      <c r="AN615" s="157"/>
      <c r="AO615" s="157"/>
      <c r="AP615" s="157"/>
    </row>
    <row r="616" spans="1:42" x14ac:dyDescent="0.25">
      <c r="A616" s="295" t="s">
        <v>102</v>
      </c>
      <c r="B616" s="295" t="s">
        <v>435</v>
      </c>
      <c r="C616" s="295" t="s">
        <v>42</v>
      </c>
      <c r="D616" s="295" t="s">
        <v>280</v>
      </c>
      <c r="E616" s="297">
        <v>0.9854653249580666</v>
      </c>
      <c r="F616" s="297">
        <v>0.98475514595266367</v>
      </c>
      <c r="G616" s="297">
        <v>0.98401026687875148</v>
      </c>
      <c r="H616" s="297">
        <v>0.98322899225569005</v>
      </c>
      <c r="I616" s="297">
        <v>0.98222089935492463</v>
      </c>
      <c r="J616" s="297">
        <v>0.98115221073373093</v>
      </c>
      <c r="K616" s="297">
        <v>0.9800192840280656</v>
      </c>
      <c r="L616" s="297">
        <v>0.97881825793406996</v>
      </c>
      <c r="M616" s="297">
        <v>0.9775450390477598</v>
      </c>
      <c r="N616" s="297">
        <v>0.97619528791365762</v>
      </c>
      <c r="O616" s="297">
        <v>0.97476440423481914</v>
      </c>
      <c r="P616" s="297">
        <v>0.97324751119384512</v>
      </c>
      <c r="Q616" s="297">
        <v>0.97163943883144088</v>
      </c>
      <c r="R616" s="297">
        <v>0.96993470642587332</v>
      </c>
      <c r="S616" s="297">
        <v>0.96812750381327006</v>
      </c>
      <c r="T616" s="297">
        <v>0.96621167158509536</v>
      </c>
      <c r="U616" s="297">
        <v>0.96418068009531122</v>
      </c>
      <c r="V616" s="328"/>
      <c r="W616" s="260" t="s">
        <v>203</v>
      </c>
      <c r="X616" s="198" t="s">
        <v>510</v>
      </c>
      <c r="Y616" s="157" t="b">
        <v>0</v>
      </c>
      <c r="Z616" s="157"/>
      <c r="AA616" s="157"/>
      <c r="AB616" s="157"/>
      <c r="AC616" s="157"/>
      <c r="AD616" s="157"/>
      <c r="AE616" s="157"/>
      <c r="AF616" s="157"/>
      <c r="AG616" s="157"/>
      <c r="AH616" s="157"/>
      <c r="AI616" s="157"/>
      <c r="AJ616" s="157"/>
      <c r="AK616" s="157"/>
      <c r="AL616" s="157"/>
      <c r="AM616" s="157"/>
      <c r="AN616" s="157"/>
      <c r="AO616" s="157"/>
      <c r="AP616" s="157"/>
    </row>
    <row r="617" spans="1:42" x14ac:dyDescent="0.25">
      <c r="A617" s="295" t="s">
        <v>102</v>
      </c>
      <c r="B617" s="295" t="s">
        <v>435</v>
      </c>
      <c r="C617" s="295" t="s">
        <v>42</v>
      </c>
      <c r="D617" s="295" t="s">
        <v>281</v>
      </c>
      <c r="E617" s="297">
        <v>0.9854653249580666</v>
      </c>
      <c r="F617" s="297">
        <v>0.98475514595266367</v>
      </c>
      <c r="G617" s="297">
        <v>0.98401026687875148</v>
      </c>
      <c r="H617" s="297">
        <v>0.98322899225569005</v>
      </c>
      <c r="I617" s="297">
        <v>0.98222089935492463</v>
      </c>
      <c r="J617" s="297">
        <v>0.98115221073373093</v>
      </c>
      <c r="K617" s="297">
        <v>0.9800192840280656</v>
      </c>
      <c r="L617" s="297">
        <v>0.97881825793406996</v>
      </c>
      <c r="M617" s="297">
        <v>0.9775450390477598</v>
      </c>
      <c r="N617" s="297">
        <v>0.97619528791365762</v>
      </c>
      <c r="O617" s="297">
        <v>0.97476440423481914</v>
      </c>
      <c r="P617" s="297">
        <v>0.97324751119384512</v>
      </c>
      <c r="Q617" s="297">
        <v>0.97163943883144088</v>
      </c>
      <c r="R617" s="297">
        <v>0.96993470642587332</v>
      </c>
      <c r="S617" s="297">
        <v>0.96812750381327006</v>
      </c>
      <c r="T617" s="297">
        <v>0.96621167158509536</v>
      </c>
      <c r="U617" s="297">
        <v>0.96418068009531122</v>
      </c>
      <c r="V617" s="328"/>
      <c r="W617" s="260" t="s">
        <v>203</v>
      </c>
      <c r="X617" s="198" t="s">
        <v>510</v>
      </c>
      <c r="Y617" s="157" t="b">
        <v>0</v>
      </c>
      <c r="Z617" s="157"/>
      <c r="AA617" s="157"/>
      <c r="AB617" s="157"/>
      <c r="AC617" s="157"/>
      <c r="AD617" s="157"/>
      <c r="AE617" s="157"/>
      <c r="AF617" s="157"/>
      <c r="AG617" s="157"/>
      <c r="AH617" s="157"/>
      <c r="AI617" s="157"/>
      <c r="AJ617" s="157"/>
      <c r="AK617" s="157"/>
      <c r="AL617" s="157"/>
      <c r="AM617" s="157"/>
      <c r="AN617" s="157"/>
      <c r="AO617" s="157"/>
      <c r="AP617" s="157"/>
    </row>
    <row r="618" spans="1:42" x14ac:dyDescent="0.25">
      <c r="A618" s="295" t="s">
        <v>102</v>
      </c>
      <c r="B618" s="295" t="s">
        <v>435</v>
      </c>
      <c r="C618" s="295" t="s">
        <v>42</v>
      </c>
      <c r="D618" s="295" t="s">
        <v>282</v>
      </c>
      <c r="E618" s="297">
        <v>0.9854653249580666</v>
      </c>
      <c r="F618" s="297">
        <v>0.98475514595266367</v>
      </c>
      <c r="G618" s="297">
        <v>0.98401026687875148</v>
      </c>
      <c r="H618" s="297">
        <v>0.98322899225569005</v>
      </c>
      <c r="I618" s="297">
        <v>0.98222089935492463</v>
      </c>
      <c r="J618" s="297">
        <v>0.98115221073373093</v>
      </c>
      <c r="K618" s="297">
        <v>0.9800192840280656</v>
      </c>
      <c r="L618" s="297">
        <v>0.97881825793406996</v>
      </c>
      <c r="M618" s="297">
        <v>0.9775450390477598</v>
      </c>
      <c r="N618" s="297">
        <v>0.97619528791365762</v>
      </c>
      <c r="O618" s="297">
        <v>0.97476440423481914</v>
      </c>
      <c r="P618" s="297">
        <v>0.97324751119384512</v>
      </c>
      <c r="Q618" s="297">
        <v>0.97163943883144088</v>
      </c>
      <c r="R618" s="297">
        <v>0.96993470642587332</v>
      </c>
      <c r="S618" s="297">
        <v>0.96812750381327006</v>
      </c>
      <c r="T618" s="297">
        <v>0.96621167158509536</v>
      </c>
      <c r="U618" s="297">
        <v>0.96418068009531122</v>
      </c>
      <c r="V618" s="328"/>
      <c r="W618" s="260" t="s">
        <v>203</v>
      </c>
      <c r="X618" s="198" t="s">
        <v>510</v>
      </c>
      <c r="Y618" s="157" t="b">
        <v>0</v>
      </c>
      <c r="Z618" s="157"/>
      <c r="AA618" s="157"/>
      <c r="AB618" s="157"/>
      <c r="AC618" s="157"/>
      <c r="AD618" s="157"/>
      <c r="AE618" s="157"/>
      <c r="AF618" s="157"/>
      <c r="AG618" s="157"/>
      <c r="AH618" s="157"/>
      <c r="AI618" s="157"/>
      <c r="AJ618" s="157"/>
      <c r="AK618" s="157"/>
      <c r="AL618" s="157"/>
      <c r="AM618" s="157"/>
      <c r="AN618" s="157"/>
      <c r="AO618" s="157"/>
      <c r="AP618" s="157"/>
    </row>
    <row r="619" spans="1:42" x14ac:dyDescent="0.25">
      <c r="A619" s="295" t="s">
        <v>55</v>
      </c>
      <c r="B619" s="295" t="s">
        <v>435</v>
      </c>
      <c r="C619" s="295" t="s">
        <v>46</v>
      </c>
      <c r="D619" s="295" t="s">
        <v>46</v>
      </c>
      <c r="E619" s="297">
        <v>1</v>
      </c>
      <c r="F619" s="297">
        <v>1</v>
      </c>
      <c r="G619" s="297">
        <v>1</v>
      </c>
      <c r="H619" s="297">
        <v>1</v>
      </c>
      <c r="I619" s="297">
        <v>1</v>
      </c>
      <c r="J619" s="297">
        <v>1</v>
      </c>
      <c r="K619" s="297">
        <v>1</v>
      </c>
      <c r="L619" s="297">
        <v>1</v>
      </c>
      <c r="M619" s="297">
        <v>1</v>
      </c>
      <c r="N619" s="297">
        <v>1</v>
      </c>
      <c r="O619" s="297">
        <v>1</v>
      </c>
      <c r="P619" s="297">
        <v>1</v>
      </c>
      <c r="Q619" s="297">
        <v>1</v>
      </c>
      <c r="R619" s="297">
        <v>1</v>
      </c>
      <c r="S619" s="297">
        <v>1</v>
      </c>
      <c r="T619" s="297">
        <v>1</v>
      </c>
      <c r="U619" s="297">
        <v>1</v>
      </c>
      <c r="V619" s="328"/>
      <c r="W619" s="260" t="s">
        <v>46</v>
      </c>
      <c r="X619" s="198" t="s">
        <v>511</v>
      </c>
      <c r="Y619" s="157" t="b">
        <v>0</v>
      </c>
      <c r="Z619" s="157"/>
      <c r="AA619" s="157"/>
      <c r="AB619" s="157"/>
      <c r="AC619" s="157"/>
      <c r="AD619" s="157"/>
      <c r="AE619" s="157"/>
      <c r="AF619" s="157"/>
      <c r="AG619" s="157"/>
      <c r="AH619" s="157"/>
      <c r="AI619" s="157"/>
      <c r="AJ619" s="157"/>
      <c r="AK619" s="157"/>
      <c r="AL619" s="157"/>
      <c r="AM619" s="157"/>
      <c r="AN619" s="157"/>
      <c r="AO619" s="157"/>
      <c r="AP619" s="157"/>
    </row>
    <row r="620" spans="1:42" x14ac:dyDescent="0.25">
      <c r="A620" s="295" t="s">
        <v>54</v>
      </c>
      <c r="B620" s="295" t="s">
        <v>435</v>
      </c>
      <c r="C620" s="295" t="s">
        <v>45</v>
      </c>
      <c r="D620" s="295" t="s">
        <v>269</v>
      </c>
      <c r="E620" s="297">
        <v>1</v>
      </c>
      <c r="F620" s="297">
        <v>1</v>
      </c>
      <c r="G620" s="297">
        <v>1</v>
      </c>
      <c r="H620" s="297">
        <v>1</v>
      </c>
      <c r="I620" s="297">
        <v>1</v>
      </c>
      <c r="J620" s="297">
        <v>1</v>
      </c>
      <c r="K620" s="297">
        <v>1</v>
      </c>
      <c r="L620" s="297">
        <v>1</v>
      </c>
      <c r="M620" s="297">
        <v>1</v>
      </c>
      <c r="N620" s="297">
        <v>1</v>
      </c>
      <c r="O620" s="297">
        <v>1</v>
      </c>
      <c r="P620" s="297">
        <v>1</v>
      </c>
      <c r="Q620" s="297">
        <v>1</v>
      </c>
      <c r="R620" s="297">
        <v>1</v>
      </c>
      <c r="S620" s="297">
        <v>1</v>
      </c>
      <c r="T620" s="297">
        <v>1</v>
      </c>
      <c r="U620" s="297">
        <v>1</v>
      </c>
      <c r="V620" s="328"/>
      <c r="W620" s="260" t="s">
        <v>45</v>
      </c>
      <c r="X620" s="198" t="s">
        <v>512</v>
      </c>
      <c r="Y620" s="157" t="b">
        <v>0</v>
      </c>
      <c r="Z620" s="157"/>
      <c r="AA620" s="157"/>
      <c r="AB620" s="157"/>
      <c r="AC620" s="157"/>
      <c r="AD620" s="157"/>
      <c r="AE620" s="157"/>
      <c r="AF620" s="157"/>
      <c r="AG620" s="157"/>
      <c r="AH620" s="157"/>
      <c r="AI620" s="157"/>
      <c r="AJ620" s="157"/>
      <c r="AK620" s="157"/>
      <c r="AL620" s="157"/>
      <c r="AM620" s="157"/>
      <c r="AN620" s="157"/>
      <c r="AO620" s="157"/>
      <c r="AP620" s="157"/>
    </row>
    <row r="621" spans="1:42" x14ac:dyDescent="0.25">
      <c r="A621" s="295" t="s">
        <v>54</v>
      </c>
      <c r="B621" s="295" t="s">
        <v>435</v>
      </c>
      <c r="C621" s="295" t="s">
        <v>45</v>
      </c>
      <c r="D621" s="295" t="s">
        <v>272</v>
      </c>
      <c r="E621" s="297">
        <v>1</v>
      </c>
      <c r="F621" s="297">
        <v>1</v>
      </c>
      <c r="G621" s="297">
        <v>1</v>
      </c>
      <c r="H621" s="297">
        <v>1</v>
      </c>
      <c r="I621" s="297">
        <v>1</v>
      </c>
      <c r="J621" s="297">
        <v>1</v>
      </c>
      <c r="K621" s="297">
        <v>1</v>
      </c>
      <c r="L621" s="297">
        <v>1</v>
      </c>
      <c r="M621" s="297">
        <v>1</v>
      </c>
      <c r="N621" s="297">
        <v>1</v>
      </c>
      <c r="O621" s="297">
        <v>1</v>
      </c>
      <c r="P621" s="297">
        <v>1</v>
      </c>
      <c r="Q621" s="297">
        <v>1</v>
      </c>
      <c r="R621" s="297">
        <v>1</v>
      </c>
      <c r="S621" s="297">
        <v>1</v>
      </c>
      <c r="T621" s="297">
        <v>1</v>
      </c>
      <c r="U621" s="297">
        <v>1</v>
      </c>
      <c r="V621" s="328"/>
      <c r="W621" s="260" t="s">
        <v>45</v>
      </c>
      <c r="X621" s="198" t="s">
        <v>512</v>
      </c>
      <c r="Y621" s="157" t="b">
        <v>0</v>
      </c>
      <c r="Z621" s="157"/>
      <c r="AA621" s="157"/>
      <c r="AB621" s="157"/>
      <c r="AC621" s="157"/>
      <c r="AD621" s="157"/>
      <c r="AE621" s="157"/>
      <c r="AF621" s="157"/>
      <c r="AG621" s="157"/>
      <c r="AH621" s="157"/>
      <c r="AI621" s="157"/>
      <c r="AJ621" s="157"/>
      <c r="AK621" s="157"/>
      <c r="AL621" s="157"/>
      <c r="AM621" s="157"/>
      <c r="AN621" s="157"/>
      <c r="AO621" s="157"/>
      <c r="AP621" s="157"/>
    </row>
    <row r="622" spans="1:42" x14ac:dyDescent="0.25">
      <c r="A622" s="295" t="s">
        <v>57</v>
      </c>
      <c r="B622" s="295" t="s">
        <v>435</v>
      </c>
      <c r="C622" s="295" t="s">
        <v>45</v>
      </c>
      <c r="D622" s="295" t="s">
        <v>269</v>
      </c>
      <c r="E622" s="297">
        <v>1</v>
      </c>
      <c r="F622" s="297">
        <v>1</v>
      </c>
      <c r="G622" s="297">
        <v>1</v>
      </c>
      <c r="H622" s="297">
        <v>1</v>
      </c>
      <c r="I622" s="297">
        <v>1</v>
      </c>
      <c r="J622" s="297">
        <v>1</v>
      </c>
      <c r="K622" s="297">
        <v>1</v>
      </c>
      <c r="L622" s="297">
        <v>1</v>
      </c>
      <c r="M622" s="297">
        <v>1</v>
      </c>
      <c r="N622" s="297">
        <v>1</v>
      </c>
      <c r="O622" s="297">
        <v>1</v>
      </c>
      <c r="P622" s="297">
        <v>1</v>
      </c>
      <c r="Q622" s="297">
        <v>1</v>
      </c>
      <c r="R622" s="297">
        <v>1</v>
      </c>
      <c r="S622" s="297">
        <v>1</v>
      </c>
      <c r="T622" s="297">
        <v>1</v>
      </c>
      <c r="U622" s="297">
        <v>1</v>
      </c>
      <c r="V622" s="328"/>
      <c r="W622" s="260" t="s">
        <v>45</v>
      </c>
      <c r="X622" s="198" t="s">
        <v>513</v>
      </c>
      <c r="Y622" s="157" t="b">
        <v>0</v>
      </c>
      <c r="Z622" s="157"/>
      <c r="AA622" s="157"/>
      <c r="AB622" s="157"/>
      <c r="AC622" s="157"/>
      <c r="AD622" s="157"/>
      <c r="AE622" s="157"/>
      <c r="AF622" s="157"/>
      <c r="AG622" s="157"/>
      <c r="AH622" s="157"/>
      <c r="AI622" s="157"/>
      <c r="AJ622" s="157"/>
      <c r="AK622" s="157"/>
      <c r="AL622" s="157"/>
      <c r="AM622" s="157"/>
      <c r="AN622" s="157"/>
      <c r="AO622" s="157"/>
      <c r="AP622" s="157"/>
    </row>
    <row r="623" spans="1:42" x14ac:dyDescent="0.25">
      <c r="A623" s="295" t="s">
        <v>57</v>
      </c>
      <c r="B623" s="295" t="s">
        <v>435</v>
      </c>
      <c r="C623" s="295" t="s">
        <v>45</v>
      </c>
      <c r="D623" s="295" t="s">
        <v>272</v>
      </c>
      <c r="E623" s="297">
        <v>1</v>
      </c>
      <c r="F623" s="297">
        <v>1</v>
      </c>
      <c r="G623" s="297">
        <v>1</v>
      </c>
      <c r="H623" s="297">
        <v>1</v>
      </c>
      <c r="I623" s="297">
        <v>1</v>
      </c>
      <c r="J623" s="297">
        <v>1</v>
      </c>
      <c r="K623" s="297">
        <v>1</v>
      </c>
      <c r="L623" s="297">
        <v>1</v>
      </c>
      <c r="M623" s="297">
        <v>1</v>
      </c>
      <c r="N623" s="297">
        <v>1</v>
      </c>
      <c r="O623" s="297">
        <v>1</v>
      </c>
      <c r="P623" s="297">
        <v>1</v>
      </c>
      <c r="Q623" s="297">
        <v>1</v>
      </c>
      <c r="R623" s="297">
        <v>1</v>
      </c>
      <c r="S623" s="297">
        <v>1</v>
      </c>
      <c r="T623" s="297">
        <v>1</v>
      </c>
      <c r="U623" s="297">
        <v>1</v>
      </c>
      <c r="V623" s="328"/>
      <c r="W623" s="260" t="s">
        <v>45</v>
      </c>
      <c r="X623" s="198" t="s">
        <v>513</v>
      </c>
      <c r="Y623" s="157" t="b">
        <v>0</v>
      </c>
      <c r="Z623" s="157"/>
      <c r="AA623" s="157"/>
      <c r="AB623" s="157"/>
      <c r="AC623" s="157"/>
      <c r="AD623" s="157"/>
      <c r="AE623" s="157"/>
      <c r="AF623" s="157"/>
      <c r="AG623" s="157"/>
      <c r="AH623" s="157"/>
      <c r="AI623" s="157"/>
      <c r="AJ623" s="157"/>
      <c r="AK623" s="157"/>
      <c r="AL623" s="157"/>
      <c r="AM623" s="157"/>
      <c r="AN623" s="157"/>
      <c r="AO623" s="157"/>
      <c r="AP623" s="157"/>
    </row>
    <row r="624" spans="1:42" x14ac:dyDescent="0.25">
      <c r="A624" s="295" t="s">
        <v>56</v>
      </c>
      <c r="B624" s="295" t="s">
        <v>435</v>
      </c>
      <c r="C624" s="295" t="s">
        <v>44</v>
      </c>
      <c r="D624" s="295" t="s">
        <v>276</v>
      </c>
      <c r="E624" s="297">
        <v>0</v>
      </c>
      <c r="F624" s="297">
        <v>0</v>
      </c>
      <c r="G624" s="297">
        <v>0</v>
      </c>
      <c r="H624" s="297">
        <v>0</v>
      </c>
      <c r="I624" s="297">
        <v>0</v>
      </c>
      <c r="J624" s="297">
        <v>0</v>
      </c>
      <c r="K624" s="297">
        <v>0</v>
      </c>
      <c r="L624" s="297">
        <v>0</v>
      </c>
      <c r="M624" s="297">
        <v>0</v>
      </c>
      <c r="N624" s="297">
        <v>0</v>
      </c>
      <c r="O624" s="297">
        <v>0</v>
      </c>
      <c r="P624" s="297">
        <v>0</v>
      </c>
      <c r="Q624" s="297">
        <v>0</v>
      </c>
      <c r="R624" s="297">
        <v>0</v>
      </c>
      <c r="S624" s="297">
        <v>0</v>
      </c>
      <c r="T624" s="297">
        <v>0</v>
      </c>
      <c r="U624" s="297">
        <v>0</v>
      </c>
      <c r="V624" s="328"/>
      <c r="W624" s="260" t="s">
        <v>200</v>
      </c>
      <c r="X624" s="198" t="s">
        <v>514</v>
      </c>
      <c r="Y624" s="157" t="b">
        <v>0</v>
      </c>
      <c r="Z624" s="157"/>
      <c r="AA624" s="157"/>
      <c r="AB624" s="157"/>
      <c r="AC624" s="157"/>
      <c r="AD624" s="157"/>
      <c r="AE624" s="157"/>
      <c r="AF624" s="157"/>
      <c r="AG624" s="157"/>
      <c r="AH624" s="157"/>
      <c r="AI624" s="157"/>
      <c r="AJ624" s="157"/>
      <c r="AK624" s="157"/>
      <c r="AL624" s="157"/>
      <c r="AM624" s="157"/>
      <c r="AN624" s="157"/>
      <c r="AO624" s="157"/>
      <c r="AP624" s="157"/>
    </row>
    <row r="625" spans="1:42" x14ac:dyDescent="0.25">
      <c r="A625" s="295" t="s">
        <v>56</v>
      </c>
      <c r="B625" s="295" t="s">
        <v>435</v>
      </c>
      <c r="C625" s="295" t="s">
        <v>44</v>
      </c>
      <c r="D625" s="295" t="s">
        <v>279</v>
      </c>
      <c r="E625" s="297">
        <v>0</v>
      </c>
      <c r="F625" s="297">
        <v>0</v>
      </c>
      <c r="G625" s="297">
        <v>0</v>
      </c>
      <c r="H625" s="297">
        <v>0</v>
      </c>
      <c r="I625" s="297">
        <v>0</v>
      </c>
      <c r="J625" s="297">
        <v>0</v>
      </c>
      <c r="K625" s="297">
        <v>0</v>
      </c>
      <c r="L625" s="297">
        <v>0</v>
      </c>
      <c r="M625" s="297">
        <v>0</v>
      </c>
      <c r="N625" s="297">
        <v>0</v>
      </c>
      <c r="O625" s="297">
        <v>0</v>
      </c>
      <c r="P625" s="297">
        <v>0</v>
      </c>
      <c r="Q625" s="297">
        <v>0</v>
      </c>
      <c r="R625" s="297">
        <v>0</v>
      </c>
      <c r="S625" s="297">
        <v>0</v>
      </c>
      <c r="T625" s="297">
        <v>0</v>
      </c>
      <c r="U625" s="297">
        <v>0</v>
      </c>
      <c r="V625" s="328"/>
      <c r="W625" s="260" t="s">
        <v>200</v>
      </c>
      <c r="X625" s="198" t="s">
        <v>514</v>
      </c>
      <c r="Y625" s="157" t="b">
        <v>0</v>
      </c>
      <c r="Z625" s="157"/>
      <c r="AA625" s="157"/>
      <c r="AB625" s="157"/>
      <c r="AC625" s="157"/>
      <c r="AD625" s="157"/>
      <c r="AE625" s="157"/>
      <c r="AF625" s="157"/>
      <c r="AG625" s="157"/>
      <c r="AH625" s="157"/>
      <c r="AI625" s="157"/>
      <c r="AJ625" s="157"/>
      <c r="AK625" s="157"/>
      <c r="AL625" s="157"/>
      <c r="AM625" s="157"/>
      <c r="AN625" s="157"/>
      <c r="AO625" s="157"/>
      <c r="AP625" s="157"/>
    </row>
    <row r="626" spans="1:42" x14ac:dyDescent="0.25">
      <c r="A626" s="295" t="s">
        <v>56</v>
      </c>
      <c r="B626" s="295" t="s">
        <v>435</v>
      </c>
      <c r="C626" s="295" t="s">
        <v>44</v>
      </c>
      <c r="D626" s="295" t="s">
        <v>281</v>
      </c>
      <c r="E626" s="297">
        <v>0</v>
      </c>
      <c r="F626" s="297">
        <v>0</v>
      </c>
      <c r="G626" s="297">
        <v>0</v>
      </c>
      <c r="H626" s="297">
        <v>0</v>
      </c>
      <c r="I626" s="297">
        <v>0</v>
      </c>
      <c r="J626" s="297">
        <v>0</v>
      </c>
      <c r="K626" s="297">
        <v>0</v>
      </c>
      <c r="L626" s="297">
        <v>0</v>
      </c>
      <c r="M626" s="297">
        <v>0</v>
      </c>
      <c r="N626" s="297">
        <v>0</v>
      </c>
      <c r="O626" s="297">
        <v>0</v>
      </c>
      <c r="P626" s="297">
        <v>0</v>
      </c>
      <c r="Q626" s="297">
        <v>0</v>
      </c>
      <c r="R626" s="297">
        <v>0</v>
      </c>
      <c r="S626" s="297">
        <v>0</v>
      </c>
      <c r="T626" s="297">
        <v>0</v>
      </c>
      <c r="U626" s="297">
        <v>0</v>
      </c>
      <c r="V626" s="328"/>
      <c r="W626" s="260" t="s">
        <v>200</v>
      </c>
      <c r="X626" s="198" t="s">
        <v>514</v>
      </c>
      <c r="Y626" s="157" t="b">
        <v>0</v>
      </c>
      <c r="Z626" s="157"/>
      <c r="AA626" s="157"/>
      <c r="AB626" s="157"/>
      <c r="AC626" s="157"/>
      <c r="AD626" s="157"/>
      <c r="AE626" s="157"/>
      <c r="AF626" s="157"/>
      <c r="AG626" s="157"/>
      <c r="AH626" s="157"/>
      <c r="AI626" s="157"/>
      <c r="AJ626" s="157"/>
      <c r="AK626" s="157"/>
      <c r="AL626" s="157"/>
      <c r="AM626" s="157"/>
      <c r="AN626" s="157"/>
      <c r="AO626" s="157"/>
      <c r="AP626" s="157"/>
    </row>
    <row r="627" spans="1:42" x14ac:dyDescent="0.25">
      <c r="A627" s="295" t="s">
        <v>56</v>
      </c>
      <c r="B627" s="295" t="s">
        <v>435</v>
      </c>
      <c r="C627" s="295" t="s">
        <v>41</v>
      </c>
      <c r="D627" s="295" t="s">
        <v>280</v>
      </c>
      <c r="E627" s="297">
        <v>0</v>
      </c>
      <c r="F627" s="297">
        <v>0</v>
      </c>
      <c r="G627" s="297">
        <v>0</v>
      </c>
      <c r="H627" s="297">
        <v>0</v>
      </c>
      <c r="I627" s="297">
        <v>0</v>
      </c>
      <c r="J627" s="297">
        <v>0</v>
      </c>
      <c r="K627" s="297">
        <v>0</v>
      </c>
      <c r="L627" s="297">
        <v>0</v>
      </c>
      <c r="M627" s="297">
        <v>0</v>
      </c>
      <c r="N627" s="297">
        <v>0</v>
      </c>
      <c r="O627" s="297">
        <v>0</v>
      </c>
      <c r="P627" s="297">
        <v>0</v>
      </c>
      <c r="Q627" s="297">
        <v>0</v>
      </c>
      <c r="R627" s="297">
        <v>0</v>
      </c>
      <c r="S627" s="297">
        <v>0</v>
      </c>
      <c r="T627" s="297">
        <v>0</v>
      </c>
      <c r="U627" s="297">
        <v>0</v>
      </c>
      <c r="V627" s="328"/>
      <c r="W627" s="260" t="s">
        <v>200</v>
      </c>
      <c r="X627" s="198" t="s">
        <v>514</v>
      </c>
      <c r="Y627" s="157" t="b">
        <v>0</v>
      </c>
      <c r="Z627" s="157"/>
      <c r="AA627" s="157"/>
      <c r="AB627" s="157"/>
      <c r="AC627" s="157"/>
      <c r="AD627" s="157"/>
      <c r="AE627" s="157"/>
      <c r="AF627" s="157"/>
      <c r="AG627" s="157"/>
      <c r="AH627" s="157"/>
      <c r="AI627" s="157"/>
      <c r="AJ627" s="157"/>
      <c r="AK627" s="157"/>
      <c r="AL627" s="157"/>
      <c r="AM627" s="157"/>
      <c r="AN627" s="157"/>
      <c r="AO627" s="157"/>
      <c r="AP627" s="157"/>
    </row>
    <row r="628" spans="1:42" x14ac:dyDescent="0.25">
      <c r="A628" s="295" t="s">
        <v>56</v>
      </c>
      <c r="B628" s="295" t="s">
        <v>435</v>
      </c>
      <c r="C628" s="295" t="s">
        <v>41</v>
      </c>
      <c r="D628" s="295" t="s">
        <v>282</v>
      </c>
      <c r="E628" s="297">
        <v>0</v>
      </c>
      <c r="F628" s="297">
        <v>0</v>
      </c>
      <c r="G628" s="297">
        <v>0</v>
      </c>
      <c r="H628" s="297">
        <v>0</v>
      </c>
      <c r="I628" s="297">
        <v>0</v>
      </c>
      <c r="J628" s="297">
        <v>0</v>
      </c>
      <c r="K628" s="297">
        <v>0</v>
      </c>
      <c r="L628" s="297">
        <v>0</v>
      </c>
      <c r="M628" s="297">
        <v>0</v>
      </c>
      <c r="N628" s="297">
        <v>0</v>
      </c>
      <c r="O628" s="297">
        <v>0</v>
      </c>
      <c r="P628" s="297">
        <v>0</v>
      </c>
      <c r="Q628" s="297">
        <v>0</v>
      </c>
      <c r="R628" s="297">
        <v>0</v>
      </c>
      <c r="S628" s="297">
        <v>0</v>
      </c>
      <c r="T628" s="297">
        <v>0</v>
      </c>
      <c r="U628" s="297">
        <v>0</v>
      </c>
      <c r="V628" s="328"/>
      <c r="W628" s="260" t="s">
        <v>200</v>
      </c>
      <c r="X628" s="198" t="s">
        <v>514</v>
      </c>
      <c r="Y628" s="157" t="b">
        <v>0</v>
      </c>
      <c r="Z628" s="157"/>
      <c r="AA628" s="157"/>
      <c r="AB628" s="157"/>
      <c r="AC628" s="157"/>
      <c r="AD628" s="157"/>
      <c r="AE628" s="157"/>
      <c r="AF628" s="157"/>
      <c r="AG628" s="157"/>
      <c r="AH628" s="157"/>
      <c r="AI628" s="157"/>
      <c r="AJ628" s="157"/>
      <c r="AK628" s="157"/>
      <c r="AL628" s="157"/>
      <c r="AM628" s="157"/>
      <c r="AN628" s="157"/>
      <c r="AO628" s="157"/>
      <c r="AP628" s="157"/>
    </row>
    <row r="629" spans="1:42" x14ac:dyDescent="0.25">
      <c r="A629" s="295" t="s">
        <v>56</v>
      </c>
      <c r="B629" s="295" t="s">
        <v>435</v>
      </c>
      <c r="C629" s="295" t="s">
        <v>43</v>
      </c>
      <c r="D629" s="295" t="s">
        <v>276</v>
      </c>
      <c r="E629" s="297">
        <v>0</v>
      </c>
      <c r="F629" s="297">
        <v>0</v>
      </c>
      <c r="G629" s="297">
        <v>0</v>
      </c>
      <c r="H629" s="297">
        <v>0</v>
      </c>
      <c r="I629" s="297">
        <v>0</v>
      </c>
      <c r="J629" s="297">
        <v>0</v>
      </c>
      <c r="K629" s="297">
        <v>0</v>
      </c>
      <c r="L629" s="297">
        <v>0</v>
      </c>
      <c r="M629" s="297">
        <v>0</v>
      </c>
      <c r="N629" s="297">
        <v>0</v>
      </c>
      <c r="O629" s="297">
        <v>0</v>
      </c>
      <c r="P629" s="297">
        <v>0</v>
      </c>
      <c r="Q629" s="297">
        <v>0</v>
      </c>
      <c r="R629" s="297">
        <v>0</v>
      </c>
      <c r="S629" s="297">
        <v>0</v>
      </c>
      <c r="T629" s="297">
        <v>0</v>
      </c>
      <c r="U629" s="297">
        <v>0</v>
      </c>
      <c r="V629" s="328"/>
      <c r="W629" s="260" t="s">
        <v>200</v>
      </c>
      <c r="X629" s="198" t="s">
        <v>514</v>
      </c>
      <c r="Y629" s="157" t="b">
        <v>0</v>
      </c>
      <c r="Z629" s="157"/>
      <c r="AA629" s="157"/>
      <c r="AB629" s="157"/>
      <c r="AC629" s="157"/>
      <c r="AD629" s="157"/>
      <c r="AE629" s="157"/>
      <c r="AF629" s="157"/>
      <c r="AG629" s="157"/>
      <c r="AH629" s="157"/>
      <c r="AI629" s="157"/>
      <c r="AJ629" s="157"/>
      <c r="AK629" s="157"/>
      <c r="AL629" s="157"/>
      <c r="AM629" s="157"/>
      <c r="AN629" s="157"/>
      <c r="AO629" s="157"/>
      <c r="AP629" s="157"/>
    </row>
    <row r="630" spans="1:42" x14ac:dyDescent="0.25">
      <c r="A630" s="295" t="s">
        <v>56</v>
      </c>
      <c r="B630" s="295" t="s">
        <v>435</v>
      </c>
      <c r="C630" s="295" t="s">
        <v>43</v>
      </c>
      <c r="D630" s="295" t="s">
        <v>279</v>
      </c>
      <c r="E630" s="297">
        <v>0</v>
      </c>
      <c r="F630" s="297">
        <v>0</v>
      </c>
      <c r="G630" s="297">
        <v>0</v>
      </c>
      <c r="H630" s="297">
        <v>0</v>
      </c>
      <c r="I630" s="297">
        <v>0</v>
      </c>
      <c r="J630" s="297">
        <v>0</v>
      </c>
      <c r="K630" s="297">
        <v>0</v>
      </c>
      <c r="L630" s="297">
        <v>0</v>
      </c>
      <c r="M630" s="297">
        <v>0</v>
      </c>
      <c r="N630" s="297">
        <v>0</v>
      </c>
      <c r="O630" s="297">
        <v>0</v>
      </c>
      <c r="P630" s="297">
        <v>0</v>
      </c>
      <c r="Q630" s="297">
        <v>0</v>
      </c>
      <c r="R630" s="297">
        <v>0</v>
      </c>
      <c r="S630" s="297">
        <v>0</v>
      </c>
      <c r="T630" s="297">
        <v>0</v>
      </c>
      <c r="U630" s="297">
        <v>0</v>
      </c>
      <c r="V630" s="328"/>
      <c r="W630" s="260" t="s">
        <v>200</v>
      </c>
      <c r="X630" s="198" t="s">
        <v>514</v>
      </c>
      <c r="Y630" s="157" t="b">
        <v>0</v>
      </c>
      <c r="Z630" s="157"/>
      <c r="AA630" s="157"/>
      <c r="AB630" s="157"/>
      <c r="AC630" s="157"/>
      <c r="AD630" s="157"/>
      <c r="AE630" s="157"/>
      <c r="AF630" s="157"/>
      <c r="AG630" s="157"/>
      <c r="AH630" s="157"/>
      <c r="AI630" s="157"/>
      <c r="AJ630" s="157"/>
      <c r="AK630" s="157"/>
      <c r="AL630" s="157"/>
      <c r="AM630" s="157"/>
      <c r="AN630" s="157"/>
      <c r="AO630" s="157"/>
      <c r="AP630" s="157"/>
    </row>
    <row r="631" spans="1:42" x14ac:dyDescent="0.25">
      <c r="A631" s="295" t="s">
        <v>56</v>
      </c>
      <c r="B631" s="295" t="s">
        <v>435</v>
      </c>
      <c r="C631" s="295" t="s">
        <v>43</v>
      </c>
      <c r="D631" s="295" t="s">
        <v>280</v>
      </c>
      <c r="E631" s="297">
        <v>0</v>
      </c>
      <c r="F631" s="297">
        <v>0</v>
      </c>
      <c r="G631" s="297">
        <v>0</v>
      </c>
      <c r="H631" s="297">
        <v>0</v>
      </c>
      <c r="I631" s="297">
        <v>0</v>
      </c>
      <c r="J631" s="297">
        <v>0</v>
      </c>
      <c r="K631" s="297">
        <v>0</v>
      </c>
      <c r="L631" s="297">
        <v>0</v>
      </c>
      <c r="M631" s="297">
        <v>0</v>
      </c>
      <c r="N631" s="297">
        <v>0</v>
      </c>
      <c r="O631" s="297">
        <v>0</v>
      </c>
      <c r="P631" s="297">
        <v>0</v>
      </c>
      <c r="Q631" s="297">
        <v>0</v>
      </c>
      <c r="R631" s="297">
        <v>0</v>
      </c>
      <c r="S631" s="297">
        <v>0</v>
      </c>
      <c r="T631" s="297">
        <v>0</v>
      </c>
      <c r="U631" s="297">
        <v>0</v>
      </c>
      <c r="V631" s="328"/>
      <c r="W631" s="260" t="s">
        <v>200</v>
      </c>
      <c r="X631" s="198" t="s">
        <v>514</v>
      </c>
      <c r="Y631" s="157" t="b">
        <v>0</v>
      </c>
      <c r="Z631" s="157"/>
      <c r="AA631" s="157"/>
      <c r="AB631" s="157"/>
      <c r="AC631" s="157"/>
      <c r="AD631" s="157"/>
      <c r="AE631" s="157"/>
      <c r="AF631" s="157"/>
      <c r="AG631" s="157"/>
      <c r="AH631" s="157"/>
      <c r="AI631" s="157"/>
      <c r="AJ631" s="157"/>
      <c r="AK631" s="157"/>
      <c r="AL631" s="157"/>
      <c r="AM631" s="157"/>
      <c r="AN631" s="157"/>
      <c r="AO631" s="157"/>
      <c r="AP631" s="157"/>
    </row>
    <row r="632" spans="1:42" x14ac:dyDescent="0.25">
      <c r="A632" s="295" t="s">
        <v>56</v>
      </c>
      <c r="B632" s="295" t="s">
        <v>435</v>
      </c>
      <c r="C632" s="295" t="s">
        <v>43</v>
      </c>
      <c r="D632" s="295" t="s">
        <v>281</v>
      </c>
      <c r="E632" s="297">
        <v>0</v>
      </c>
      <c r="F632" s="297">
        <v>0</v>
      </c>
      <c r="G632" s="297">
        <v>0</v>
      </c>
      <c r="H632" s="297">
        <v>0</v>
      </c>
      <c r="I632" s="297">
        <v>0</v>
      </c>
      <c r="J632" s="297">
        <v>0</v>
      </c>
      <c r="K632" s="297">
        <v>0</v>
      </c>
      <c r="L632" s="297">
        <v>0</v>
      </c>
      <c r="M632" s="297">
        <v>0</v>
      </c>
      <c r="N632" s="297">
        <v>0</v>
      </c>
      <c r="O632" s="297">
        <v>0</v>
      </c>
      <c r="P632" s="297">
        <v>0</v>
      </c>
      <c r="Q632" s="297">
        <v>0</v>
      </c>
      <c r="R632" s="297">
        <v>0</v>
      </c>
      <c r="S632" s="297">
        <v>0</v>
      </c>
      <c r="T632" s="297">
        <v>0</v>
      </c>
      <c r="U632" s="297">
        <v>0</v>
      </c>
      <c r="V632" s="328"/>
      <c r="W632" s="260" t="s">
        <v>200</v>
      </c>
      <c r="X632" s="198" t="s">
        <v>514</v>
      </c>
      <c r="Y632" s="157" t="b">
        <v>0</v>
      </c>
      <c r="Z632" s="157"/>
      <c r="AA632" s="157"/>
      <c r="AB632" s="157"/>
      <c r="AC632" s="157"/>
      <c r="AD632" s="157"/>
      <c r="AE632" s="157"/>
      <c r="AF632" s="157"/>
      <c r="AG632" s="157"/>
      <c r="AH632" s="157"/>
      <c r="AI632" s="157"/>
      <c r="AJ632" s="157"/>
      <c r="AK632" s="157"/>
      <c r="AL632" s="157"/>
      <c r="AM632" s="157"/>
      <c r="AN632" s="157"/>
      <c r="AO632" s="157"/>
      <c r="AP632" s="157"/>
    </row>
    <row r="633" spans="1:42" x14ac:dyDescent="0.25">
      <c r="A633" s="295" t="s">
        <v>56</v>
      </c>
      <c r="B633" s="295" t="s">
        <v>435</v>
      </c>
      <c r="C633" s="295" t="s">
        <v>43</v>
      </c>
      <c r="D633" s="295" t="s">
        <v>282</v>
      </c>
      <c r="E633" s="297">
        <v>0</v>
      </c>
      <c r="F633" s="297">
        <v>0</v>
      </c>
      <c r="G633" s="297">
        <v>0</v>
      </c>
      <c r="H633" s="297">
        <v>0</v>
      </c>
      <c r="I633" s="297">
        <v>0</v>
      </c>
      <c r="J633" s="297">
        <v>0</v>
      </c>
      <c r="K633" s="297">
        <v>0</v>
      </c>
      <c r="L633" s="297">
        <v>0</v>
      </c>
      <c r="M633" s="297">
        <v>0</v>
      </c>
      <c r="N633" s="297">
        <v>0</v>
      </c>
      <c r="O633" s="297">
        <v>0</v>
      </c>
      <c r="P633" s="297">
        <v>0</v>
      </c>
      <c r="Q633" s="297">
        <v>0</v>
      </c>
      <c r="R633" s="297">
        <v>0</v>
      </c>
      <c r="S633" s="297">
        <v>0</v>
      </c>
      <c r="T633" s="297">
        <v>0</v>
      </c>
      <c r="U633" s="297">
        <v>0</v>
      </c>
      <c r="V633" s="328"/>
      <c r="W633" s="260" t="s">
        <v>200</v>
      </c>
      <c r="X633" s="198" t="s">
        <v>514</v>
      </c>
      <c r="Y633" s="157" t="b">
        <v>0</v>
      </c>
      <c r="Z633" s="157"/>
      <c r="AA633" s="157"/>
      <c r="AB633" s="157"/>
      <c r="AC633" s="157"/>
      <c r="AD633" s="157"/>
      <c r="AE633" s="157"/>
      <c r="AF633" s="157"/>
      <c r="AG633" s="157"/>
      <c r="AH633" s="157"/>
      <c r="AI633" s="157"/>
      <c r="AJ633" s="157"/>
      <c r="AK633" s="157"/>
      <c r="AL633" s="157"/>
      <c r="AM633" s="157"/>
      <c r="AN633" s="157"/>
      <c r="AO633" s="157"/>
      <c r="AP633" s="157"/>
    </row>
    <row r="634" spans="1:42" x14ac:dyDescent="0.25">
      <c r="A634" s="295" t="s">
        <v>56</v>
      </c>
      <c r="B634" s="295" t="s">
        <v>435</v>
      </c>
      <c r="C634" s="295" t="s">
        <v>45</v>
      </c>
      <c r="D634" s="295" t="s">
        <v>269</v>
      </c>
      <c r="E634" s="297">
        <v>1</v>
      </c>
      <c r="F634" s="297">
        <v>1</v>
      </c>
      <c r="G634" s="297">
        <v>1</v>
      </c>
      <c r="H634" s="297">
        <v>1</v>
      </c>
      <c r="I634" s="297">
        <v>1</v>
      </c>
      <c r="J634" s="297">
        <v>1</v>
      </c>
      <c r="K634" s="297">
        <v>1</v>
      </c>
      <c r="L634" s="297">
        <v>1</v>
      </c>
      <c r="M634" s="297">
        <v>1</v>
      </c>
      <c r="N634" s="297">
        <v>1</v>
      </c>
      <c r="O634" s="297">
        <v>1</v>
      </c>
      <c r="P634" s="297">
        <v>1</v>
      </c>
      <c r="Q634" s="297">
        <v>1</v>
      </c>
      <c r="R634" s="297">
        <v>1</v>
      </c>
      <c r="S634" s="297">
        <v>1</v>
      </c>
      <c r="T634" s="297">
        <v>1</v>
      </c>
      <c r="U634" s="297">
        <v>1</v>
      </c>
      <c r="V634" s="328"/>
      <c r="W634" s="260" t="s">
        <v>45</v>
      </c>
      <c r="X634" s="198" t="s">
        <v>515</v>
      </c>
      <c r="Y634" s="157" t="b">
        <v>0</v>
      </c>
      <c r="Z634" s="157"/>
      <c r="AA634" s="157"/>
      <c r="AB634" s="157"/>
      <c r="AC634" s="157"/>
      <c r="AD634" s="157"/>
      <c r="AE634" s="157"/>
      <c r="AF634" s="157"/>
      <c r="AG634" s="157"/>
      <c r="AH634" s="157"/>
      <c r="AI634" s="157"/>
      <c r="AJ634" s="157"/>
      <c r="AK634" s="157"/>
      <c r="AL634" s="157"/>
      <c r="AM634" s="157"/>
      <c r="AN634" s="157"/>
      <c r="AO634" s="157"/>
      <c r="AP634" s="157"/>
    </row>
    <row r="635" spans="1:42" x14ac:dyDescent="0.25">
      <c r="A635" s="295" t="s">
        <v>56</v>
      </c>
      <c r="B635" s="295" t="s">
        <v>435</v>
      </c>
      <c r="C635" s="295" t="s">
        <v>45</v>
      </c>
      <c r="D635" s="295" t="s">
        <v>272</v>
      </c>
      <c r="E635" s="297">
        <v>1</v>
      </c>
      <c r="F635" s="297">
        <v>1</v>
      </c>
      <c r="G635" s="297">
        <v>1</v>
      </c>
      <c r="H635" s="297">
        <v>1</v>
      </c>
      <c r="I635" s="297">
        <v>1</v>
      </c>
      <c r="J635" s="297">
        <v>1</v>
      </c>
      <c r="K635" s="297">
        <v>1</v>
      </c>
      <c r="L635" s="297">
        <v>1</v>
      </c>
      <c r="M635" s="297">
        <v>1</v>
      </c>
      <c r="N635" s="297">
        <v>1</v>
      </c>
      <c r="O635" s="297">
        <v>1</v>
      </c>
      <c r="P635" s="297">
        <v>1</v>
      </c>
      <c r="Q635" s="297">
        <v>1</v>
      </c>
      <c r="R635" s="297">
        <v>1</v>
      </c>
      <c r="S635" s="297">
        <v>1</v>
      </c>
      <c r="T635" s="297">
        <v>1</v>
      </c>
      <c r="U635" s="297">
        <v>1</v>
      </c>
      <c r="V635" s="328"/>
      <c r="W635" s="260" t="s">
        <v>45</v>
      </c>
      <c r="X635" s="198" t="s">
        <v>515</v>
      </c>
      <c r="Y635" s="157" t="b">
        <v>0</v>
      </c>
      <c r="Z635" s="157"/>
      <c r="AA635" s="157"/>
      <c r="AB635" s="157"/>
      <c r="AC635" s="157"/>
      <c r="AD635" s="157"/>
      <c r="AE635" s="157"/>
      <c r="AF635" s="157"/>
      <c r="AG635" s="157"/>
      <c r="AH635" s="157"/>
      <c r="AI635" s="157"/>
      <c r="AJ635" s="157"/>
      <c r="AK635" s="157"/>
      <c r="AL635" s="157"/>
      <c r="AM635" s="157"/>
      <c r="AN635" s="157"/>
      <c r="AO635" s="157"/>
      <c r="AP635" s="157"/>
    </row>
    <row r="636" spans="1:42" x14ac:dyDescent="0.25">
      <c r="A636" s="295" t="s">
        <v>56</v>
      </c>
      <c r="B636" s="295" t="s">
        <v>435</v>
      </c>
      <c r="C636" s="295" t="s">
        <v>40</v>
      </c>
      <c r="D636" s="295" t="s">
        <v>276</v>
      </c>
      <c r="E636" s="297">
        <v>1</v>
      </c>
      <c r="F636" s="297">
        <v>1</v>
      </c>
      <c r="G636" s="297">
        <v>1</v>
      </c>
      <c r="H636" s="297">
        <v>1</v>
      </c>
      <c r="I636" s="297">
        <v>1</v>
      </c>
      <c r="J636" s="297">
        <v>1</v>
      </c>
      <c r="K636" s="297">
        <v>1</v>
      </c>
      <c r="L636" s="297">
        <v>1</v>
      </c>
      <c r="M636" s="297">
        <v>1</v>
      </c>
      <c r="N636" s="297">
        <v>1</v>
      </c>
      <c r="O636" s="297">
        <v>1</v>
      </c>
      <c r="P636" s="297">
        <v>1</v>
      </c>
      <c r="Q636" s="297">
        <v>1</v>
      </c>
      <c r="R636" s="297">
        <v>1</v>
      </c>
      <c r="S636" s="297">
        <v>1</v>
      </c>
      <c r="T636" s="297">
        <v>1</v>
      </c>
      <c r="U636" s="297">
        <v>1</v>
      </c>
      <c r="V636" s="328"/>
      <c r="W636" s="260" t="s">
        <v>203</v>
      </c>
      <c r="X636" s="198" t="s">
        <v>516</v>
      </c>
      <c r="Y636" s="157" t="b">
        <v>0</v>
      </c>
      <c r="Z636" s="157"/>
      <c r="AA636" s="157"/>
      <c r="AB636" s="157"/>
      <c r="AC636" s="157"/>
      <c r="AD636" s="157"/>
      <c r="AE636" s="157"/>
      <c r="AF636" s="157"/>
      <c r="AG636" s="157"/>
      <c r="AH636" s="157"/>
      <c r="AI636" s="157"/>
      <c r="AJ636" s="157"/>
      <c r="AK636" s="157"/>
      <c r="AL636" s="157"/>
      <c r="AM636" s="157"/>
      <c r="AN636" s="157"/>
      <c r="AO636" s="157"/>
      <c r="AP636" s="157"/>
    </row>
    <row r="637" spans="1:42" x14ac:dyDescent="0.25">
      <c r="A637" s="295" t="s">
        <v>56</v>
      </c>
      <c r="B637" s="295" t="s">
        <v>435</v>
      </c>
      <c r="C637" s="295" t="s">
        <v>40</v>
      </c>
      <c r="D637" s="295" t="s">
        <v>279</v>
      </c>
      <c r="E637" s="297">
        <v>1</v>
      </c>
      <c r="F637" s="297">
        <v>1</v>
      </c>
      <c r="G637" s="297">
        <v>1</v>
      </c>
      <c r="H637" s="297">
        <v>1</v>
      </c>
      <c r="I637" s="297">
        <v>1</v>
      </c>
      <c r="J637" s="297">
        <v>1</v>
      </c>
      <c r="K637" s="297">
        <v>1</v>
      </c>
      <c r="L637" s="297">
        <v>1</v>
      </c>
      <c r="M637" s="297">
        <v>1</v>
      </c>
      <c r="N637" s="297">
        <v>1</v>
      </c>
      <c r="O637" s="297">
        <v>1</v>
      </c>
      <c r="P637" s="297">
        <v>1</v>
      </c>
      <c r="Q637" s="297">
        <v>1</v>
      </c>
      <c r="R637" s="297">
        <v>1</v>
      </c>
      <c r="S637" s="297">
        <v>1</v>
      </c>
      <c r="T637" s="297">
        <v>1</v>
      </c>
      <c r="U637" s="297">
        <v>1</v>
      </c>
      <c r="V637" s="328"/>
      <c r="W637" s="260" t="s">
        <v>203</v>
      </c>
      <c r="X637" s="198" t="s">
        <v>516</v>
      </c>
      <c r="Y637" s="157" t="b">
        <v>0</v>
      </c>
      <c r="Z637" s="157"/>
      <c r="AA637" s="157"/>
      <c r="AB637" s="157"/>
      <c r="AC637" s="157"/>
      <c r="AD637" s="157"/>
      <c r="AE637" s="157"/>
      <c r="AF637" s="157"/>
      <c r="AG637" s="157"/>
      <c r="AH637" s="157"/>
      <c r="AI637" s="157"/>
      <c r="AJ637" s="157"/>
      <c r="AK637" s="157"/>
      <c r="AL637" s="157"/>
      <c r="AM637" s="157"/>
      <c r="AN637" s="157"/>
      <c r="AO637" s="157"/>
      <c r="AP637" s="157"/>
    </row>
    <row r="638" spans="1:42" x14ac:dyDescent="0.25">
      <c r="A638" s="295" t="s">
        <v>56</v>
      </c>
      <c r="B638" s="295" t="s">
        <v>435</v>
      </c>
      <c r="C638" s="295" t="s">
        <v>40</v>
      </c>
      <c r="D638" s="295" t="s">
        <v>280</v>
      </c>
      <c r="E638" s="297">
        <v>1</v>
      </c>
      <c r="F638" s="297">
        <v>1</v>
      </c>
      <c r="G638" s="297">
        <v>1</v>
      </c>
      <c r="H638" s="297">
        <v>1</v>
      </c>
      <c r="I638" s="297">
        <v>1</v>
      </c>
      <c r="J638" s="297">
        <v>1</v>
      </c>
      <c r="K638" s="297">
        <v>1</v>
      </c>
      <c r="L638" s="297">
        <v>1</v>
      </c>
      <c r="M638" s="297">
        <v>1</v>
      </c>
      <c r="N638" s="297">
        <v>1</v>
      </c>
      <c r="O638" s="297">
        <v>1</v>
      </c>
      <c r="P638" s="297">
        <v>1</v>
      </c>
      <c r="Q638" s="297">
        <v>1</v>
      </c>
      <c r="R638" s="297">
        <v>1</v>
      </c>
      <c r="S638" s="297">
        <v>1</v>
      </c>
      <c r="T638" s="297">
        <v>1</v>
      </c>
      <c r="U638" s="297">
        <v>1</v>
      </c>
      <c r="V638" s="328"/>
      <c r="W638" s="260" t="s">
        <v>203</v>
      </c>
      <c r="X638" s="198" t="s">
        <v>516</v>
      </c>
      <c r="Y638" s="157" t="b">
        <v>0</v>
      </c>
      <c r="Z638" s="157"/>
      <c r="AA638" s="157"/>
      <c r="AB638" s="157"/>
      <c r="AC638" s="157"/>
      <c r="AD638" s="157"/>
      <c r="AE638" s="157"/>
      <c r="AF638" s="157"/>
      <c r="AG638" s="157"/>
      <c r="AH638" s="157"/>
      <c r="AI638" s="157"/>
      <c r="AJ638" s="157"/>
      <c r="AK638" s="157"/>
      <c r="AL638" s="157"/>
      <c r="AM638" s="157"/>
      <c r="AN638" s="157"/>
      <c r="AO638" s="157"/>
      <c r="AP638" s="157"/>
    </row>
    <row r="639" spans="1:42" x14ac:dyDescent="0.25">
      <c r="A639" s="295" t="s">
        <v>56</v>
      </c>
      <c r="B639" s="295" t="s">
        <v>435</v>
      </c>
      <c r="C639" s="295" t="s">
        <v>40</v>
      </c>
      <c r="D639" s="295" t="s">
        <v>281</v>
      </c>
      <c r="E639" s="297">
        <v>1</v>
      </c>
      <c r="F639" s="297">
        <v>1</v>
      </c>
      <c r="G639" s="297">
        <v>1</v>
      </c>
      <c r="H639" s="297">
        <v>1</v>
      </c>
      <c r="I639" s="297">
        <v>1</v>
      </c>
      <c r="J639" s="297">
        <v>1</v>
      </c>
      <c r="K639" s="297">
        <v>1</v>
      </c>
      <c r="L639" s="297">
        <v>1</v>
      </c>
      <c r="M639" s="297">
        <v>1</v>
      </c>
      <c r="N639" s="297">
        <v>1</v>
      </c>
      <c r="O639" s="297">
        <v>1</v>
      </c>
      <c r="P639" s="297">
        <v>1</v>
      </c>
      <c r="Q639" s="297">
        <v>1</v>
      </c>
      <c r="R639" s="297">
        <v>1</v>
      </c>
      <c r="S639" s="297">
        <v>1</v>
      </c>
      <c r="T639" s="297">
        <v>1</v>
      </c>
      <c r="U639" s="297">
        <v>1</v>
      </c>
      <c r="V639" s="328"/>
      <c r="W639" s="260" t="s">
        <v>203</v>
      </c>
      <c r="X639" s="198" t="s">
        <v>516</v>
      </c>
      <c r="Y639" s="157" t="b">
        <v>0</v>
      </c>
      <c r="Z639" s="157"/>
      <c r="AA639" s="157"/>
      <c r="AB639" s="157"/>
      <c r="AC639" s="157"/>
      <c r="AD639" s="157"/>
      <c r="AE639" s="157"/>
      <c r="AF639" s="157"/>
      <c r="AG639" s="157"/>
      <c r="AH639" s="157"/>
      <c r="AI639" s="157"/>
      <c r="AJ639" s="157"/>
      <c r="AK639" s="157"/>
      <c r="AL639" s="157"/>
      <c r="AM639" s="157"/>
      <c r="AN639" s="157"/>
      <c r="AO639" s="157"/>
      <c r="AP639" s="157"/>
    </row>
    <row r="640" spans="1:42" x14ac:dyDescent="0.25">
      <c r="A640" s="295" t="s">
        <v>56</v>
      </c>
      <c r="B640" s="295" t="s">
        <v>435</v>
      </c>
      <c r="C640" s="295" t="s">
        <v>40</v>
      </c>
      <c r="D640" s="295" t="s">
        <v>282</v>
      </c>
      <c r="E640" s="297">
        <v>1</v>
      </c>
      <c r="F640" s="297">
        <v>1</v>
      </c>
      <c r="G640" s="297">
        <v>1</v>
      </c>
      <c r="H640" s="297">
        <v>1</v>
      </c>
      <c r="I640" s="297">
        <v>1</v>
      </c>
      <c r="J640" s="297">
        <v>1</v>
      </c>
      <c r="K640" s="297">
        <v>1</v>
      </c>
      <c r="L640" s="297">
        <v>1</v>
      </c>
      <c r="M640" s="297">
        <v>1</v>
      </c>
      <c r="N640" s="297">
        <v>1</v>
      </c>
      <c r="O640" s="297">
        <v>1</v>
      </c>
      <c r="P640" s="297">
        <v>1</v>
      </c>
      <c r="Q640" s="297">
        <v>1</v>
      </c>
      <c r="R640" s="297">
        <v>1</v>
      </c>
      <c r="S640" s="297">
        <v>1</v>
      </c>
      <c r="T640" s="297">
        <v>1</v>
      </c>
      <c r="U640" s="297">
        <v>1</v>
      </c>
      <c r="V640" s="328"/>
      <c r="W640" s="260" t="s">
        <v>203</v>
      </c>
      <c r="X640" s="198" t="s">
        <v>516</v>
      </c>
      <c r="Y640" s="157" t="b">
        <v>0</v>
      </c>
      <c r="Z640" s="157"/>
      <c r="AA640" s="157"/>
      <c r="AB640" s="157"/>
      <c r="AC640" s="157"/>
      <c r="AD640" s="157"/>
      <c r="AE640" s="157"/>
      <c r="AF640" s="157"/>
      <c r="AG640" s="157"/>
      <c r="AH640" s="157"/>
      <c r="AI640" s="157"/>
      <c r="AJ640" s="157"/>
      <c r="AK640" s="157"/>
      <c r="AL640" s="157"/>
      <c r="AM640" s="157"/>
      <c r="AN640" s="157"/>
      <c r="AO640" s="157"/>
      <c r="AP640" s="157"/>
    </row>
    <row r="641" spans="1:42" x14ac:dyDescent="0.25">
      <c r="A641" s="295" t="s">
        <v>56</v>
      </c>
      <c r="B641" s="295" t="s">
        <v>435</v>
      </c>
      <c r="C641" s="295" t="s">
        <v>42</v>
      </c>
      <c r="D641" s="295" t="s">
        <v>276</v>
      </c>
      <c r="E641" s="297">
        <v>1</v>
      </c>
      <c r="F641" s="297">
        <v>1</v>
      </c>
      <c r="G641" s="297">
        <v>1</v>
      </c>
      <c r="H641" s="297">
        <v>1</v>
      </c>
      <c r="I641" s="297">
        <v>1</v>
      </c>
      <c r="J641" s="297">
        <v>1</v>
      </c>
      <c r="K641" s="297">
        <v>1</v>
      </c>
      <c r="L641" s="297">
        <v>1</v>
      </c>
      <c r="M641" s="297">
        <v>1</v>
      </c>
      <c r="N641" s="297">
        <v>1</v>
      </c>
      <c r="O641" s="297">
        <v>1</v>
      </c>
      <c r="P641" s="297">
        <v>1</v>
      </c>
      <c r="Q641" s="297">
        <v>1</v>
      </c>
      <c r="R641" s="297">
        <v>1</v>
      </c>
      <c r="S641" s="297">
        <v>1</v>
      </c>
      <c r="T641" s="297">
        <v>1</v>
      </c>
      <c r="U641" s="297">
        <v>1</v>
      </c>
      <c r="V641" s="328"/>
      <c r="W641" s="260" t="s">
        <v>203</v>
      </c>
      <c r="X641" s="198" t="s">
        <v>516</v>
      </c>
      <c r="Y641" s="157" t="b">
        <v>0</v>
      </c>
      <c r="Z641" s="157"/>
      <c r="AA641" s="157"/>
      <c r="AB641" s="157"/>
      <c r="AC641" s="157"/>
      <c r="AD641" s="157"/>
      <c r="AE641" s="157"/>
      <c r="AF641" s="157"/>
      <c r="AG641" s="157"/>
      <c r="AH641" s="157"/>
      <c r="AI641" s="157"/>
      <c r="AJ641" s="157"/>
      <c r="AK641" s="157"/>
      <c r="AL641" s="157"/>
      <c r="AM641" s="157"/>
      <c r="AN641" s="157"/>
      <c r="AO641" s="157"/>
      <c r="AP641" s="157"/>
    </row>
    <row r="642" spans="1:42" x14ac:dyDescent="0.25">
      <c r="A642" s="295" t="s">
        <v>56</v>
      </c>
      <c r="B642" s="295" t="s">
        <v>435</v>
      </c>
      <c r="C642" s="295" t="s">
        <v>42</v>
      </c>
      <c r="D642" s="295" t="s">
        <v>279</v>
      </c>
      <c r="E642" s="297">
        <v>1</v>
      </c>
      <c r="F642" s="297">
        <v>1</v>
      </c>
      <c r="G642" s="297">
        <v>1</v>
      </c>
      <c r="H642" s="297">
        <v>1</v>
      </c>
      <c r="I642" s="297">
        <v>1</v>
      </c>
      <c r="J642" s="297">
        <v>1</v>
      </c>
      <c r="K642" s="297">
        <v>1</v>
      </c>
      <c r="L642" s="297">
        <v>1</v>
      </c>
      <c r="M642" s="297">
        <v>1</v>
      </c>
      <c r="N642" s="297">
        <v>1</v>
      </c>
      <c r="O642" s="297">
        <v>1</v>
      </c>
      <c r="P642" s="297">
        <v>1</v>
      </c>
      <c r="Q642" s="297">
        <v>1</v>
      </c>
      <c r="R642" s="297">
        <v>1</v>
      </c>
      <c r="S642" s="297">
        <v>1</v>
      </c>
      <c r="T642" s="297">
        <v>1</v>
      </c>
      <c r="U642" s="297">
        <v>1</v>
      </c>
      <c r="V642" s="328"/>
      <c r="W642" s="260" t="s">
        <v>203</v>
      </c>
      <c r="X642" s="198" t="s">
        <v>516</v>
      </c>
      <c r="Y642" s="157" t="b">
        <v>0</v>
      </c>
      <c r="Z642" s="157"/>
      <c r="AA642" s="157"/>
      <c r="AB642" s="157"/>
      <c r="AC642" s="157"/>
      <c r="AD642" s="157"/>
      <c r="AE642" s="157"/>
      <c r="AF642" s="157"/>
      <c r="AG642" s="157"/>
      <c r="AH642" s="157"/>
      <c r="AI642" s="157"/>
      <c r="AJ642" s="157"/>
      <c r="AK642" s="157"/>
      <c r="AL642" s="157"/>
      <c r="AM642" s="157"/>
      <c r="AN642" s="157"/>
      <c r="AO642" s="157"/>
      <c r="AP642" s="157"/>
    </row>
    <row r="643" spans="1:42" x14ac:dyDescent="0.25">
      <c r="A643" s="295" t="s">
        <v>56</v>
      </c>
      <c r="B643" s="295" t="s">
        <v>435</v>
      </c>
      <c r="C643" s="295" t="s">
        <v>42</v>
      </c>
      <c r="D643" s="295" t="s">
        <v>280</v>
      </c>
      <c r="E643" s="297">
        <v>1</v>
      </c>
      <c r="F643" s="297">
        <v>1</v>
      </c>
      <c r="G643" s="297">
        <v>1</v>
      </c>
      <c r="H643" s="297">
        <v>1</v>
      </c>
      <c r="I643" s="297">
        <v>1</v>
      </c>
      <c r="J643" s="297">
        <v>1</v>
      </c>
      <c r="K643" s="297">
        <v>1</v>
      </c>
      <c r="L643" s="297">
        <v>1</v>
      </c>
      <c r="M643" s="297">
        <v>1</v>
      </c>
      <c r="N643" s="297">
        <v>1</v>
      </c>
      <c r="O643" s="297">
        <v>1</v>
      </c>
      <c r="P643" s="297">
        <v>1</v>
      </c>
      <c r="Q643" s="297">
        <v>1</v>
      </c>
      <c r="R643" s="297">
        <v>1</v>
      </c>
      <c r="S643" s="297">
        <v>1</v>
      </c>
      <c r="T643" s="297">
        <v>1</v>
      </c>
      <c r="U643" s="297">
        <v>1</v>
      </c>
      <c r="V643" s="328"/>
      <c r="W643" s="260" t="s">
        <v>203</v>
      </c>
      <c r="X643" s="198" t="s">
        <v>516</v>
      </c>
      <c r="Y643" s="157" t="b">
        <v>0</v>
      </c>
      <c r="Z643" s="157"/>
      <c r="AA643" s="157"/>
      <c r="AB643" s="157"/>
      <c r="AC643" s="157"/>
      <c r="AD643" s="157"/>
      <c r="AE643" s="157"/>
      <c r="AF643" s="157"/>
      <c r="AG643" s="157"/>
      <c r="AH643" s="157"/>
      <c r="AI643" s="157"/>
      <c r="AJ643" s="157"/>
      <c r="AK643" s="157"/>
      <c r="AL643" s="157"/>
      <c r="AM643" s="157"/>
      <c r="AN643" s="157"/>
      <c r="AO643" s="157"/>
      <c r="AP643" s="157"/>
    </row>
    <row r="644" spans="1:42" x14ac:dyDescent="0.25">
      <c r="A644" s="295" t="s">
        <v>56</v>
      </c>
      <c r="B644" s="295" t="s">
        <v>435</v>
      </c>
      <c r="C644" s="295" t="s">
        <v>42</v>
      </c>
      <c r="D644" s="295" t="s">
        <v>281</v>
      </c>
      <c r="E644" s="297">
        <v>1</v>
      </c>
      <c r="F644" s="297">
        <v>1</v>
      </c>
      <c r="G644" s="297">
        <v>1</v>
      </c>
      <c r="H644" s="297">
        <v>1</v>
      </c>
      <c r="I644" s="297">
        <v>1</v>
      </c>
      <c r="J644" s="297">
        <v>1</v>
      </c>
      <c r="K644" s="297">
        <v>1</v>
      </c>
      <c r="L644" s="297">
        <v>1</v>
      </c>
      <c r="M644" s="297">
        <v>1</v>
      </c>
      <c r="N644" s="297">
        <v>1</v>
      </c>
      <c r="O644" s="297">
        <v>1</v>
      </c>
      <c r="P644" s="297">
        <v>1</v>
      </c>
      <c r="Q644" s="297">
        <v>1</v>
      </c>
      <c r="R644" s="297">
        <v>1</v>
      </c>
      <c r="S644" s="297">
        <v>1</v>
      </c>
      <c r="T644" s="297">
        <v>1</v>
      </c>
      <c r="U644" s="297">
        <v>1</v>
      </c>
      <c r="V644" s="328"/>
      <c r="W644" s="260" t="s">
        <v>203</v>
      </c>
      <c r="X644" s="198" t="s">
        <v>516</v>
      </c>
      <c r="Y644" s="157" t="b">
        <v>0</v>
      </c>
      <c r="Z644" s="157"/>
      <c r="AA644" s="157"/>
      <c r="AB644" s="157"/>
      <c r="AC644" s="157"/>
      <c r="AD644" s="157"/>
      <c r="AE644" s="157"/>
      <c r="AF644" s="157"/>
      <c r="AG644" s="157"/>
      <c r="AH644" s="157"/>
      <c r="AI644" s="157"/>
      <c r="AJ644" s="157"/>
      <c r="AK644" s="157"/>
      <c r="AL644" s="157"/>
      <c r="AM644" s="157"/>
      <c r="AN644" s="157"/>
      <c r="AO644" s="157"/>
      <c r="AP644" s="157"/>
    </row>
    <row r="645" spans="1:42" x14ac:dyDescent="0.25">
      <c r="A645" s="295" t="s">
        <v>56</v>
      </c>
      <c r="B645" s="295" t="s">
        <v>435</v>
      </c>
      <c r="C645" s="295" t="s">
        <v>42</v>
      </c>
      <c r="D645" s="295" t="s">
        <v>282</v>
      </c>
      <c r="E645" s="297">
        <v>1</v>
      </c>
      <c r="F645" s="297">
        <v>1</v>
      </c>
      <c r="G645" s="297">
        <v>1</v>
      </c>
      <c r="H645" s="297">
        <v>1</v>
      </c>
      <c r="I645" s="297">
        <v>1</v>
      </c>
      <c r="J645" s="297">
        <v>1</v>
      </c>
      <c r="K645" s="297">
        <v>1</v>
      </c>
      <c r="L645" s="297">
        <v>1</v>
      </c>
      <c r="M645" s="297">
        <v>1</v>
      </c>
      <c r="N645" s="297">
        <v>1</v>
      </c>
      <c r="O645" s="297">
        <v>1</v>
      </c>
      <c r="P645" s="297">
        <v>1</v>
      </c>
      <c r="Q645" s="297">
        <v>1</v>
      </c>
      <c r="R645" s="297">
        <v>1</v>
      </c>
      <c r="S645" s="297">
        <v>1</v>
      </c>
      <c r="T645" s="297">
        <v>1</v>
      </c>
      <c r="U645" s="297">
        <v>1</v>
      </c>
      <c r="V645" s="328"/>
      <c r="W645" s="260" t="s">
        <v>203</v>
      </c>
      <c r="X645" s="198" t="s">
        <v>516</v>
      </c>
      <c r="Y645" s="157" t="b">
        <v>0</v>
      </c>
      <c r="Z645" s="157"/>
      <c r="AA645" s="157"/>
      <c r="AB645" s="157"/>
      <c r="AC645" s="157"/>
      <c r="AD645" s="157"/>
      <c r="AE645" s="157"/>
      <c r="AF645" s="157"/>
      <c r="AG645" s="157"/>
      <c r="AH645" s="157"/>
      <c r="AI645" s="157"/>
      <c r="AJ645" s="157"/>
      <c r="AK645" s="157"/>
      <c r="AL645" s="157"/>
      <c r="AM645" s="157"/>
      <c r="AN645" s="157"/>
      <c r="AO645" s="157"/>
      <c r="AP645" s="157"/>
    </row>
  </sheetData>
  <autoFilter ref="A3:AP645" xr:uid="{07F786ED-5202-453C-8BEF-11ABDE1A220A}"/>
  <mergeCells count="19">
    <mergeCell ref="V50:V109"/>
    <mergeCell ref="V10:V11"/>
    <mergeCell ref="V12:V21"/>
    <mergeCell ref="V22:V31"/>
    <mergeCell ref="V40:V49"/>
    <mergeCell ref="V286:V297"/>
    <mergeCell ref="V276:V285"/>
    <mergeCell ref="V254:V263"/>
    <mergeCell ref="V130:V139"/>
    <mergeCell ref="V140:V149"/>
    <mergeCell ref="V150:V159"/>
    <mergeCell ref="V160:V169"/>
    <mergeCell ref="V266:V275"/>
    <mergeCell ref="V170:V191"/>
    <mergeCell ref="V192:V201"/>
    <mergeCell ref="V202:V211"/>
    <mergeCell ref="V212:V221"/>
    <mergeCell ref="V222:V231"/>
    <mergeCell ref="V232:V253"/>
  </mergeCells>
  <pageMargins left="0.7" right="0.7" top="0.75" bottom="0.75" header="0.3" footer="0.3"/>
  <pageSetup orientation="portrait" horizontalDpi="1200" verticalDpi="120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E6B9A-35A7-446F-A67F-1253775D6FA9}">
  <sheetPr>
    <tabColor theme="5"/>
  </sheetPr>
  <dimension ref="A1:Y31"/>
  <sheetViews>
    <sheetView zoomScale="85" zoomScaleNormal="85" workbookViewId="0">
      <selection activeCell="E6" sqref="E6"/>
    </sheetView>
  </sheetViews>
  <sheetFormatPr defaultRowHeight="69" customHeight="1" x14ac:dyDescent="0.25"/>
  <cols>
    <col min="1" max="1" width="30.5" customWidth="1"/>
    <col min="2" max="2" width="28.796875" customWidth="1"/>
    <col min="3" max="3" width="17.296875" customWidth="1"/>
    <col min="4" max="4" width="18.59765625" customWidth="1"/>
    <col min="5" max="5" width="49.796875" customWidth="1"/>
    <col min="6" max="6" width="19.59765625" customWidth="1"/>
    <col min="7" max="7" width="14" customWidth="1"/>
    <col min="8" max="9" width="8.69921875" bestFit="1" customWidth="1"/>
    <col min="10" max="10" width="16.69921875" customWidth="1"/>
    <col min="11" max="11" width="15.5" customWidth="1"/>
    <col min="12" max="14" width="8.69921875" bestFit="1" customWidth="1"/>
    <col min="15" max="15" width="17.09765625" style="43" customWidth="1"/>
    <col min="16" max="17" width="12.5" style="43" customWidth="1"/>
    <col min="18" max="18" width="9.09765625" style="43" customWidth="1"/>
    <col min="19" max="19" width="20.09765625" customWidth="1"/>
    <col min="20" max="20" width="24.19921875" customWidth="1"/>
    <col min="21" max="21" width="11.19921875" bestFit="1" customWidth="1"/>
    <col min="23" max="23" width="45.69921875" customWidth="1"/>
  </cols>
  <sheetData>
    <row r="1" spans="1:25" ht="69" customHeight="1" x14ac:dyDescent="0.25">
      <c r="A1" s="84" t="s">
        <v>197</v>
      </c>
      <c r="B1" s="84" t="s">
        <v>198</v>
      </c>
      <c r="C1" s="18" t="s">
        <v>314</v>
      </c>
      <c r="D1" s="18" t="s">
        <v>182</v>
      </c>
      <c r="E1" s="18" t="s">
        <v>315</v>
      </c>
      <c r="F1" s="18" t="s">
        <v>316</v>
      </c>
      <c r="G1" s="18" t="s">
        <v>317</v>
      </c>
      <c r="H1" s="167">
        <v>2023</v>
      </c>
      <c r="I1" s="167">
        <v>2024</v>
      </c>
      <c r="J1" s="167">
        <v>2025</v>
      </c>
      <c r="K1" s="85" t="s">
        <v>318</v>
      </c>
      <c r="L1" s="86">
        <v>2023</v>
      </c>
      <c r="M1" s="86">
        <v>2024</v>
      </c>
      <c r="N1" s="86">
        <v>2025</v>
      </c>
      <c r="O1" s="95" t="s">
        <v>319</v>
      </c>
      <c r="P1" s="97">
        <v>2023</v>
      </c>
      <c r="Q1" s="97">
        <v>2024</v>
      </c>
      <c r="R1" s="97">
        <v>2025</v>
      </c>
      <c r="S1" s="87" t="s">
        <v>320</v>
      </c>
      <c r="T1" s="18" t="s">
        <v>321</v>
      </c>
      <c r="U1" s="18"/>
      <c r="V1" s="18"/>
      <c r="W1" t="s">
        <v>134</v>
      </c>
    </row>
    <row r="2" spans="1:25" ht="69" customHeight="1" x14ac:dyDescent="0.25">
      <c r="A2" s="166" t="s">
        <v>90</v>
      </c>
      <c r="B2" s="166" t="s">
        <v>199</v>
      </c>
      <c r="C2" t="s">
        <v>322</v>
      </c>
      <c r="D2" t="s">
        <v>200</v>
      </c>
      <c r="E2" t="s">
        <v>323</v>
      </c>
      <c r="F2" t="s">
        <v>253</v>
      </c>
      <c r="G2" t="s">
        <v>324</v>
      </c>
      <c r="H2">
        <v>0.6</v>
      </c>
      <c r="I2">
        <v>0.8</v>
      </c>
      <c r="J2">
        <v>1</v>
      </c>
      <c r="K2" s="88"/>
      <c r="L2" s="88">
        <v>232</v>
      </c>
      <c r="M2" s="88">
        <v>232</v>
      </c>
      <c r="N2" s="88">
        <v>232</v>
      </c>
      <c r="O2" s="89"/>
      <c r="P2" s="94">
        <v>8.9327586206896549E-3</v>
      </c>
      <c r="Q2" s="94">
        <v>1.1910344827586209E-2</v>
      </c>
      <c r="R2" s="94">
        <v>1.4887931034482759E-2</v>
      </c>
      <c r="U2">
        <v>1</v>
      </c>
      <c r="V2" t="s">
        <v>325</v>
      </c>
      <c r="W2" t="str">
        <f t="shared" ref="W2:W31" si="0">_xlfn.CONCAT(A2,D2)</f>
        <v>C&amp;I Curtailment-Turnkey-Auto-DR HVAC ControlLarge</v>
      </c>
      <c r="Y2" s="42">
        <f t="shared" ref="Y2:Y30" si="1">H2/L2</f>
        <v>2.5862068965517241E-3</v>
      </c>
    </row>
    <row r="3" spans="1:25" ht="69" customHeight="1" x14ac:dyDescent="0.25">
      <c r="A3" s="166" t="s">
        <v>96</v>
      </c>
      <c r="B3" s="166" t="s">
        <v>199</v>
      </c>
      <c r="C3" t="s">
        <v>322</v>
      </c>
      <c r="D3" t="s">
        <v>200</v>
      </c>
      <c r="E3" t="s">
        <v>323</v>
      </c>
      <c r="F3" t="s">
        <v>253</v>
      </c>
      <c r="G3" s="166" t="s">
        <v>324</v>
      </c>
      <c r="H3" s="166">
        <v>0.6</v>
      </c>
      <c r="I3" s="166">
        <v>0.8</v>
      </c>
      <c r="J3" s="166">
        <v>1</v>
      </c>
      <c r="K3" s="166">
        <v>0</v>
      </c>
      <c r="L3" s="88">
        <v>232</v>
      </c>
      <c r="M3" s="88">
        <v>232</v>
      </c>
      <c r="N3" s="88">
        <v>232</v>
      </c>
      <c r="O3" s="96">
        <v>0</v>
      </c>
      <c r="P3" s="94">
        <v>8.9327586206896549E-3</v>
      </c>
      <c r="Q3" s="94">
        <v>1.1910344827586209E-2</v>
      </c>
      <c r="R3" s="94">
        <v>1.4887931034482759E-2</v>
      </c>
      <c r="U3">
        <v>1</v>
      </c>
      <c r="V3" t="s">
        <v>325</v>
      </c>
      <c r="W3" t="str">
        <f t="shared" si="0"/>
        <v>C&amp;I Curtailment-Enabling Tech-Auto-DR HVAC ControlLarge</v>
      </c>
      <c r="Y3" s="42">
        <f t="shared" si="1"/>
        <v>2.5862068965517241E-3</v>
      </c>
    </row>
    <row r="4" spans="1:25" ht="69" customHeight="1" x14ac:dyDescent="0.3">
      <c r="A4" s="166" t="s">
        <v>84</v>
      </c>
      <c r="B4" s="166" t="s">
        <v>155</v>
      </c>
      <c r="C4" t="s">
        <v>45</v>
      </c>
      <c r="D4" t="s">
        <v>45</v>
      </c>
      <c r="E4" t="s">
        <v>323</v>
      </c>
      <c r="F4" s="168" t="s">
        <v>326</v>
      </c>
      <c r="G4" t="s">
        <v>327</v>
      </c>
      <c r="H4">
        <v>814.03094466909999</v>
      </c>
      <c r="I4">
        <v>1302.4495114705601</v>
      </c>
      <c r="J4">
        <v>2604.8990229411202</v>
      </c>
      <c r="K4" s="88"/>
      <c r="L4" s="88">
        <v>97052.309699999998</v>
      </c>
      <c r="M4" s="88">
        <v>95068.822400000005</v>
      </c>
      <c r="N4" s="88">
        <v>92783.002199999988</v>
      </c>
      <c r="O4" s="89"/>
      <c r="P4" s="94">
        <v>8.3875483972031626E-3</v>
      </c>
      <c r="Q4" s="94">
        <v>1.3700069892425216E-2</v>
      </c>
      <c r="R4" s="94">
        <v>2.8075174990846767E-2</v>
      </c>
      <c r="S4" s="45">
        <v>0.91</v>
      </c>
      <c r="T4" s="166" t="s">
        <v>328</v>
      </c>
      <c r="U4" s="166">
        <v>0.33225752843636736</v>
      </c>
      <c r="V4" s="166" t="s">
        <v>329</v>
      </c>
      <c r="W4" t="str">
        <f t="shared" si="0"/>
        <v>DLC-Thermostat-DI-Baseboard HeatingResidential</v>
      </c>
      <c r="Y4" s="42">
        <f t="shared" si="1"/>
        <v>8.3875483972031626E-3</v>
      </c>
    </row>
    <row r="5" spans="1:25" ht="69" customHeight="1" x14ac:dyDescent="0.3">
      <c r="A5" s="166" t="s">
        <v>201</v>
      </c>
      <c r="B5" s="166" t="s">
        <v>155</v>
      </c>
      <c r="C5" t="s">
        <v>45</v>
      </c>
      <c r="D5" t="s">
        <v>45</v>
      </c>
      <c r="E5" t="s">
        <v>323</v>
      </c>
      <c r="F5" s="168" t="s">
        <v>326</v>
      </c>
      <c r="G5" t="s">
        <v>327</v>
      </c>
      <c r="H5">
        <v>1635.9690553308999</v>
      </c>
      <c r="I5">
        <v>2617.5504885294399</v>
      </c>
      <c r="J5">
        <v>5235.1009770588798</v>
      </c>
      <c r="K5" s="88">
        <v>0</v>
      </c>
      <c r="L5" s="88">
        <v>97052.309699999998</v>
      </c>
      <c r="M5" s="88">
        <v>95068.822400000005</v>
      </c>
      <c r="N5" s="88">
        <v>92783.002199999988</v>
      </c>
      <c r="O5" s="89"/>
      <c r="P5" s="94"/>
      <c r="Q5" s="94"/>
      <c r="R5" s="94"/>
      <c r="S5" s="45"/>
      <c r="T5" s="166"/>
      <c r="U5" s="166">
        <v>0.66774247156363264</v>
      </c>
      <c r="V5" s="166" t="s">
        <v>329</v>
      </c>
      <c r="W5" t="str">
        <f t="shared" si="0"/>
        <v>CPP: DLC-Thermostat-DI-Baseboard HeatingResidential</v>
      </c>
      <c r="Y5" s="42">
        <f t="shared" si="1"/>
        <v>1.6856570033087014E-2</v>
      </c>
    </row>
    <row r="6" spans="1:25" ht="69" customHeight="1" x14ac:dyDescent="0.25">
      <c r="A6" s="90" t="s">
        <v>86</v>
      </c>
      <c r="B6" s="90" t="s">
        <v>156</v>
      </c>
      <c r="C6" s="91" t="s">
        <v>45</v>
      </c>
      <c r="D6" t="s">
        <v>45</v>
      </c>
      <c r="E6" s="91" t="s">
        <v>323</v>
      </c>
      <c r="F6" s="91" t="s">
        <v>330</v>
      </c>
      <c r="G6" s="91" t="s">
        <v>327</v>
      </c>
      <c r="H6" s="91">
        <v>84.751539027855742</v>
      </c>
      <c r="I6" s="91">
        <v>135.6024624445692</v>
      </c>
      <c r="J6" s="91">
        <v>271.2049248891384</v>
      </c>
      <c r="K6" s="91"/>
      <c r="L6" s="91">
        <v>71575.486963200019</v>
      </c>
      <c r="M6" s="91">
        <v>77743.766200320024</v>
      </c>
      <c r="N6" s="91">
        <v>84024.587262528032</v>
      </c>
      <c r="O6" s="92"/>
      <c r="P6" s="93">
        <v>1.1840860974013363E-3</v>
      </c>
      <c r="Q6" s="93">
        <v>1.7442229656737546E-3</v>
      </c>
      <c r="R6" s="93">
        <v>3.2276852969450542E-3</v>
      </c>
      <c r="S6" s="91">
        <v>0.91</v>
      </c>
      <c r="T6" s="91" t="s">
        <v>328</v>
      </c>
      <c r="U6" s="91">
        <v>0.32286300582040284</v>
      </c>
      <c r="V6" s="91" t="s">
        <v>331</v>
      </c>
      <c r="W6" t="str">
        <f t="shared" si="0"/>
        <v>DLC-Thermostat-DI-MSHPResidential</v>
      </c>
      <c r="Y6" s="42">
        <f t="shared" si="1"/>
        <v>1.1840860974013363E-3</v>
      </c>
    </row>
    <row r="7" spans="1:25" ht="69" customHeight="1" x14ac:dyDescent="0.25">
      <c r="A7" s="90" t="s">
        <v>202</v>
      </c>
      <c r="B7" s="90" t="s">
        <v>156</v>
      </c>
      <c r="C7" s="91" t="s">
        <v>45</v>
      </c>
      <c r="D7" t="s">
        <v>45</v>
      </c>
      <c r="E7" s="91" t="s">
        <v>323</v>
      </c>
      <c r="F7" s="91" t="s">
        <v>330</v>
      </c>
      <c r="G7" s="91" t="s">
        <v>327</v>
      </c>
      <c r="H7" s="91">
        <v>177.74846097214424</v>
      </c>
      <c r="I7" s="91">
        <v>284.3975375554308</v>
      </c>
      <c r="J7" s="91">
        <v>568.7950751108616</v>
      </c>
      <c r="K7" s="91">
        <v>0</v>
      </c>
      <c r="L7" s="91">
        <v>71575.486963200019</v>
      </c>
      <c r="M7" s="91">
        <v>77743.766200320024</v>
      </c>
      <c r="N7" s="91">
        <v>84024.587262528032</v>
      </c>
      <c r="O7" s="92"/>
      <c r="P7" s="93"/>
      <c r="Q7" s="93"/>
      <c r="R7" s="93"/>
      <c r="S7" s="91"/>
      <c r="T7" s="91"/>
      <c r="U7" s="91">
        <v>0.67713699417959716</v>
      </c>
      <c r="V7" s="91" t="s">
        <v>331</v>
      </c>
      <c r="W7" t="str">
        <f t="shared" si="0"/>
        <v>CPP: DLC-Thermostat-DI-MSHPResidential</v>
      </c>
      <c r="Y7" s="42">
        <f t="shared" si="1"/>
        <v>2.4833706135109108E-3</v>
      </c>
    </row>
    <row r="8" spans="1:25" ht="69" customHeight="1" x14ac:dyDescent="0.25">
      <c r="A8" s="166"/>
      <c r="B8" s="166" t="s">
        <v>332</v>
      </c>
      <c r="C8" t="s">
        <v>322</v>
      </c>
      <c r="D8" t="s">
        <v>200</v>
      </c>
      <c r="E8" t="s">
        <v>323</v>
      </c>
      <c r="G8" t="s">
        <v>333</v>
      </c>
      <c r="H8" t="e">
        <v>#N/A</v>
      </c>
      <c r="I8" t="e">
        <v>#N/A</v>
      </c>
      <c r="J8" t="e">
        <v>#N/A</v>
      </c>
      <c r="K8" s="88"/>
      <c r="L8" s="88">
        <v>232</v>
      </c>
      <c r="M8" s="88">
        <v>232</v>
      </c>
      <c r="N8" s="88">
        <v>232</v>
      </c>
      <c r="O8" s="89"/>
      <c r="P8" s="94" t="e">
        <v>#N/A</v>
      </c>
      <c r="Q8" s="94" t="e">
        <v>#N/A</v>
      </c>
      <c r="R8" s="94" t="e">
        <v>#N/A</v>
      </c>
      <c r="U8">
        <v>1</v>
      </c>
      <c r="V8" t="s">
        <v>322</v>
      </c>
      <c r="W8" t="str">
        <f t="shared" si="0"/>
        <v>Large</v>
      </c>
      <c r="Y8" s="42" t="e">
        <f t="shared" si="1"/>
        <v>#N/A</v>
      </c>
    </row>
    <row r="9" spans="1:25" ht="69" customHeight="1" x14ac:dyDescent="0.25">
      <c r="A9" s="166"/>
      <c r="B9" s="166" t="s">
        <v>334</v>
      </c>
      <c r="C9" t="s">
        <v>322</v>
      </c>
      <c r="D9" t="s">
        <v>200</v>
      </c>
      <c r="E9" t="s">
        <v>323</v>
      </c>
      <c r="G9" t="s">
        <v>333</v>
      </c>
      <c r="H9" t="e">
        <v>#N/A</v>
      </c>
      <c r="I9" t="e">
        <v>#N/A</v>
      </c>
      <c r="J9" t="e">
        <v>#N/A</v>
      </c>
      <c r="K9" s="88"/>
      <c r="L9" s="88">
        <v>232</v>
      </c>
      <c r="M9" s="88">
        <v>232</v>
      </c>
      <c r="N9" s="88">
        <v>232</v>
      </c>
      <c r="O9" s="89"/>
      <c r="P9" s="94" t="e">
        <v>#N/A</v>
      </c>
      <c r="Q9" s="94" t="e">
        <v>#N/A</v>
      </c>
      <c r="R9" s="94" t="e">
        <v>#N/A</v>
      </c>
      <c r="U9">
        <v>1</v>
      </c>
      <c r="V9" t="s">
        <v>322</v>
      </c>
      <c r="W9" t="str">
        <f t="shared" si="0"/>
        <v>Large</v>
      </c>
      <c r="Y9" s="42" t="e">
        <f t="shared" si="1"/>
        <v>#N/A</v>
      </c>
    </row>
    <row r="10" spans="1:25" ht="69" customHeight="1" x14ac:dyDescent="0.3">
      <c r="A10" s="90" t="s">
        <v>92</v>
      </c>
      <c r="B10" s="90"/>
      <c r="C10" s="91" t="s">
        <v>322</v>
      </c>
      <c r="D10" t="s">
        <v>200</v>
      </c>
      <c r="E10" s="91" t="s">
        <v>323</v>
      </c>
      <c r="F10" s="169" t="s">
        <v>253</v>
      </c>
      <c r="G10" s="91" t="s">
        <v>333</v>
      </c>
      <c r="H10" s="91" t="e">
        <v>#N/A</v>
      </c>
      <c r="I10" s="91" t="e">
        <v>#N/A</v>
      </c>
      <c r="J10" s="91" t="e">
        <v>#N/A</v>
      </c>
      <c r="K10" s="91"/>
      <c r="L10" s="91">
        <v>232</v>
      </c>
      <c r="M10" s="91">
        <v>232</v>
      </c>
      <c r="N10" s="91">
        <v>232</v>
      </c>
      <c r="O10" s="92"/>
      <c r="P10" s="93" t="e">
        <v>#N/A</v>
      </c>
      <c r="Q10" s="93" t="e">
        <v>#N/A</v>
      </c>
      <c r="R10" s="93" t="e">
        <v>#N/A</v>
      </c>
      <c r="S10" s="91"/>
      <c r="T10" s="91"/>
      <c r="U10" s="91">
        <v>1</v>
      </c>
      <c r="V10" s="91" t="s">
        <v>325</v>
      </c>
      <c r="W10" t="str">
        <f t="shared" si="0"/>
        <v>C&amp;I Curtailment-Turnkey-Advanced Lighting ControlLarge</v>
      </c>
      <c r="Y10" s="42" t="e">
        <f t="shared" si="1"/>
        <v>#N/A</v>
      </c>
    </row>
    <row r="11" spans="1:25" ht="69" customHeight="1" x14ac:dyDescent="0.3">
      <c r="A11" s="90" t="s">
        <v>98</v>
      </c>
      <c r="B11" s="90"/>
      <c r="C11" s="91" t="s">
        <v>322</v>
      </c>
      <c r="D11" t="s">
        <v>200</v>
      </c>
      <c r="E11" s="91" t="s">
        <v>323</v>
      </c>
      <c r="F11" s="169" t="s">
        <v>253</v>
      </c>
      <c r="G11" s="91" t="s">
        <v>333</v>
      </c>
      <c r="H11" s="91" t="e">
        <v>#N/A</v>
      </c>
      <c r="I11" s="91" t="e">
        <v>#N/A</v>
      </c>
      <c r="J11" s="91" t="e">
        <v>#N/A</v>
      </c>
      <c r="K11" s="91"/>
      <c r="L11" s="91">
        <v>232</v>
      </c>
      <c r="M11" s="91">
        <v>232</v>
      </c>
      <c r="N11" s="91">
        <v>232</v>
      </c>
      <c r="O11" s="92"/>
      <c r="P11" s="93" t="e">
        <v>#N/A</v>
      </c>
      <c r="Q11" s="93" t="e">
        <v>#N/A</v>
      </c>
      <c r="R11" s="93" t="e">
        <v>#N/A</v>
      </c>
      <c r="S11" s="91"/>
      <c r="T11" s="91"/>
      <c r="U11" s="91">
        <v>1</v>
      </c>
      <c r="V11" s="91" t="s">
        <v>325</v>
      </c>
      <c r="W11" t="str">
        <f t="shared" si="0"/>
        <v>C&amp;I Curtailment-Enabling Tech-Advanced Lighting ControlLarge</v>
      </c>
      <c r="Y11" s="42" t="e">
        <f t="shared" si="1"/>
        <v>#N/A</v>
      </c>
    </row>
    <row r="12" spans="1:25" ht="69" customHeight="1" x14ac:dyDescent="0.25">
      <c r="A12" s="166"/>
      <c r="B12" s="166" t="s">
        <v>166</v>
      </c>
      <c r="C12" t="s">
        <v>335</v>
      </c>
      <c r="D12" t="s">
        <v>203</v>
      </c>
      <c r="E12" t="s">
        <v>323</v>
      </c>
      <c r="F12" t="s">
        <v>336</v>
      </c>
      <c r="G12" t="s">
        <v>327</v>
      </c>
      <c r="H12">
        <v>108.34544334975354</v>
      </c>
      <c r="I12">
        <v>107.80371613300478</v>
      </c>
      <c r="J12">
        <v>117.1894135682971</v>
      </c>
      <c r="K12" s="88"/>
      <c r="L12" s="88">
        <v>4896.2541029826625</v>
      </c>
      <c r="M12" s="88">
        <v>5304.2379339220161</v>
      </c>
      <c r="N12" s="88">
        <v>5704.2963889377897</v>
      </c>
      <c r="O12" s="89"/>
      <c r="P12" s="94">
        <v>2.2128231311310517E-2</v>
      </c>
      <c r="Q12" s="94">
        <v>2.0324072463561875E-2</v>
      </c>
      <c r="R12" s="94">
        <v>2.0544061103760284E-2</v>
      </c>
      <c r="U12">
        <v>0.3125</v>
      </c>
      <c r="V12" t="s">
        <v>337</v>
      </c>
      <c r="W12" t="str">
        <f t="shared" si="0"/>
        <v>Small</v>
      </c>
      <c r="Y12" s="42">
        <f t="shared" si="1"/>
        <v>2.2128231311310517E-2</v>
      </c>
    </row>
    <row r="13" spans="1:25" ht="69" customHeight="1" x14ac:dyDescent="0.3">
      <c r="A13" s="166"/>
      <c r="B13" s="166" t="s">
        <v>163</v>
      </c>
      <c r="C13" t="s">
        <v>335</v>
      </c>
      <c r="D13" t="s">
        <v>203</v>
      </c>
      <c r="E13" t="s">
        <v>323</v>
      </c>
      <c r="F13" s="168" t="s">
        <v>336</v>
      </c>
      <c r="G13" t="s">
        <v>327</v>
      </c>
      <c r="H13">
        <v>6.1224489795918293</v>
      </c>
      <c r="I13">
        <v>12.627551020408188</v>
      </c>
      <c r="J13">
        <v>16.836734693877531</v>
      </c>
      <c r="K13" s="88"/>
      <c r="L13" s="88">
        <v>4896.2541029826625</v>
      </c>
      <c r="M13" s="88">
        <v>5304.2379339220161</v>
      </c>
      <c r="N13" s="88">
        <v>5704.2963889377897</v>
      </c>
      <c r="O13" s="89"/>
      <c r="P13" s="94">
        <v>1.2504353023390276E-3</v>
      </c>
      <c r="Q13" s="94">
        <v>2.3806532017826031E-3</v>
      </c>
      <c r="R13" s="94">
        <v>2.9515883372625276E-3</v>
      </c>
      <c r="U13">
        <v>0.3125</v>
      </c>
      <c r="V13" t="s">
        <v>337</v>
      </c>
      <c r="W13" t="str">
        <f t="shared" si="0"/>
        <v>Small</v>
      </c>
      <c r="Y13" s="42">
        <f t="shared" si="1"/>
        <v>1.2504353023390276E-3</v>
      </c>
    </row>
    <row r="14" spans="1:25" ht="69" customHeight="1" x14ac:dyDescent="0.3">
      <c r="A14" s="166" t="s">
        <v>82</v>
      </c>
      <c r="B14" s="166"/>
      <c r="C14" t="s">
        <v>335</v>
      </c>
      <c r="D14" t="s">
        <v>203</v>
      </c>
      <c r="E14" t="s">
        <v>323</v>
      </c>
      <c r="F14" s="168" t="s">
        <v>336</v>
      </c>
      <c r="G14" t="s">
        <v>327</v>
      </c>
      <c r="H14">
        <v>35.771216352920426</v>
      </c>
      <c r="I14">
        <v>37.634770985441556</v>
      </c>
      <c r="J14">
        <v>41.883171331929567</v>
      </c>
      <c r="K14" s="88"/>
      <c r="L14" s="88">
        <v>4896.2541029826625</v>
      </c>
      <c r="M14" s="88">
        <v>5304.2379339220161</v>
      </c>
      <c r="N14" s="88">
        <v>5704.2963889377897</v>
      </c>
      <c r="O14" s="89"/>
      <c r="P14" s="94">
        <v>7.3058333167654822E-3</v>
      </c>
      <c r="Q14" s="94">
        <v>7.09522677042015E-3</v>
      </c>
      <c r="R14" s="94">
        <v>7.3423904503196287E-3</v>
      </c>
      <c r="S14" s="45"/>
      <c r="U14">
        <v>0.3125</v>
      </c>
      <c r="V14" t="s">
        <v>337</v>
      </c>
      <c r="W14" t="str">
        <f t="shared" si="0"/>
        <v>DLC-Thermostat-DI-Central Heat PumpSmall</v>
      </c>
      <c r="Y14" s="42">
        <f t="shared" si="1"/>
        <v>7.3058333167654822E-3</v>
      </c>
    </row>
    <row r="15" spans="1:25" ht="69" customHeight="1" x14ac:dyDescent="0.3">
      <c r="A15" s="90" t="s">
        <v>204</v>
      </c>
      <c r="B15" s="90">
        <v>0</v>
      </c>
      <c r="C15" s="91" t="s">
        <v>335</v>
      </c>
      <c r="D15" t="s">
        <v>203</v>
      </c>
      <c r="E15" s="91" t="s">
        <v>323</v>
      </c>
      <c r="F15" s="169" t="s">
        <v>336</v>
      </c>
      <c r="G15" s="91" t="s">
        <v>327</v>
      </c>
      <c r="H15" s="91">
        <v>78.696675976424942</v>
      </c>
      <c r="I15" s="91">
        <v>82.796496167971426</v>
      </c>
      <c r="J15" s="91">
        <v>92.142976930245055</v>
      </c>
      <c r="K15" s="91"/>
      <c r="L15" s="91">
        <v>4896.2541029826625</v>
      </c>
      <c r="M15" s="91">
        <v>5304.2379339220161</v>
      </c>
      <c r="N15" s="91">
        <v>5704.2963889377897</v>
      </c>
      <c r="O15" s="92"/>
      <c r="P15" s="93"/>
      <c r="Q15" s="93"/>
      <c r="R15" s="93"/>
      <c r="S15" s="91"/>
      <c r="T15" s="91"/>
      <c r="U15" s="91">
        <v>0.6875</v>
      </c>
      <c r="V15" s="91" t="s">
        <v>337</v>
      </c>
      <c r="W15" t="str">
        <f t="shared" si="0"/>
        <v>CPP: DLC-Thermostat-DI-Central Heat PumpSmall</v>
      </c>
      <c r="Y15" s="42">
        <f t="shared" si="1"/>
        <v>1.6072833296884061E-2</v>
      </c>
    </row>
    <row r="16" spans="1:25" ht="69" customHeight="1" x14ac:dyDescent="0.3">
      <c r="A16" s="90" t="s">
        <v>82</v>
      </c>
      <c r="B16" s="90" t="s">
        <v>167</v>
      </c>
      <c r="C16" s="91" t="s">
        <v>45</v>
      </c>
      <c r="D16" t="s">
        <v>45</v>
      </c>
      <c r="E16" s="91" t="s">
        <v>323</v>
      </c>
      <c r="F16" s="169" t="s">
        <v>336</v>
      </c>
      <c r="G16" s="91" t="s">
        <v>327</v>
      </c>
      <c r="H16" s="91">
        <v>16.270618439682739</v>
      </c>
      <c r="I16" s="91">
        <v>52.065979006984762</v>
      </c>
      <c r="J16" s="91">
        <v>65.082473758730956</v>
      </c>
      <c r="K16" s="91"/>
      <c r="L16" s="91">
        <v>58507.610396400007</v>
      </c>
      <c r="M16" s="91">
        <v>63549.710231040008</v>
      </c>
      <c r="N16" s="91">
        <v>68683.814790426011</v>
      </c>
      <c r="O16" s="92"/>
      <c r="P16" s="93">
        <v>2.7809405185831815E-4</v>
      </c>
      <c r="Q16" s="93">
        <v>8.1929530154732047E-4</v>
      </c>
      <c r="R16" s="93">
        <v>9.4756638019184323E-4</v>
      </c>
      <c r="S16" s="91"/>
      <c r="T16" s="91"/>
      <c r="U16" s="91">
        <v>0.32541236879365476</v>
      </c>
      <c r="V16" s="91" t="s">
        <v>338</v>
      </c>
      <c r="W16" t="str">
        <f t="shared" si="0"/>
        <v>DLC-Thermostat-DI-Central Heat PumpResidential</v>
      </c>
      <c r="Y16" s="42">
        <f t="shared" si="1"/>
        <v>2.7809405185831815E-4</v>
      </c>
    </row>
    <row r="17" spans="1:25" ht="69" customHeight="1" x14ac:dyDescent="0.25">
      <c r="A17" s="166" t="s">
        <v>204</v>
      </c>
      <c r="B17" s="166" t="s">
        <v>167</v>
      </c>
      <c r="C17" t="s">
        <v>45</v>
      </c>
      <c r="D17" t="s">
        <v>45</v>
      </c>
      <c r="E17" t="s">
        <v>323</v>
      </c>
      <c r="F17" t="s">
        <v>336</v>
      </c>
      <c r="G17" t="s">
        <v>327</v>
      </c>
      <c r="H17">
        <v>33.729381560317265</v>
      </c>
      <c r="I17">
        <v>107.93402099301524</v>
      </c>
      <c r="J17">
        <v>134.91752624126906</v>
      </c>
      <c r="K17" s="88">
        <v>0</v>
      </c>
      <c r="L17" s="88">
        <v>58507.610396400007</v>
      </c>
      <c r="M17" s="88">
        <v>63549.710231040008</v>
      </c>
      <c r="N17" s="88">
        <v>68683.814790426011</v>
      </c>
      <c r="O17" s="89"/>
      <c r="P17" s="94">
        <v>5.7649562735162822E-4</v>
      </c>
      <c r="Q17" s="94">
        <v>1.6984187748553463E-3</v>
      </c>
      <c r="R17" s="94">
        <v>1.9643277918231692E-3</v>
      </c>
      <c r="U17">
        <v>0.67458763120634524</v>
      </c>
      <c r="V17" t="s">
        <v>338</v>
      </c>
      <c r="W17" t="str">
        <f t="shared" si="0"/>
        <v>CPP: DLC-Thermostat-DI-Central Heat PumpResidential</v>
      </c>
      <c r="Y17" s="42">
        <f t="shared" si="1"/>
        <v>5.7649562735162822E-4</v>
      </c>
    </row>
    <row r="18" spans="1:25" ht="69" customHeight="1" x14ac:dyDescent="0.3">
      <c r="A18" s="90" t="s">
        <v>85</v>
      </c>
      <c r="B18" s="90" t="s">
        <v>159</v>
      </c>
      <c r="C18" s="91" t="s">
        <v>45</v>
      </c>
      <c r="D18" t="s">
        <v>45</v>
      </c>
      <c r="E18" s="91" t="s">
        <v>323</v>
      </c>
      <c r="F18" s="169" t="s">
        <v>326</v>
      </c>
      <c r="G18" s="91" t="s">
        <v>327</v>
      </c>
      <c r="H18" s="91">
        <v>150</v>
      </c>
      <c r="I18" s="91">
        <v>309</v>
      </c>
      <c r="J18" s="91">
        <v>468</v>
      </c>
      <c r="K18" s="91"/>
      <c r="L18" s="91">
        <v>97052.309699999998</v>
      </c>
      <c r="M18" s="91">
        <v>95068.822400000005</v>
      </c>
      <c r="N18" s="91">
        <v>92783.002199999988</v>
      </c>
      <c r="O18" s="92"/>
      <c r="P18" s="93">
        <v>1.5455582712422557E-3</v>
      </c>
      <c r="Q18" s="93">
        <v>3.2502769278017268E-3</v>
      </c>
      <c r="R18" s="93">
        <v>5.0440273423271497E-3</v>
      </c>
      <c r="S18" s="91">
        <v>0.09</v>
      </c>
      <c r="T18" s="91" t="s">
        <v>303</v>
      </c>
      <c r="U18" s="91">
        <v>1</v>
      </c>
      <c r="V18" s="91" t="s">
        <v>329</v>
      </c>
      <c r="W18" t="str">
        <f t="shared" si="0"/>
        <v>DLC-Thermostat-BYOT-Baseboard HeatingResidential</v>
      </c>
      <c r="Y18" s="42">
        <f t="shared" si="1"/>
        <v>1.5455582712422557E-3</v>
      </c>
    </row>
    <row r="19" spans="1:25" ht="69" customHeight="1" x14ac:dyDescent="0.3">
      <c r="A19" s="90"/>
      <c r="B19" s="90" t="s">
        <v>161</v>
      </c>
      <c r="C19" s="91" t="s">
        <v>335</v>
      </c>
      <c r="D19" t="s">
        <v>203</v>
      </c>
      <c r="E19" s="91" t="s">
        <v>323</v>
      </c>
      <c r="F19" s="169" t="s">
        <v>326</v>
      </c>
      <c r="G19" s="91" t="s">
        <v>327</v>
      </c>
      <c r="H19" s="91">
        <v>40</v>
      </c>
      <c r="I19" s="91">
        <v>82.5</v>
      </c>
      <c r="J19" s="91">
        <v>110.00000000000001</v>
      </c>
      <c r="K19" s="91"/>
      <c r="L19" s="91">
        <v>7665.3023361347605</v>
      </c>
      <c r="M19" s="91">
        <v>7483.9741289172398</v>
      </c>
      <c r="N19" s="91">
        <v>7262.1892148018114</v>
      </c>
      <c r="O19" s="92"/>
      <c r="P19" s="93">
        <v>5.2183199365062561E-3</v>
      </c>
      <c r="Q19" s="93">
        <v>1.1023554942718096E-2</v>
      </c>
      <c r="R19" s="93">
        <v>1.514694766914056E-2</v>
      </c>
      <c r="S19" s="91"/>
      <c r="T19" s="91"/>
      <c r="U19" s="91">
        <v>0.3125</v>
      </c>
      <c r="V19" s="91" t="s">
        <v>339</v>
      </c>
      <c r="W19" t="str">
        <f t="shared" si="0"/>
        <v>Small</v>
      </c>
      <c r="Y19" s="42">
        <f t="shared" si="1"/>
        <v>5.2183199365062561E-3</v>
      </c>
    </row>
    <row r="20" spans="1:25" ht="69" customHeight="1" x14ac:dyDescent="0.25">
      <c r="A20" s="166"/>
      <c r="B20" s="166" t="s">
        <v>164</v>
      </c>
      <c r="C20" t="s">
        <v>335</v>
      </c>
      <c r="D20" t="s">
        <v>203</v>
      </c>
      <c r="E20" t="s">
        <v>323</v>
      </c>
      <c r="F20" t="s">
        <v>326</v>
      </c>
      <c r="G20" t="s">
        <v>327</v>
      </c>
      <c r="H20">
        <v>707.85689655172416</v>
      </c>
      <c r="I20">
        <v>704.31761206896556</v>
      </c>
      <c r="J20">
        <v>765.63750197954221</v>
      </c>
      <c r="K20" s="88"/>
      <c r="L20" s="88">
        <v>7665.3023361347605</v>
      </c>
      <c r="M20" s="88">
        <v>7483.9741289172398</v>
      </c>
      <c r="N20" s="88">
        <v>7262.1892148018114</v>
      </c>
      <c r="O20" s="89"/>
      <c r="P20" s="94">
        <v>9.2345593886732719E-2</v>
      </c>
      <c r="Q20" s="94">
        <v>9.4110107803227303E-2</v>
      </c>
      <c r="R20" s="94">
        <v>0.10542791978196024</v>
      </c>
      <c r="U20">
        <v>0.3125</v>
      </c>
      <c r="V20" t="s">
        <v>339</v>
      </c>
      <c r="W20" t="str">
        <f t="shared" si="0"/>
        <v>Small</v>
      </c>
      <c r="Y20" s="42">
        <f t="shared" si="1"/>
        <v>9.2345593886732719E-2</v>
      </c>
    </row>
    <row r="21" spans="1:25" ht="69" customHeight="1" x14ac:dyDescent="0.3">
      <c r="A21" s="166" t="s">
        <v>84</v>
      </c>
      <c r="B21" s="166"/>
      <c r="C21" t="s">
        <v>335</v>
      </c>
      <c r="D21" t="s">
        <v>203</v>
      </c>
      <c r="E21" t="s">
        <v>323</v>
      </c>
      <c r="F21" s="168" t="s">
        <v>326</v>
      </c>
      <c r="G21" t="s">
        <v>327</v>
      </c>
      <c r="H21">
        <v>233.70528017241381</v>
      </c>
      <c r="I21">
        <v>245.88050377155173</v>
      </c>
      <c r="J21">
        <v>273.63671936860692</v>
      </c>
      <c r="K21" s="88"/>
      <c r="L21" s="88">
        <v>7665.3023361347605</v>
      </c>
      <c r="M21" s="88">
        <v>7483.9741289172398</v>
      </c>
      <c r="N21" s="88">
        <v>7262.1892148018114</v>
      </c>
      <c r="O21" s="89"/>
      <c r="P21" s="94">
        <v>3.0488723069762181E-2</v>
      </c>
      <c r="Q21" s="94">
        <v>3.2854269608107937E-2</v>
      </c>
      <c r="R21" s="94">
        <v>3.7679646078468999E-2</v>
      </c>
      <c r="S21" s="45"/>
      <c r="U21">
        <v>0.3125</v>
      </c>
      <c r="V21" t="s">
        <v>339</v>
      </c>
      <c r="W21" t="str">
        <f t="shared" si="0"/>
        <v>DLC-Thermostat-DI-Baseboard HeatingSmall</v>
      </c>
      <c r="Y21" s="42">
        <f t="shared" si="1"/>
        <v>3.0488723069762181E-2</v>
      </c>
    </row>
    <row r="22" spans="1:25" ht="69" customHeight="1" x14ac:dyDescent="0.25">
      <c r="A22" t="s">
        <v>201</v>
      </c>
      <c r="B22">
        <v>0</v>
      </c>
      <c r="C22" t="s">
        <v>335</v>
      </c>
      <c r="D22" t="s">
        <v>203</v>
      </c>
      <c r="E22" t="s">
        <v>323</v>
      </c>
      <c r="F22" t="s">
        <v>326</v>
      </c>
      <c r="G22" t="s">
        <v>327</v>
      </c>
      <c r="H22">
        <v>514.15161637931033</v>
      </c>
      <c r="I22">
        <v>540.93710829741383</v>
      </c>
      <c r="J22">
        <v>602.00078261093529</v>
      </c>
      <c r="L22">
        <v>7665.3023361347605</v>
      </c>
      <c r="M22">
        <v>7483.9741289172398</v>
      </c>
      <c r="N22">
        <v>7262.1892148018114</v>
      </c>
      <c r="P22" s="46"/>
      <c r="Q22" s="46"/>
      <c r="R22" s="46"/>
      <c r="U22">
        <v>0.6875</v>
      </c>
      <c r="V22" t="s">
        <v>339</v>
      </c>
      <c r="W22" t="str">
        <f t="shared" si="0"/>
        <v>CPP: DLC-Thermostat-DI-Baseboard HeatingSmall</v>
      </c>
      <c r="Y22" s="42">
        <f t="shared" si="1"/>
        <v>6.7075190753476788E-2</v>
      </c>
    </row>
    <row r="23" spans="1:25" ht="69" customHeight="1" x14ac:dyDescent="0.25">
      <c r="B23" t="s">
        <v>162</v>
      </c>
      <c r="C23" t="s">
        <v>335</v>
      </c>
      <c r="D23" t="s">
        <v>203</v>
      </c>
      <c r="E23" t="s">
        <v>323</v>
      </c>
      <c r="F23" t="s">
        <v>330</v>
      </c>
      <c r="G23" t="s">
        <v>327</v>
      </c>
      <c r="H23">
        <v>4.2857142857142803</v>
      </c>
      <c r="I23">
        <v>8.8392857142857313</v>
      </c>
      <c r="J23">
        <v>11.78571428571427</v>
      </c>
      <c r="L23">
        <v>6123.8182870479068</v>
      </c>
      <c r="M23">
        <v>6634.089770548796</v>
      </c>
      <c r="N23">
        <v>7134.4488677658528</v>
      </c>
      <c r="P23" s="46">
        <v>0.13337470269149337</v>
      </c>
      <c r="Q23" s="46">
        <v>0.13083535605435634</v>
      </c>
      <c r="R23" s="46">
        <v>0.13638981556676649</v>
      </c>
      <c r="U23">
        <v>0.3125</v>
      </c>
      <c r="V23" t="s">
        <v>340</v>
      </c>
      <c r="W23" t="str">
        <f t="shared" si="0"/>
        <v>Small</v>
      </c>
      <c r="Y23" s="42">
        <f t="shared" si="1"/>
        <v>6.9984347752099672E-4</v>
      </c>
    </row>
    <row r="24" spans="1:25" ht="69" customHeight="1" x14ac:dyDescent="0.25">
      <c r="B24" t="s">
        <v>165</v>
      </c>
      <c r="C24" t="s">
        <v>335</v>
      </c>
      <c r="D24" t="s">
        <v>203</v>
      </c>
      <c r="E24" t="s">
        <v>323</v>
      </c>
      <c r="F24" t="s">
        <v>330</v>
      </c>
      <c r="G24" t="s">
        <v>327</v>
      </c>
      <c r="H24">
        <v>75.841810344827479</v>
      </c>
      <c r="I24">
        <v>75.462601293103347</v>
      </c>
      <c r="J24">
        <v>82.032589497807976</v>
      </c>
      <c r="L24">
        <v>6123.8182870479068</v>
      </c>
      <c r="M24">
        <v>6634.089770548796</v>
      </c>
      <c r="N24">
        <v>7134.4488677658528</v>
      </c>
      <c r="P24" s="46">
        <v>1.2384725801749475E-2</v>
      </c>
      <c r="Q24" s="46">
        <v>1.1374974397860884E-2</v>
      </c>
      <c r="R24" s="46">
        <v>1.1498097613179253E-2</v>
      </c>
      <c r="U24">
        <v>0.3125</v>
      </c>
      <c r="V24" t="s">
        <v>340</v>
      </c>
      <c r="W24" t="str">
        <f t="shared" si="0"/>
        <v>Small</v>
      </c>
      <c r="Y24" s="42">
        <f t="shared" si="1"/>
        <v>1.2384725801749475E-2</v>
      </c>
    </row>
    <row r="25" spans="1:25" ht="69" customHeight="1" x14ac:dyDescent="0.25">
      <c r="A25" t="s">
        <v>86</v>
      </c>
      <c r="C25" t="s">
        <v>335</v>
      </c>
      <c r="D25" t="s">
        <v>203</v>
      </c>
      <c r="E25" t="s">
        <v>323</v>
      </c>
      <c r="F25" t="s">
        <v>330</v>
      </c>
      <c r="G25" t="s">
        <v>327</v>
      </c>
      <c r="H25">
        <v>25.039851447044299</v>
      </c>
      <c r="I25">
        <v>26.34433968980909</v>
      </c>
      <c r="J25">
        <v>29.318219932350704</v>
      </c>
      <c r="L25">
        <v>6123.8182870479068</v>
      </c>
      <c r="M25">
        <v>6634.089770548796</v>
      </c>
      <c r="N25">
        <v>7134.4488677658528</v>
      </c>
      <c r="P25" s="46">
        <v>4.0889278997720217E-3</v>
      </c>
      <c r="Q25" s="46">
        <v>3.9710556535971914E-3</v>
      </c>
      <c r="R25" s="46">
        <v>4.109388191821421E-3</v>
      </c>
      <c r="U25">
        <v>0.3125</v>
      </c>
      <c r="V25" t="s">
        <v>340</v>
      </c>
      <c r="W25" t="str">
        <f t="shared" si="0"/>
        <v>DLC-Thermostat-DI-MSHPSmall</v>
      </c>
      <c r="Y25" s="42">
        <f t="shared" si="1"/>
        <v>4.0889278997720217E-3</v>
      </c>
    </row>
    <row r="26" spans="1:25" ht="69" customHeight="1" x14ac:dyDescent="0.25">
      <c r="A26" t="s">
        <v>202</v>
      </c>
      <c r="B26">
        <v>0</v>
      </c>
      <c r="C26" t="s">
        <v>335</v>
      </c>
      <c r="D26" t="s">
        <v>203</v>
      </c>
      <c r="E26" t="s">
        <v>323</v>
      </c>
      <c r="F26" t="s">
        <v>330</v>
      </c>
      <c r="G26" t="s">
        <v>327</v>
      </c>
      <c r="H26">
        <v>55.087673183497458</v>
      </c>
      <c r="I26">
        <v>57.957547317579994</v>
      </c>
      <c r="J26">
        <v>64.500083851171553</v>
      </c>
      <c r="L26">
        <v>6123.8182870479068</v>
      </c>
      <c r="M26">
        <v>6634.089770548796</v>
      </c>
      <c r="N26">
        <v>7134.4488677658528</v>
      </c>
      <c r="P26" s="46"/>
      <c r="Q26" s="46"/>
      <c r="R26" s="46"/>
      <c r="U26">
        <v>0.6875</v>
      </c>
      <c r="V26" t="s">
        <v>340</v>
      </c>
      <c r="W26" t="str">
        <f t="shared" si="0"/>
        <v>CPP: DLC-Thermostat-DI-MSHPSmall</v>
      </c>
      <c r="Y26" s="42">
        <f t="shared" si="1"/>
        <v>8.9956413794984487E-3</v>
      </c>
    </row>
    <row r="27" spans="1:25" ht="69" customHeight="1" x14ac:dyDescent="0.25">
      <c r="A27" t="s">
        <v>87</v>
      </c>
      <c r="B27" t="s">
        <v>160</v>
      </c>
      <c r="C27" t="s">
        <v>45</v>
      </c>
      <c r="D27" t="s">
        <v>45</v>
      </c>
      <c r="E27" t="s">
        <v>323</v>
      </c>
      <c r="F27" t="s">
        <v>330</v>
      </c>
      <c r="G27" t="s">
        <v>327</v>
      </c>
      <c r="H27">
        <v>8.5714285714285605</v>
      </c>
      <c r="I27">
        <v>17.678571428571463</v>
      </c>
      <c r="J27">
        <v>26.785714285714363</v>
      </c>
      <c r="L27">
        <v>71575.486963200019</v>
      </c>
      <c r="M27">
        <v>77743.766200320024</v>
      </c>
      <c r="N27">
        <v>84024.587262528032</v>
      </c>
      <c r="P27" s="46">
        <v>1.1975368851958345E-4</v>
      </c>
      <c r="Q27" s="46">
        <v>2.2739535647166385E-4</v>
      </c>
      <c r="R27" s="46">
        <v>3.1878424111771668E-4</v>
      </c>
      <c r="S27">
        <v>0.09</v>
      </c>
      <c r="T27" t="s">
        <v>303</v>
      </c>
      <c r="U27">
        <v>1</v>
      </c>
      <c r="V27" t="s">
        <v>331</v>
      </c>
      <c r="W27" t="str">
        <f t="shared" si="0"/>
        <v>DLC-Thermostat-BYOT-MSHPResidential</v>
      </c>
      <c r="Y27" s="42">
        <f t="shared" si="1"/>
        <v>1.1975368851958345E-4</v>
      </c>
    </row>
    <row r="28" spans="1:25" ht="69" customHeight="1" x14ac:dyDescent="0.25">
      <c r="A28" t="s">
        <v>101</v>
      </c>
      <c r="C28" t="s">
        <v>335</v>
      </c>
      <c r="D28" t="s">
        <v>203</v>
      </c>
      <c r="E28" t="s">
        <v>323</v>
      </c>
      <c r="F28" t="s">
        <v>253</v>
      </c>
      <c r="H28">
        <v>647.93596553923271</v>
      </c>
      <c r="I28">
        <v>681.69115178296522</v>
      </c>
      <c r="J28">
        <v>758.64384339235187</v>
      </c>
      <c r="L28">
        <v>40522</v>
      </c>
      <c r="M28">
        <v>40647</v>
      </c>
      <c r="N28">
        <v>40663</v>
      </c>
      <c r="P28" s="46">
        <v>1.5989733121248524E-2</v>
      </c>
      <c r="Q28" s="46">
        <v>1.6771007744309917E-2</v>
      </c>
      <c r="R28" s="46">
        <v>1.8656858652641269E-2</v>
      </c>
      <c r="W28" t="str">
        <f t="shared" si="0"/>
        <v>Dynamic Pricing with enabling tech.Small</v>
      </c>
      <c r="Y28" s="42">
        <f t="shared" si="1"/>
        <v>1.5989733121248524E-2</v>
      </c>
    </row>
    <row r="29" spans="1:25" ht="69" customHeight="1" x14ac:dyDescent="0.25">
      <c r="A29" t="s">
        <v>101</v>
      </c>
      <c r="C29" t="s">
        <v>45</v>
      </c>
      <c r="D29" t="s">
        <v>45</v>
      </c>
      <c r="E29" t="s">
        <v>323</v>
      </c>
      <c r="H29">
        <v>1847.4468978633615</v>
      </c>
      <c r="I29">
        <v>3009.882047077886</v>
      </c>
      <c r="J29">
        <v>5938.8135784110109</v>
      </c>
      <c r="L29">
        <v>227135.40705960002</v>
      </c>
      <c r="M29">
        <v>236362.29883136007</v>
      </c>
      <c r="N29">
        <v>245491.404252954</v>
      </c>
      <c r="P29" s="46">
        <v>8.133680793230947E-3</v>
      </c>
      <c r="Q29" s="46">
        <v>1.2734188413124965E-2</v>
      </c>
      <c r="R29" s="46">
        <v>2.419153369741478E-2</v>
      </c>
      <c r="W29" t="str">
        <f t="shared" si="0"/>
        <v>Dynamic Pricing with enabling tech.Residential</v>
      </c>
      <c r="Y29" s="42">
        <f t="shared" si="1"/>
        <v>8.133680793230947E-3</v>
      </c>
    </row>
    <row r="30" spans="1:25" ht="69" customHeight="1" x14ac:dyDescent="0.25">
      <c r="W30" t="str">
        <f t="shared" si="0"/>
        <v/>
      </c>
      <c r="Y30" s="42" t="e">
        <f t="shared" si="1"/>
        <v>#DIV/0!</v>
      </c>
    </row>
    <row r="31" spans="1:25" ht="69" customHeight="1" x14ac:dyDescent="0.25">
      <c r="W31" t="str">
        <f t="shared" si="0"/>
        <v/>
      </c>
    </row>
  </sheetData>
  <autoFilter ref="A1:Y31" xr:uid="{A14E6B9A-35A7-446F-A67F-1253775D6FA9}"/>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theme="5"/>
  </sheetPr>
  <dimension ref="A1:AY97"/>
  <sheetViews>
    <sheetView zoomScale="85" zoomScaleNormal="85" workbookViewId="0">
      <pane ySplit="3" topLeftCell="A4" activePane="bottomLeft" state="frozen"/>
      <selection activeCell="D15" sqref="D15"/>
      <selection pane="bottomLeft" activeCell="M18" sqref="M18:M29"/>
    </sheetView>
  </sheetViews>
  <sheetFormatPr defaultColWidth="9.09765625" defaultRowHeight="13.8" outlineLevelRow="1" x14ac:dyDescent="0.25"/>
  <cols>
    <col min="1" max="1" width="43.69921875" style="2" customWidth="1"/>
    <col min="2" max="2" width="26.796875" style="2" customWidth="1"/>
    <col min="3" max="3" width="10.796875" style="8" customWidth="1"/>
    <col min="4" max="12" width="10.69921875" style="156" customWidth="1"/>
    <col min="13" max="13" width="50.09765625" style="286" customWidth="1"/>
    <col min="14" max="14" width="9.09765625" hidden="1" customWidth="1"/>
    <col min="15" max="17" width="0" hidden="1" customWidth="1"/>
    <col min="18" max="51" width="9.09765625" style="157"/>
  </cols>
  <sheetData>
    <row r="1" spans="1:17" ht="50.1" customHeight="1" outlineLevel="1" x14ac:dyDescent="0.25">
      <c r="A1" s="7"/>
      <c r="B1" s="7"/>
      <c r="C1" s="7"/>
    </row>
    <row r="2" spans="1:17" ht="17.25" customHeight="1" outlineLevel="1" x14ac:dyDescent="0.25">
      <c r="A2" s="66" t="s">
        <v>7</v>
      </c>
      <c r="B2" s="63" t="s">
        <v>341</v>
      </c>
      <c r="C2" s="63"/>
      <c r="D2" s="63"/>
      <c r="E2" s="63"/>
      <c r="F2" s="63"/>
      <c r="G2" s="63"/>
      <c r="H2" s="63"/>
      <c r="I2" s="63"/>
      <c r="J2" s="63"/>
      <c r="K2" s="63"/>
      <c r="L2" s="63"/>
      <c r="M2" s="332"/>
    </row>
    <row r="3" spans="1:17" ht="17.25" customHeight="1" outlineLevel="1" x14ac:dyDescent="0.3">
      <c r="A3" s="59" t="s">
        <v>78</v>
      </c>
      <c r="B3" s="59" t="s">
        <v>131</v>
      </c>
      <c r="C3" s="59">
        <v>2021</v>
      </c>
      <c r="D3" s="66">
        <v>2022</v>
      </c>
      <c r="E3" s="66">
        <v>2023</v>
      </c>
      <c r="F3" s="66">
        <v>2024</v>
      </c>
      <c r="G3" s="66">
        <v>2025</v>
      </c>
      <c r="H3" s="66">
        <v>2026</v>
      </c>
      <c r="I3" s="66">
        <v>2027</v>
      </c>
      <c r="J3" s="66">
        <v>2028</v>
      </c>
      <c r="K3" s="66">
        <v>2029</v>
      </c>
      <c r="L3" s="66">
        <v>2030</v>
      </c>
      <c r="M3" s="320" t="s">
        <v>26</v>
      </c>
    </row>
    <row r="4" spans="1:17" ht="63.45" customHeight="1" x14ac:dyDescent="0.3">
      <c r="A4" s="69" t="s">
        <v>80</v>
      </c>
      <c r="B4" s="69" t="s">
        <v>45</v>
      </c>
      <c r="C4" s="170">
        <f>(1/0.94)*0.28%</f>
        <v>2.9787234042553197E-3</v>
      </c>
      <c r="D4" s="171">
        <v>3.0000000000000001E-3</v>
      </c>
      <c r="E4" s="100">
        <f>1/(1+$N4*$O4^-(E$3-$C$3))</f>
        <v>5.274703360255259E-2</v>
      </c>
      <c r="F4" s="100">
        <f>1/(1+$N4*$O4^-(F$3-$C$3))</f>
        <v>0.11353308387843271</v>
      </c>
      <c r="G4" s="100">
        <f t="shared" ref="F4:L17" si="0">1/(1+$N4*$O4^-(G$3-$C$3))</f>
        <v>0.22754242215050557</v>
      </c>
      <c r="H4" s="100">
        <f t="shared" si="0"/>
        <v>0.40387829252922069</v>
      </c>
      <c r="I4" s="100">
        <f t="shared" si="0"/>
        <v>0.60911122883583657</v>
      </c>
      <c r="J4" s="100">
        <f t="shared" si="0"/>
        <v>0.7818511874788352</v>
      </c>
      <c r="K4" s="100">
        <f t="shared" si="0"/>
        <v>0.8918130804522979</v>
      </c>
      <c r="L4" s="100">
        <f t="shared" si="0"/>
        <v>0.94989854881900626</v>
      </c>
      <c r="M4" s="321" t="s">
        <v>342</v>
      </c>
      <c r="N4" s="82">
        <v>95</v>
      </c>
      <c r="O4" s="82">
        <v>2.2999999999999998</v>
      </c>
      <c r="Q4">
        <f>(10/11)*23</f>
        <v>20.90909090909091</v>
      </c>
    </row>
    <row r="5" spans="1:17" ht="15" customHeight="1" x14ac:dyDescent="0.3">
      <c r="A5" s="69" t="s">
        <v>81</v>
      </c>
      <c r="B5" s="69" t="s">
        <v>45</v>
      </c>
      <c r="C5" s="71">
        <v>0</v>
      </c>
      <c r="D5" s="110">
        <v>0</v>
      </c>
      <c r="E5" s="60">
        <f t="shared" ref="E5:E17" si="1">1/(1+$N5*$O5^-(E$3-$C$3))</f>
        <v>0.15290131300296483</v>
      </c>
      <c r="F5" s="60">
        <f t="shared" si="0"/>
        <v>0.25537063926430614</v>
      </c>
      <c r="G5" s="60">
        <f t="shared" si="0"/>
        <v>0.39452835272356285</v>
      </c>
      <c r="H5" s="60">
        <f t="shared" si="0"/>
        <v>0.55318235812031857</v>
      </c>
      <c r="I5" s="60">
        <f t="shared" si="0"/>
        <v>0.70169681266474815</v>
      </c>
      <c r="J5" s="60">
        <f t="shared" si="0"/>
        <v>0.81716320765098394</v>
      </c>
      <c r="K5" s="60">
        <f t="shared" si="0"/>
        <v>0.89464569977298392</v>
      </c>
      <c r="L5" s="60">
        <f t="shared" si="0"/>
        <v>0.94163782321448253</v>
      </c>
      <c r="M5" s="321"/>
      <c r="N5" s="82">
        <v>20</v>
      </c>
      <c r="O5" s="82">
        <v>1.9</v>
      </c>
    </row>
    <row r="6" spans="1:17" ht="15" customHeight="1" x14ac:dyDescent="0.3">
      <c r="A6" s="69" t="s">
        <v>82</v>
      </c>
      <c r="B6" s="69" t="s">
        <v>45</v>
      </c>
      <c r="C6" s="71">
        <v>0.02</v>
      </c>
      <c r="D6" s="109">
        <v>7.4999999999999997E-2</v>
      </c>
      <c r="E6" s="60">
        <f t="shared" si="1"/>
        <v>0.15290131300296483</v>
      </c>
      <c r="F6" s="60">
        <f t="shared" si="0"/>
        <v>0.25537063926430614</v>
      </c>
      <c r="G6" s="60">
        <f t="shared" si="0"/>
        <v>0.39452835272356285</v>
      </c>
      <c r="H6" s="60">
        <f t="shared" si="0"/>
        <v>0.55318235812031857</v>
      </c>
      <c r="I6" s="60">
        <f t="shared" si="0"/>
        <v>0.70169681266474815</v>
      </c>
      <c r="J6" s="60">
        <f t="shared" si="0"/>
        <v>0.81716320765098394</v>
      </c>
      <c r="K6" s="60">
        <f t="shared" si="0"/>
        <v>0.89464569977298392</v>
      </c>
      <c r="L6" s="60">
        <f t="shared" si="0"/>
        <v>0.94163782321448253</v>
      </c>
      <c r="M6" s="434" t="s">
        <v>343</v>
      </c>
      <c r="N6" s="82">
        <v>20</v>
      </c>
      <c r="O6" s="82">
        <v>1.9</v>
      </c>
    </row>
    <row r="7" spans="1:17" ht="15" customHeight="1" x14ac:dyDescent="0.3">
      <c r="A7" s="69" t="s">
        <v>83</v>
      </c>
      <c r="B7" s="69" t="s">
        <v>45</v>
      </c>
      <c r="C7" s="71">
        <v>0</v>
      </c>
      <c r="D7" s="109">
        <v>7.4999999999999997E-2</v>
      </c>
      <c r="E7" s="60">
        <f>1/(1+$N7*$O7^-(E$3-$C$3))</f>
        <v>0.15290131300296483</v>
      </c>
      <c r="F7" s="60">
        <f t="shared" si="0"/>
        <v>0.25537063926430614</v>
      </c>
      <c r="G7" s="60">
        <f t="shared" si="0"/>
        <v>0.39452835272356285</v>
      </c>
      <c r="H7" s="60">
        <f t="shared" si="0"/>
        <v>0.55318235812031857</v>
      </c>
      <c r="I7" s="60">
        <f t="shared" si="0"/>
        <v>0.70169681266474815</v>
      </c>
      <c r="J7" s="60">
        <f t="shared" si="0"/>
        <v>0.81716320765098394</v>
      </c>
      <c r="K7" s="60">
        <f t="shared" si="0"/>
        <v>0.89464569977298392</v>
      </c>
      <c r="L7" s="60">
        <f t="shared" si="0"/>
        <v>0.94163782321448253</v>
      </c>
      <c r="M7" s="435"/>
      <c r="N7" s="82">
        <v>20</v>
      </c>
      <c r="O7" s="82">
        <v>1.9</v>
      </c>
    </row>
    <row r="8" spans="1:17" ht="14.4" x14ac:dyDescent="0.3">
      <c r="A8" s="69" t="s">
        <v>84</v>
      </c>
      <c r="B8" s="69" t="s">
        <v>45</v>
      </c>
      <c r="C8" s="71">
        <v>0.02</v>
      </c>
      <c r="D8" s="109">
        <f>5*0.7%</f>
        <v>3.4999999999999996E-2</v>
      </c>
      <c r="E8" s="60">
        <f t="shared" si="1"/>
        <v>0.15290131300296483</v>
      </c>
      <c r="F8" s="60">
        <f t="shared" si="0"/>
        <v>0.25537063926430614</v>
      </c>
      <c r="G8" s="60">
        <f t="shared" si="0"/>
        <v>0.39452835272356285</v>
      </c>
      <c r="H8" s="60">
        <f t="shared" si="0"/>
        <v>0.55318235812031857</v>
      </c>
      <c r="I8" s="60">
        <f t="shared" si="0"/>
        <v>0.70169681266474815</v>
      </c>
      <c r="J8" s="60">
        <f t="shared" si="0"/>
        <v>0.81716320765098394</v>
      </c>
      <c r="K8" s="60">
        <f t="shared" si="0"/>
        <v>0.89464569977298392</v>
      </c>
      <c r="L8" s="60">
        <f t="shared" si="0"/>
        <v>0.94163782321448253</v>
      </c>
      <c r="M8" s="435"/>
      <c r="N8" s="82">
        <v>20</v>
      </c>
      <c r="O8" s="82">
        <v>1.9</v>
      </c>
    </row>
    <row r="9" spans="1:17" ht="14.4" x14ac:dyDescent="0.3">
      <c r="A9" s="69" t="s">
        <v>85</v>
      </c>
      <c r="B9" s="69" t="s">
        <v>45</v>
      </c>
      <c r="C9" s="71">
        <v>0</v>
      </c>
      <c r="D9" s="109">
        <f>5*0.7%</f>
        <v>3.4999999999999996E-2</v>
      </c>
      <c r="E9" s="60">
        <f t="shared" si="1"/>
        <v>0.15290131300296483</v>
      </c>
      <c r="F9" s="60">
        <f t="shared" si="0"/>
        <v>0.25537063926430614</v>
      </c>
      <c r="G9" s="60">
        <f t="shared" si="0"/>
        <v>0.39452835272356285</v>
      </c>
      <c r="H9" s="60">
        <f t="shared" si="0"/>
        <v>0.55318235812031857</v>
      </c>
      <c r="I9" s="60">
        <f t="shared" si="0"/>
        <v>0.70169681266474815</v>
      </c>
      <c r="J9" s="60">
        <f t="shared" si="0"/>
        <v>0.81716320765098394</v>
      </c>
      <c r="K9" s="60">
        <f t="shared" si="0"/>
        <v>0.89464569977298392</v>
      </c>
      <c r="L9" s="60">
        <f t="shared" si="0"/>
        <v>0.94163782321448253</v>
      </c>
      <c r="M9" s="435"/>
      <c r="N9" s="82">
        <v>20</v>
      </c>
      <c r="O9" s="82">
        <v>1.9</v>
      </c>
    </row>
    <row r="10" spans="1:17" ht="14.4" x14ac:dyDescent="0.3">
      <c r="A10" s="69" t="s">
        <v>86</v>
      </c>
      <c r="B10" s="69" t="s">
        <v>45</v>
      </c>
      <c r="C10" s="71">
        <v>0.02</v>
      </c>
      <c r="D10" s="109">
        <v>7.4999999999999997E-2</v>
      </c>
      <c r="E10" s="60">
        <f t="shared" si="1"/>
        <v>0.15290131300296483</v>
      </c>
      <c r="F10" s="60">
        <f t="shared" si="0"/>
        <v>0.25537063926430614</v>
      </c>
      <c r="G10" s="60">
        <f t="shared" si="0"/>
        <v>0.39452835272356285</v>
      </c>
      <c r="H10" s="60">
        <f t="shared" si="0"/>
        <v>0.55318235812031857</v>
      </c>
      <c r="I10" s="60">
        <f t="shared" si="0"/>
        <v>0.70169681266474815</v>
      </c>
      <c r="J10" s="60">
        <f t="shared" si="0"/>
        <v>0.81716320765098394</v>
      </c>
      <c r="K10" s="60">
        <f t="shared" si="0"/>
        <v>0.89464569977298392</v>
      </c>
      <c r="L10" s="60">
        <f t="shared" si="0"/>
        <v>0.94163782321448253</v>
      </c>
      <c r="M10" s="435"/>
      <c r="N10" s="82">
        <v>20</v>
      </c>
      <c r="O10" s="82">
        <v>1.9</v>
      </c>
    </row>
    <row r="11" spans="1:17" ht="72" customHeight="1" x14ac:dyDescent="0.3">
      <c r="A11" s="69" t="s">
        <v>87</v>
      </c>
      <c r="B11" s="69" t="s">
        <v>45</v>
      </c>
      <c r="C11" s="71">
        <v>0</v>
      </c>
      <c r="D11" s="109">
        <v>7.4999999999999997E-2</v>
      </c>
      <c r="E11" s="60">
        <f t="shared" si="1"/>
        <v>0.15290131300296483</v>
      </c>
      <c r="F11" s="60">
        <f t="shared" si="0"/>
        <v>0.25537063926430614</v>
      </c>
      <c r="G11" s="60">
        <f t="shared" si="0"/>
        <v>0.39452835272356285</v>
      </c>
      <c r="H11" s="60">
        <f t="shared" si="0"/>
        <v>0.55318235812031857</v>
      </c>
      <c r="I11" s="60">
        <f t="shared" si="0"/>
        <v>0.70169681266474815</v>
      </c>
      <c r="J11" s="60">
        <f t="shared" si="0"/>
        <v>0.81716320765098394</v>
      </c>
      <c r="K11" s="60">
        <f t="shared" si="0"/>
        <v>0.89464569977298392</v>
      </c>
      <c r="L11" s="60">
        <f t="shared" si="0"/>
        <v>0.94163782321448253</v>
      </c>
      <c r="M11" s="436"/>
      <c r="N11" s="82">
        <v>20</v>
      </c>
      <c r="O11" s="82">
        <v>1.9</v>
      </c>
    </row>
    <row r="12" spans="1:17" ht="14.4" x14ac:dyDescent="0.3">
      <c r="A12" s="69" t="s">
        <v>80</v>
      </c>
      <c r="B12" s="69" t="s">
        <v>40</v>
      </c>
      <c r="C12" s="74">
        <v>0</v>
      </c>
      <c r="D12" s="109">
        <v>7.0000000000000001E-3</v>
      </c>
      <c r="E12" s="60">
        <f t="shared" si="1"/>
        <v>0.15290131300296483</v>
      </c>
      <c r="F12" s="60">
        <f t="shared" si="0"/>
        <v>0.25537063926430614</v>
      </c>
      <c r="G12" s="60">
        <f t="shared" si="0"/>
        <v>0.39452835272356285</v>
      </c>
      <c r="H12" s="60">
        <f t="shared" si="0"/>
        <v>0.55318235812031857</v>
      </c>
      <c r="I12" s="60">
        <f t="shared" si="0"/>
        <v>0.70169681266474815</v>
      </c>
      <c r="J12" s="60">
        <f t="shared" si="0"/>
        <v>0.81716320765098394</v>
      </c>
      <c r="K12" s="60">
        <f t="shared" si="0"/>
        <v>0.89464569977298392</v>
      </c>
      <c r="L12" s="60">
        <f t="shared" si="0"/>
        <v>0.94163782321448253</v>
      </c>
      <c r="M12" s="434" t="s">
        <v>342</v>
      </c>
      <c r="N12" s="82">
        <v>20</v>
      </c>
      <c r="O12" s="82">
        <v>1.9</v>
      </c>
    </row>
    <row r="13" spans="1:17" ht="14.4" x14ac:dyDescent="0.3">
      <c r="A13" s="69" t="s">
        <v>80</v>
      </c>
      <c r="B13" s="69" t="s">
        <v>42</v>
      </c>
      <c r="C13" s="74">
        <v>0</v>
      </c>
      <c r="D13" s="109">
        <v>7.0000000000000001E-3</v>
      </c>
      <c r="E13" s="60">
        <f t="shared" si="1"/>
        <v>0.15290131300296483</v>
      </c>
      <c r="F13" s="60">
        <f t="shared" si="0"/>
        <v>0.25537063926430614</v>
      </c>
      <c r="G13" s="60">
        <f t="shared" si="0"/>
        <v>0.39452835272356285</v>
      </c>
      <c r="H13" s="60">
        <f t="shared" si="0"/>
        <v>0.55318235812031857</v>
      </c>
      <c r="I13" s="60">
        <f t="shared" si="0"/>
        <v>0.70169681266474815</v>
      </c>
      <c r="J13" s="60">
        <f t="shared" si="0"/>
        <v>0.81716320765098394</v>
      </c>
      <c r="K13" s="60">
        <f t="shared" si="0"/>
        <v>0.89464569977298392</v>
      </c>
      <c r="L13" s="60">
        <f t="shared" si="0"/>
        <v>0.94163782321448253</v>
      </c>
      <c r="M13" s="435"/>
      <c r="N13" s="82">
        <v>20</v>
      </c>
      <c r="O13" s="82">
        <v>1.9</v>
      </c>
    </row>
    <row r="14" spans="1:17" ht="14.4" x14ac:dyDescent="0.3">
      <c r="A14" s="69" t="s">
        <v>81</v>
      </c>
      <c r="B14" s="69" t="s">
        <v>40</v>
      </c>
      <c r="C14" s="74">
        <v>0</v>
      </c>
      <c r="D14" s="109">
        <v>7.0000000000000001E-3</v>
      </c>
      <c r="E14" s="60">
        <f t="shared" si="1"/>
        <v>0.15290131300296483</v>
      </c>
      <c r="F14" s="60">
        <f t="shared" si="0"/>
        <v>0.25537063926430614</v>
      </c>
      <c r="G14" s="60">
        <f t="shared" si="0"/>
        <v>0.39452835272356285</v>
      </c>
      <c r="H14" s="60">
        <f t="shared" si="0"/>
        <v>0.55318235812031857</v>
      </c>
      <c r="I14" s="60">
        <f t="shared" si="0"/>
        <v>0.70169681266474815</v>
      </c>
      <c r="J14" s="60">
        <f t="shared" si="0"/>
        <v>0.81716320765098394</v>
      </c>
      <c r="K14" s="60">
        <f t="shared" si="0"/>
        <v>0.89464569977298392</v>
      </c>
      <c r="L14" s="60">
        <f t="shared" si="0"/>
        <v>0.94163782321448253</v>
      </c>
      <c r="M14" s="435"/>
      <c r="N14" s="82">
        <v>20</v>
      </c>
      <c r="O14" s="82">
        <v>1.9</v>
      </c>
    </row>
    <row r="15" spans="1:17" ht="14.4" x14ac:dyDescent="0.3">
      <c r="A15" s="69" t="s">
        <v>81</v>
      </c>
      <c r="B15" s="69" t="s">
        <v>42</v>
      </c>
      <c r="C15" s="74">
        <v>0</v>
      </c>
      <c r="D15" s="109">
        <v>7.0000000000000001E-3</v>
      </c>
      <c r="E15" s="60">
        <f t="shared" si="1"/>
        <v>0.15290131300296483</v>
      </c>
      <c r="F15" s="60">
        <f t="shared" si="0"/>
        <v>0.25537063926430614</v>
      </c>
      <c r="G15" s="60">
        <f t="shared" si="0"/>
        <v>0.39452835272356285</v>
      </c>
      <c r="H15" s="60">
        <f t="shared" si="0"/>
        <v>0.55318235812031857</v>
      </c>
      <c r="I15" s="60">
        <f t="shared" si="0"/>
        <v>0.70169681266474815</v>
      </c>
      <c r="J15" s="60">
        <f t="shared" si="0"/>
        <v>0.81716320765098394</v>
      </c>
      <c r="K15" s="60">
        <f t="shared" si="0"/>
        <v>0.89464569977298392</v>
      </c>
      <c r="L15" s="60">
        <f t="shared" si="0"/>
        <v>0.94163782321448253</v>
      </c>
      <c r="M15" s="435"/>
      <c r="N15" s="82">
        <v>20</v>
      </c>
      <c r="O15" s="82">
        <v>1.9</v>
      </c>
    </row>
    <row r="16" spans="1:17" ht="14.4" x14ac:dyDescent="0.3">
      <c r="A16" s="69" t="s">
        <v>88</v>
      </c>
      <c r="B16" s="69" t="s">
        <v>40</v>
      </c>
      <c r="C16" s="81">
        <v>0</v>
      </c>
      <c r="D16" s="109">
        <v>7.0000000000000001E-3</v>
      </c>
      <c r="E16" s="60">
        <f t="shared" si="1"/>
        <v>0.15290131300296483</v>
      </c>
      <c r="F16" s="60">
        <f t="shared" si="0"/>
        <v>0.25537063926430614</v>
      </c>
      <c r="G16" s="60">
        <f t="shared" si="0"/>
        <v>0.39452835272356285</v>
      </c>
      <c r="H16" s="60">
        <f t="shared" si="0"/>
        <v>0.55318235812031857</v>
      </c>
      <c r="I16" s="60">
        <f t="shared" si="0"/>
        <v>0.70169681266474815</v>
      </c>
      <c r="J16" s="60">
        <f t="shared" si="0"/>
        <v>0.81716320765098394</v>
      </c>
      <c r="K16" s="60">
        <f t="shared" si="0"/>
        <v>0.89464569977298392</v>
      </c>
      <c r="L16" s="60">
        <f t="shared" si="0"/>
        <v>0.94163782321448253</v>
      </c>
      <c r="M16" s="435"/>
      <c r="N16" s="82">
        <v>20</v>
      </c>
      <c r="O16" s="82">
        <v>1.9</v>
      </c>
    </row>
    <row r="17" spans="1:15" ht="17.55" customHeight="1" x14ac:dyDescent="0.3">
      <c r="A17" s="69" t="s">
        <v>88</v>
      </c>
      <c r="B17" s="69" t="s">
        <v>42</v>
      </c>
      <c r="C17" s="81">
        <v>0</v>
      </c>
      <c r="D17" s="109">
        <v>7.0000000000000001E-3</v>
      </c>
      <c r="E17" s="60">
        <f t="shared" si="1"/>
        <v>0.15290131300296483</v>
      </c>
      <c r="F17" s="60">
        <f t="shared" si="0"/>
        <v>0.25537063926430614</v>
      </c>
      <c r="G17" s="60">
        <f t="shared" si="0"/>
        <v>0.39452835272356285</v>
      </c>
      <c r="H17" s="60">
        <f t="shared" si="0"/>
        <v>0.55318235812031857</v>
      </c>
      <c r="I17" s="60">
        <f t="shared" si="0"/>
        <v>0.70169681266474815</v>
      </c>
      <c r="J17" s="60">
        <f t="shared" si="0"/>
        <v>0.81716320765098394</v>
      </c>
      <c r="K17" s="60">
        <f t="shared" si="0"/>
        <v>0.89464569977298392</v>
      </c>
      <c r="L17" s="60">
        <f t="shared" si="0"/>
        <v>0.94163782321448253</v>
      </c>
      <c r="M17" s="436"/>
      <c r="N17" s="82">
        <v>20</v>
      </c>
      <c r="O17" s="82">
        <v>1.9</v>
      </c>
    </row>
    <row r="18" spans="1:15" ht="17.55" customHeight="1" x14ac:dyDescent="0.25">
      <c r="A18" s="69" t="s">
        <v>82</v>
      </c>
      <c r="B18" s="69" t="s">
        <v>40</v>
      </c>
      <c r="C18" s="81">
        <v>0</v>
      </c>
      <c r="D18" s="111">
        <f t="shared" ref="D18:L18" si="2">D6</f>
        <v>7.4999999999999997E-2</v>
      </c>
      <c r="E18" s="81">
        <f t="shared" si="2"/>
        <v>0.15290131300296483</v>
      </c>
      <c r="F18" s="81">
        <f t="shared" si="2"/>
        <v>0.25537063926430614</v>
      </c>
      <c r="G18" s="81">
        <f t="shared" si="2"/>
        <v>0.39452835272356285</v>
      </c>
      <c r="H18" s="81">
        <f t="shared" si="2"/>
        <v>0.55318235812031857</v>
      </c>
      <c r="I18" s="81">
        <f t="shared" si="2"/>
        <v>0.70169681266474815</v>
      </c>
      <c r="J18" s="81">
        <f t="shared" si="2"/>
        <v>0.81716320765098394</v>
      </c>
      <c r="K18" s="81">
        <f t="shared" si="2"/>
        <v>0.89464569977298392</v>
      </c>
      <c r="L18" s="81">
        <f t="shared" si="2"/>
        <v>0.94163782321448253</v>
      </c>
      <c r="M18" s="434" t="s">
        <v>525</v>
      </c>
      <c r="N18" s="83"/>
      <c r="O18" s="83"/>
    </row>
    <row r="19" spans="1:15" ht="17.55" customHeight="1" x14ac:dyDescent="0.25">
      <c r="A19" s="69" t="s">
        <v>83</v>
      </c>
      <c r="B19" s="69" t="s">
        <v>40</v>
      </c>
      <c r="C19" s="81">
        <f t="shared" ref="C19:L23" si="3">C7</f>
        <v>0</v>
      </c>
      <c r="D19" s="111">
        <f t="shared" si="3"/>
        <v>7.4999999999999997E-2</v>
      </c>
      <c r="E19" s="81">
        <f t="shared" si="3"/>
        <v>0.15290131300296483</v>
      </c>
      <c r="F19" s="81">
        <f t="shared" si="3"/>
        <v>0.25537063926430614</v>
      </c>
      <c r="G19" s="81">
        <f t="shared" si="3"/>
        <v>0.39452835272356285</v>
      </c>
      <c r="H19" s="81">
        <f t="shared" si="3"/>
        <v>0.55318235812031857</v>
      </c>
      <c r="I19" s="81">
        <f t="shared" si="3"/>
        <v>0.70169681266474815</v>
      </c>
      <c r="J19" s="81">
        <f t="shared" si="3"/>
        <v>0.81716320765098394</v>
      </c>
      <c r="K19" s="81">
        <f t="shared" si="3"/>
        <v>0.89464569977298392</v>
      </c>
      <c r="L19" s="81">
        <f t="shared" si="3"/>
        <v>0.94163782321448253</v>
      </c>
      <c r="M19" s="435"/>
      <c r="N19" s="83"/>
      <c r="O19" s="83"/>
    </row>
    <row r="20" spans="1:15" ht="17.55" customHeight="1" x14ac:dyDescent="0.25">
      <c r="A20" s="69" t="s">
        <v>84</v>
      </c>
      <c r="B20" s="69" t="s">
        <v>40</v>
      </c>
      <c r="C20" s="81">
        <v>0</v>
      </c>
      <c r="D20" s="111">
        <f t="shared" si="3"/>
        <v>3.4999999999999996E-2</v>
      </c>
      <c r="E20" s="81">
        <f t="shared" si="3"/>
        <v>0.15290131300296483</v>
      </c>
      <c r="F20" s="81">
        <f t="shared" si="3"/>
        <v>0.25537063926430614</v>
      </c>
      <c r="G20" s="81">
        <f t="shared" si="3"/>
        <v>0.39452835272356285</v>
      </c>
      <c r="H20" s="81">
        <f t="shared" si="3"/>
        <v>0.55318235812031857</v>
      </c>
      <c r="I20" s="81">
        <f t="shared" si="3"/>
        <v>0.70169681266474815</v>
      </c>
      <c r="J20" s="81">
        <f t="shared" si="3"/>
        <v>0.81716320765098394</v>
      </c>
      <c r="K20" s="81">
        <f t="shared" si="3"/>
        <v>0.89464569977298392</v>
      </c>
      <c r="L20" s="81">
        <f t="shared" si="3"/>
        <v>0.94163782321448253</v>
      </c>
      <c r="M20" s="435"/>
      <c r="N20" s="83"/>
      <c r="O20" s="83"/>
    </row>
    <row r="21" spans="1:15" ht="17.55" customHeight="1" x14ac:dyDescent="0.25">
      <c r="A21" s="69" t="s">
        <v>85</v>
      </c>
      <c r="B21" s="69" t="s">
        <v>40</v>
      </c>
      <c r="C21" s="81">
        <f t="shared" si="3"/>
        <v>0</v>
      </c>
      <c r="D21" s="111">
        <f>D9</f>
        <v>3.4999999999999996E-2</v>
      </c>
      <c r="E21" s="81">
        <f t="shared" si="3"/>
        <v>0.15290131300296483</v>
      </c>
      <c r="F21" s="81">
        <f t="shared" si="3"/>
        <v>0.25537063926430614</v>
      </c>
      <c r="G21" s="81">
        <f t="shared" si="3"/>
        <v>0.39452835272356285</v>
      </c>
      <c r="H21" s="81">
        <f t="shared" si="3"/>
        <v>0.55318235812031857</v>
      </c>
      <c r="I21" s="81">
        <f t="shared" si="3"/>
        <v>0.70169681266474815</v>
      </c>
      <c r="J21" s="81">
        <f t="shared" si="3"/>
        <v>0.81716320765098394</v>
      </c>
      <c r="K21" s="81">
        <f t="shared" si="3"/>
        <v>0.89464569977298392</v>
      </c>
      <c r="L21" s="81">
        <f t="shared" si="3"/>
        <v>0.94163782321448253</v>
      </c>
      <c r="M21" s="435"/>
      <c r="N21" s="83"/>
      <c r="O21" s="83"/>
    </row>
    <row r="22" spans="1:15" ht="17.55" customHeight="1" x14ac:dyDescent="0.25">
      <c r="A22" s="69" t="s">
        <v>86</v>
      </c>
      <c r="B22" s="69" t="s">
        <v>40</v>
      </c>
      <c r="C22" s="81">
        <v>0</v>
      </c>
      <c r="D22" s="111">
        <f t="shared" si="3"/>
        <v>7.4999999999999997E-2</v>
      </c>
      <c r="E22" s="81">
        <f t="shared" si="3"/>
        <v>0.15290131300296483</v>
      </c>
      <c r="F22" s="81">
        <f t="shared" si="3"/>
        <v>0.25537063926430614</v>
      </c>
      <c r="G22" s="81">
        <f t="shared" si="3"/>
        <v>0.39452835272356285</v>
      </c>
      <c r="H22" s="81">
        <f t="shared" si="3"/>
        <v>0.55318235812031857</v>
      </c>
      <c r="I22" s="81">
        <f t="shared" si="3"/>
        <v>0.70169681266474815</v>
      </c>
      <c r="J22" s="81">
        <f t="shared" si="3"/>
        <v>0.81716320765098394</v>
      </c>
      <c r="K22" s="81">
        <f t="shared" si="3"/>
        <v>0.89464569977298392</v>
      </c>
      <c r="L22" s="81">
        <f t="shared" si="3"/>
        <v>0.94163782321448253</v>
      </c>
      <c r="M22" s="435"/>
      <c r="N22" s="83"/>
      <c r="O22" s="83"/>
    </row>
    <row r="23" spans="1:15" ht="17.55" customHeight="1" x14ac:dyDescent="0.25">
      <c r="A23" s="69" t="s">
        <v>87</v>
      </c>
      <c r="B23" s="69" t="s">
        <v>40</v>
      </c>
      <c r="C23" s="81">
        <f t="shared" si="3"/>
        <v>0</v>
      </c>
      <c r="D23" s="111">
        <f t="shared" si="3"/>
        <v>7.4999999999999997E-2</v>
      </c>
      <c r="E23" s="81">
        <f t="shared" si="3"/>
        <v>0.15290131300296483</v>
      </c>
      <c r="F23" s="81">
        <f t="shared" si="3"/>
        <v>0.25537063926430614</v>
      </c>
      <c r="G23" s="81">
        <f t="shared" si="3"/>
        <v>0.39452835272356285</v>
      </c>
      <c r="H23" s="81">
        <f t="shared" si="3"/>
        <v>0.55318235812031857</v>
      </c>
      <c r="I23" s="81">
        <f t="shared" si="3"/>
        <v>0.70169681266474815</v>
      </c>
      <c r="J23" s="81">
        <f t="shared" si="3"/>
        <v>0.81716320765098394</v>
      </c>
      <c r="K23" s="81">
        <f t="shared" si="3"/>
        <v>0.89464569977298392</v>
      </c>
      <c r="L23" s="81">
        <f t="shared" si="3"/>
        <v>0.94163782321448253</v>
      </c>
      <c r="M23" s="435"/>
      <c r="N23" s="83"/>
      <c r="O23" s="83"/>
    </row>
    <row r="24" spans="1:15" ht="17.55" customHeight="1" x14ac:dyDescent="0.25">
      <c r="A24" s="69" t="s">
        <v>82</v>
      </c>
      <c r="B24" s="69" t="s">
        <v>42</v>
      </c>
      <c r="C24" s="81">
        <v>0</v>
      </c>
      <c r="D24" s="111">
        <f t="shared" ref="D24:L24" si="4">D18</f>
        <v>7.4999999999999997E-2</v>
      </c>
      <c r="E24" s="81">
        <f t="shared" si="4"/>
        <v>0.15290131300296483</v>
      </c>
      <c r="F24" s="81">
        <f t="shared" si="4"/>
        <v>0.25537063926430614</v>
      </c>
      <c r="G24" s="81">
        <f t="shared" si="4"/>
        <v>0.39452835272356285</v>
      </c>
      <c r="H24" s="81">
        <f t="shared" si="4"/>
        <v>0.55318235812031857</v>
      </c>
      <c r="I24" s="81">
        <f t="shared" si="4"/>
        <v>0.70169681266474815</v>
      </c>
      <c r="J24" s="81">
        <f t="shared" si="4"/>
        <v>0.81716320765098394</v>
      </c>
      <c r="K24" s="81">
        <f t="shared" si="4"/>
        <v>0.89464569977298392</v>
      </c>
      <c r="L24" s="81">
        <f t="shared" si="4"/>
        <v>0.94163782321448253</v>
      </c>
      <c r="M24" s="435"/>
      <c r="N24" s="83"/>
      <c r="O24" s="83"/>
    </row>
    <row r="25" spans="1:15" ht="17.55" customHeight="1" x14ac:dyDescent="0.25">
      <c r="A25" s="69" t="s">
        <v>83</v>
      </c>
      <c r="B25" s="69" t="s">
        <v>42</v>
      </c>
      <c r="C25" s="81">
        <f t="shared" ref="C25:L29" si="5">C19</f>
        <v>0</v>
      </c>
      <c r="D25" s="111">
        <f t="shared" si="5"/>
        <v>7.4999999999999997E-2</v>
      </c>
      <c r="E25" s="81">
        <f t="shared" si="5"/>
        <v>0.15290131300296483</v>
      </c>
      <c r="F25" s="81">
        <f t="shared" si="5"/>
        <v>0.25537063926430614</v>
      </c>
      <c r="G25" s="81">
        <f t="shared" si="5"/>
        <v>0.39452835272356285</v>
      </c>
      <c r="H25" s="81">
        <f t="shared" si="5"/>
        <v>0.55318235812031857</v>
      </c>
      <c r="I25" s="81">
        <f t="shared" si="5"/>
        <v>0.70169681266474815</v>
      </c>
      <c r="J25" s="81">
        <f t="shared" si="5"/>
        <v>0.81716320765098394</v>
      </c>
      <c r="K25" s="81">
        <f t="shared" si="5"/>
        <v>0.89464569977298392</v>
      </c>
      <c r="L25" s="81">
        <f t="shared" si="5"/>
        <v>0.94163782321448253</v>
      </c>
      <c r="M25" s="435"/>
      <c r="N25" s="83"/>
      <c r="O25" s="83"/>
    </row>
    <row r="26" spans="1:15" ht="17.55" customHeight="1" x14ac:dyDescent="0.25">
      <c r="A26" s="69" t="s">
        <v>84</v>
      </c>
      <c r="B26" s="69" t="s">
        <v>42</v>
      </c>
      <c r="C26" s="81">
        <v>0</v>
      </c>
      <c r="D26" s="111">
        <f t="shared" si="5"/>
        <v>3.4999999999999996E-2</v>
      </c>
      <c r="E26" s="81">
        <f t="shared" si="5"/>
        <v>0.15290131300296483</v>
      </c>
      <c r="F26" s="81">
        <f t="shared" si="5"/>
        <v>0.25537063926430614</v>
      </c>
      <c r="G26" s="81">
        <f t="shared" si="5"/>
        <v>0.39452835272356285</v>
      </c>
      <c r="H26" s="81">
        <f t="shared" si="5"/>
        <v>0.55318235812031857</v>
      </c>
      <c r="I26" s="81">
        <f t="shared" si="5"/>
        <v>0.70169681266474815</v>
      </c>
      <c r="J26" s="81">
        <f t="shared" si="5"/>
        <v>0.81716320765098394</v>
      </c>
      <c r="K26" s="81">
        <f t="shared" si="5"/>
        <v>0.89464569977298392</v>
      </c>
      <c r="L26" s="81">
        <f t="shared" si="5"/>
        <v>0.94163782321448253</v>
      </c>
      <c r="M26" s="435"/>
      <c r="N26" s="83"/>
      <c r="O26" s="83"/>
    </row>
    <row r="27" spans="1:15" ht="17.55" customHeight="1" x14ac:dyDescent="0.25">
      <c r="A27" s="69" t="s">
        <v>85</v>
      </c>
      <c r="B27" s="69" t="s">
        <v>42</v>
      </c>
      <c r="C27" s="81">
        <f t="shared" si="5"/>
        <v>0</v>
      </c>
      <c r="D27" s="111">
        <f t="shared" si="5"/>
        <v>3.4999999999999996E-2</v>
      </c>
      <c r="E27" s="81">
        <f t="shared" si="5"/>
        <v>0.15290131300296483</v>
      </c>
      <c r="F27" s="81">
        <f t="shared" si="5"/>
        <v>0.25537063926430614</v>
      </c>
      <c r="G27" s="81">
        <f t="shared" si="5"/>
        <v>0.39452835272356285</v>
      </c>
      <c r="H27" s="81">
        <f t="shared" si="5"/>
        <v>0.55318235812031857</v>
      </c>
      <c r="I27" s="81">
        <f t="shared" si="5"/>
        <v>0.70169681266474815</v>
      </c>
      <c r="J27" s="81">
        <f t="shared" si="5"/>
        <v>0.81716320765098394</v>
      </c>
      <c r="K27" s="81">
        <f t="shared" si="5"/>
        <v>0.89464569977298392</v>
      </c>
      <c r="L27" s="81">
        <f t="shared" si="5"/>
        <v>0.94163782321448253</v>
      </c>
      <c r="M27" s="435"/>
      <c r="N27" s="83"/>
      <c r="O27" s="83"/>
    </row>
    <row r="28" spans="1:15" ht="17.55" customHeight="1" x14ac:dyDescent="0.25">
      <c r="A28" s="69" t="s">
        <v>86</v>
      </c>
      <c r="B28" s="69" t="s">
        <v>42</v>
      </c>
      <c r="C28" s="81">
        <v>0</v>
      </c>
      <c r="D28" s="111">
        <f t="shared" si="5"/>
        <v>7.4999999999999997E-2</v>
      </c>
      <c r="E28" s="81">
        <f t="shared" si="5"/>
        <v>0.15290131300296483</v>
      </c>
      <c r="F28" s="81">
        <f t="shared" si="5"/>
        <v>0.25537063926430614</v>
      </c>
      <c r="G28" s="81">
        <f t="shared" si="5"/>
        <v>0.39452835272356285</v>
      </c>
      <c r="H28" s="81">
        <f t="shared" si="5"/>
        <v>0.55318235812031857</v>
      </c>
      <c r="I28" s="81">
        <f t="shared" si="5"/>
        <v>0.70169681266474815</v>
      </c>
      <c r="J28" s="81">
        <f t="shared" si="5"/>
        <v>0.81716320765098394</v>
      </c>
      <c r="K28" s="81">
        <f t="shared" si="5"/>
        <v>0.89464569977298392</v>
      </c>
      <c r="L28" s="81">
        <f t="shared" si="5"/>
        <v>0.94163782321448253</v>
      </c>
      <c r="M28" s="435"/>
      <c r="N28" s="83"/>
      <c r="O28" s="83"/>
    </row>
    <row r="29" spans="1:15" ht="17.55" customHeight="1" x14ac:dyDescent="0.25">
      <c r="A29" s="69" t="s">
        <v>87</v>
      </c>
      <c r="B29" s="69" t="s">
        <v>42</v>
      </c>
      <c r="C29" s="81">
        <f t="shared" si="5"/>
        <v>0</v>
      </c>
      <c r="D29" s="111">
        <f t="shared" si="5"/>
        <v>7.4999999999999997E-2</v>
      </c>
      <c r="E29" s="81">
        <f t="shared" si="5"/>
        <v>0.15290131300296483</v>
      </c>
      <c r="F29" s="81">
        <f t="shared" si="5"/>
        <v>0.25537063926430614</v>
      </c>
      <c r="G29" s="81">
        <f t="shared" si="5"/>
        <v>0.39452835272356285</v>
      </c>
      <c r="H29" s="81">
        <f t="shared" si="5"/>
        <v>0.55318235812031857</v>
      </c>
      <c r="I29" s="81">
        <f t="shared" si="5"/>
        <v>0.70169681266474815</v>
      </c>
      <c r="J29" s="81">
        <f t="shared" si="5"/>
        <v>0.81716320765098394</v>
      </c>
      <c r="K29" s="81">
        <f t="shared" si="5"/>
        <v>0.89464569977298392</v>
      </c>
      <c r="L29" s="81">
        <f t="shared" si="5"/>
        <v>0.94163782321448253</v>
      </c>
      <c r="M29" s="436"/>
      <c r="N29" s="83"/>
      <c r="O29" s="83"/>
    </row>
    <row r="30" spans="1:15" ht="74.55" customHeight="1" x14ac:dyDescent="0.3">
      <c r="A30" s="69" t="s">
        <v>54</v>
      </c>
      <c r="B30" s="69" t="s">
        <v>40</v>
      </c>
      <c r="C30" s="131">
        <v>0</v>
      </c>
      <c r="D30" s="132">
        <v>0</v>
      </c>
      <c r="E30" s="81">
        <v>0</v>
      </c>
      <c r="F30" s="60">
        <v>0.05</v>
      </c>
      <c r="G30" s="60">
        <v>0.15</v>
      </c>
      <c r="H30" s="60">
        <v>0.3</v>
      </c>
      <c r="I30" s="60">
        <v>0.5</v>
      </c>
      <c r="J30" s="60">
        <v>0.7</v>
      </c>
      <c r="K30" s="60">
        <v>0.9</v>
      </c>
      <c r="L30" s="60">
        <v>1</v>
      </c>
      <c r="M30" s="321" t="s">
        <v>344</v>
      </c>
    </row>
    <row r="31" spans="1:15" ht="15" customHeight="1" x14ac:dyDescent="0.3">
      <c r="A31" s="69" t="s">
        <v>54</v>
      </c>
      <c r="B31" s="69" t="s">
        <v>41</v>
      </c>
      <c r="C31" s="131">
        <v>0</v>
      </c>
      <c r="D31" s="132">
        <v>0</v>
      </c>
      <c r="E31" s="81">
        <v>0</v>
      </c>
      <c r="F31" s="60">
        <v>0.05</v>
      </c>
      <c r="G31" s="60">
        <v>0.15</v>
      </c>
      <c r="H31" s="60">
        <v>0.3</v>
      </c>
      <c r="I31" s="60">
        <v>0.5</v>
      </c>
      <c r="J31" s="60">
        <v>0.7</v>
      </c>
      <c r="K31" s="60">
        <v>0.9</v>
      </c>
      <c r="L31" s="60">
        <v>1</v>
      </c>
      <c r="M31" s="433" t="s">
        <v>344</v>
      </c>
    </row>
    <row r="32" spans="1:15" ht="14.4" x14ac:dyDescent="0.3">
      <c r="A32" s="69" t="s">
        <v>54</v>
      </c>
      <c r="B32" s="69" t="s">
        <v>42</v>
      </c>
      <c r="C32" s="131">
        <v>0</v>
      </c>
      <c r="D32" s="132">
        <v>0</v>
      </c>
      <c r="E32" s="81">
        <v>0</v>
      </c>
      <c r="F32" s="60">
        <v>0.05</v>
      </c>
      <c r="G32" s="60">
        <v>0.15</v>
      </c>
      <c r="H32" s="60">
        <v>0.3</v>
      </c>
      <c r="I32" s="60">
        <v>0.5</v>
      </c>
      <c r="J32" s="60">
        <v>0.7</v>
      </c>
      <c r="K32" s="60">
        <v>0.9</v>
      </c>
      <c r="L32" s="60">
        <v>1</v>
      </c>
      <c r="M32" s="433"/>
    </row>
    <row r="33" spans="1:13" ht="14.4" x14ac:dyDescent="0.3">
      <c r="A33" s="69" t="s">
        <v>54</v>
      </c>
      <c r="B33" s="69" t="s">
        <v>43</v>
      </c>
      <c r="C33" s="131">
        <v>0</v>
      </c>
      <c r="D33" s="132">
        <v>0</v>
      </c>
      <c r="E33" s="81">
        <v>0</v>
      </c>
      <c r="F33" s="60">
        <v>0.05</v>
      </c>
      <c r="G33" s="60">
        <v>0.15</v>
      </c>
      <c r="H33" s="60">
        <v>0.3</v>
      </c>
      <c r="I33" s="60">
        <v>0.5</v>
      </c>
      <c r="J33" s="60">
        <v>0.7</v>
      </c>
      <c r="K33" s="60">
        <v>0.9</v>
      </c>
      <c r="L33" s="60">
        <v>1</v>
      </c>
      <c r="M33" s="433"/>
    </row>
    <row r="34" spans="1:13" ht="14.4" x14ac:dyDescent="0.3">
      <c r="A34" s="69" t="s">
        <v>54</v>
      </c>
      <c r="B34" s="69" t="s">
        <v>44</v>
      </c>
      <c r="C34" s="131">
        <v>0</v>
      </c>
      <c r="D34" s="132">
        <v>0</v>
      </c>
      <c r="E34" s="81">
        <v>0</v>
      </c>
      <c r="F34" s="60">
        <v>0.05</v>
      </c>
      <c r="G34" s="60">
        <v>0.15</v>
      </c>
      <c r="H34" s="60">
        <v>0.3</v>
      </c>
      <c r="I34" s="60">
        <v>0.5</v>
      </c>
      <c r="J34" s="60">
        <v>0.7</v>
      </c>
      <c r="K34" s="60">
        <v>0.9</v>
      </c>
      <c r="L34" s="60">
        <v>1</v>
      </c>
      <c r="M34" s="433"/>
    </row>
    <row r="35" spans="1:13" ht="14.4" x14ac:dyDescent="0.3">
      <c r="A35" s="69" t="s">
        <v>89</v>
      </c>
      <c r="B35" s="69" t="s">
        <v>41</v>
      </c>
      <c r="C35" s="81">
        <v>0</v>
      </c>
      <c r="D35" s="60">
        <f t="shared" ref="D35:D46" si="6">30%*(3/3.21)*(3/3.4)</f>
        <v>0.24738867509620668</v>
      </c>
      <c r="E35" s="60">
        <v>0.6</v>
      </c>
      <c r="F35" s="60">
        <v>0.8</v>
      </c>
      <c r="G35" s="60">
        <v>0.9</v>
      </c>
      <c r="H35" s="60">
        <v>1</v>
      </c>
      <c r="I35" s="60">
        <v>1</v>
      </c>
      <c r="J35" s="60">
        <v>1</v>
      </c>
      <c r="K35" s="60">
        <v>1</v>
      </c>
      <c r="L35" s="60">
        <v>1</v>
      </c>
      <c r="M35" s="433"/>
    </row>
    <row r="36" spans="1:13" ht="14.55" customHeight="1" x14ac:dyDescent="0.3">
      <c r="A36" s="69" t="s">
        <v>90</v>
      </c>
      <c r="B36" s="69" t="s">
        <v>41</v>
      </c>
      <c r="C36" s="81">
        <v>0</v>
      </c>
      <c r="D36" s="60">
        <f t="shared" si="6"/>
        <v>0.24738867509620668</v>
      </c>
      <c r="E36" s="60">
        <v>0.6</v>
      </c>
      <c r="F36" s="60">
        <v>0.8</v>
      </c>
      <c r="G36" s="60">
        <v>0.9</v>
      </c>
      <c r="H36" s="60">
        <v>1</v>
      </c>
      <c r="I36" s="60">
        <v>1</v>
      </c>
      <c r="J36" s="60">
        <v>1</v>
      </c>
      <c r="K36" s="60">
        <v>1</v>
      </c>
      <c r="L36" s="60">
        <v>1</v>
      </c>
      <c r="M36" s="433"/>
    </row>
    <row r="37" spans="1:13" ht="14.4" x14ac:dyDescent="0.3">
      <c r="A37" s="69" t="s">
        <v>91</v>
      </c>
      <c r="B37" s="69" t="s">
        <v>41</v>
      </c>
      <c r="C37" s="81">
        <v>0</v>
      </c>
      <c r="D37" s="60">
        <f t="shared" si="6"/>
        <v>0.24738867509620668</v>
      </c>
      <c r="E37" s="60">
        <v>0.6</v>
      </c>
      <c r="F37" s="60">
        <v>0.8</v>
      </c>
      <c r="G37" s="60">
        <v>0.9</v>
      </c>
      <c r="H37" s="60">
        <v>1</v>
      </c>
      <c r="I37" s="60">
        <v>1</v>
      </c>
      <c r="J37" s="60">
        <v>1</v>
      </c>
      <c r="K37" s="60">
        <v>1</v>
      </c>
      <c r="L37" s="60">
        <v>1</v>
      </c>
      <c r="M37" s="433"/>
    </row>
    <row r="38" spans="1:13" ht="14.4" x14ac:dyDescent="0.3">
      <c r="A38" s="69" t="s">
        <v>92</v>
      </c>
      <c r="B38" s="69" t="s">
        <v>41</v>
      </c>
      <c r="C38" s="81">
        <v>0</v>
      </c>
      <c r="D38" s="60">
        <f t="shared" si="6"/>
        <v>0.24738867509620668</v>
      </c>
      <c r="E38" s="60">
        <v>0.6</v>
      </c>
      <c r="F38" s="60">
        <v>0.8</v>
      </c>
      <c r="G38" s="60">
        <v>0.9</v>
      </c>
      <c r="H38" s="60">
        <v>1</v>
      </c>
      <c r="I38" s="60">
        <v>1</v>
      </c>
      <c r="J38" s="60">
        <v>1</v>
      </c>
      <c r="K38" s="60">
        <v>1</v>
      </c>
      <c r="L38" s="60">
        <v>1</v>
      </c>
      <c r="M38" s="433"/>
    </row>
    <row r="39" spans="1:13" ht="14.4" x14ac:dyDescent="0.3">
      <c r="A39" s="69" t="s">
        <v>93</v>
      </c>
      <c r="B39" s="69" t="s">
        <v>41</v>
      </c>
      <c r="C39" s="81">
        <v>0</v>
      </c>
      <c r="D39" s="60">
        <f t="shared" si="6"/>
        <v>0.24738867509620668</v>
      </c>
      <c r="E39" s="60">
        <v>0.6</v>
      </c>
      <c r="F39" s="60">
        <v>0.8</v>
      </c>
      <c r="G39" s="60">
        <v>0.9</v>
      </c>
      <c r="H39" s="60">
        <v>1</v>
      </c>
      <c r="I39" s="60">
        <v>1</v>
      </c>
      <c r="J39" s="60">
        <v>1</v>
      </c>
      <c r="K39" s="60">
        <v>1</v>
      </c>
      <c r="L39" s="60">
        <v>1</v>
      </c>
      <c r="M39" s="433"/>
    </row>
    <row r="40" spans="1:13" ht="14.4" x14ac:dyDescent="0.3">
      <c r="A40" s="69" t="s">
        <v>147</v>
      </c>
      <c r="B40" s="69" t="s">
        <v>41</v>
      </c>
      <c r="C40" s="81">
        <v>0</v>
      </c>
      <c r="D40" s="60">
        <f t="shared" si="6"/>
        <v>0.24738867509620668</v>
      </c>
      <c r="E40" s="60">
        <v>0.6</v>
      </c>
      <c r="F40" s="60">
        <v>0.8</v>
      </c>
      <c r="G40" s="60">
        <v>0.9</v>
      </c>
      <c r="H40" s="60">
        <v>1</v>
      </c>
      <c r="I40" s="60">
        <v>1</v>
      </c>
      <c r="J40" s="60">
        <v>1</v>
      </c>
      <c r="K40" s="60">
        <v>1</v>
      </c>
      <c r="L40" s="60">
        <v>1</v>
      </c>
      <c r="M40" s="433"/>
    </row>
    <row r="41" spans="1:13" ht="14.4" x14ac:dyDescent="0.3">
      <c r="A41" s="69" t="s">
        <v>94</v>
      </c>
      <c r="B41" s="69" t="s">
        <v>41</v>
      </c>
      <c r="C41" s="81">
        <v>0</v>
      </c>
      <c r="D41" s="60">
        <f t="shared" si="6"/>
        <v>0.24738867509620668</v>
      </c>
      <c r="E41" s="60">
        <v>0.6</v>
      </c>
      <c r="F41" s="60">
        <v>0.8</v>
      </c>
      <c r="G41" s="60">
        <v>0.9</v>
      </c>
      <c r="H41" s="60">
        <v>1</v>
      </c>
      <c r="I41" s="60">
        <v>1</v>
      </c>
      <c r="J41" s="60">
        <v>1</v>
      </c>
      <c r="K41" s="60">
        <v>1</v>
      </c>
      <c r="L41" s="60">
        <v>1</v>
      </c>
      <c r="M41" s="433"/>
    </row>
    <row r="42" spans="1:13" ht="14.4" x14ac:dyDescent="0.3">
      <c r="A42" s="69" t="s">
        <v>89</v>
      </c>
      <c r="B42" s="69" t="s">
        <v>43</v>
      </c>
      <c r="C42" s="81">
        <v>0</v>
      </c>
      <c r="D42" s="60">
        <f t="shared" si="6"/>
        <v>0.24738867509620668</v>
      </c>
      <c r="E42" s="60">
        <v>0.6</v>
      </c>
      <c r="F42" s="60">
        <v>0.8</v>
      </c>
      <c r="G42" s="60">
        <v>0.9</v>
      </c>
      <c r="H42" s="60">
        <v>1</v>
      </c>
      <c r="I42" s="60">
        <v>1</v>
      </c>
      <c r="J42" s="60">
        <v>1</v>
      </c>
      <c r="K42" s="60">
        <v>1</v>
      </c>
      <c r="L42" s="60">
        <v>1</v>
      </c>
      <c r="M42" s="433"/>
    </row>
    <row r="43" spans="1:13" ht="14.4" x14ac:dyDescent="0.3">
      <c r="A43" s="69" t="s">
        <v>90</v>
      </c>
      <c r="B43" s="69" t="s">
        <v>43</v>
      </c>
      <c r="C43" s="81">
        <v>0</v>
      </c>
      <c r="D43" s="60">
        <f t="shared" si="6"/>
        <v>0.24738867509620668</v>
      </c>
      <c r="E43" s="60">
        <v>0.6</v>
      </c>
      <c r="F43" s="60">
        <v>0.8</v>
      </c>
      <c r="G43" s="60">
        <v>0.9</v>
      </c>
      <c r="H43" s="60">
        <v>1</v>
      </c>
      <c r="I43" s="60">
        <v>1</v>
      </c>
      <c r="J43" s="60">
        <v>1</v>
      </c>
      <c r="K43" s="60">
        <v>1</v>
      </c>
      <c r="L43" s="60">
        <v>1</v>
      </c>
      <c r="M43" s="433"/>
    </row>
    <row r="44" spans="1:13" ht="14.4" x14ac:dyDescent="0.3">
      <c r="A44" s="69" t="s">
        <v>91</v>
      </c>
      <c r="B44" s="69" t="s">
        <v>43</v>
      </c>
      <c r="C44" s="81">
        <v>0</v>
      </c>
      <c r="D44" s="60">
        <f t="shared" si="6"/>
        <v>0.24738867509620668</v>
      </c>
      <c r="E44" s="60">
        <v>0.6</v>
      </c>
      <c r="F44" s="60">
        <v>0.8</v>
      </c>
      <c r="G44" s="60">
        <v>0.9</v>
      </c>
      <c r="H44" s="60">
        <v>1</v>
      </c>
      <c r="I44" s="60">
        <v>1</v>
      </c>
      <c r="J44" s="60">
        <v>1</v>
      </c>
      <c r="K44" s="60">
        <v>1</v>
      </c>
      <c r="L44" s="60">
        <v>1</v>
      </c>
      <c r="M44" s="433"/>
    </row>
    <row r="45" spans="1:13" ht="14.4" x14ac:dyDescent="0.3">
      <c r="A45" s="69" t="s">
        <v>92</v>
      </c>
      <c r="B45" s="69" t="s">
        <v>43</v>
      </c>
      <c r="C45" s="81">
        <v>0</v>
      </c>
      <c r="D45" s="60">
        <f t="shared" si="6"/>
        <v>0.24738867509620668</v>
      </c>
      <c r="E45" s="60">
        <v>0.6</v>
      </c>
      <c r="F45" s="60">
        <v>0.8</v>
      </c>
      <c r="G45" s="60">
        <v>0.9</v>
      </c>
      <c r="H45" s="60">
        <v>1</v>
      </c>
      <c r="I45" s="60">
        <v>1</v>
      </c>
      <c r="J45" s="60">
        <v>1</v>
      </c>
      <c r="K45" s="60">
        <v>1</v>
      </c>
      <c r="L45" s="60">
        <v>1</v>
      </c>
      <c r="M45" s="433"/>
    </row>
    <row r="46" spans="1:13" ht="14.4" x14ac:dyDescent="0.3">
      <c r="A46" s="69" t="s">
        <v>93</v>
      </c>
      <c r="B46" s="69" t="s">
        <v>43</v>
      </c>
      <c r="C46" s="81">
        <v>0</v>
      </c>
      <c r="D46" s="60">
        <f t="shared" si="6"/>
        <v>0.24738867509620668</v>
      </c>
      <c r="E46" s="60">
        <v>0.6</v>
      </c>
      <c r="F46" s="60">
        <v>0.8</v>
      </c>
      <c r="G46" s="60">
        <v>0.9</v>
      </c>
      <c r="H46" s="60">
        <v>1</v>
      </c>
      <c r="I46" s="60">
        <v>1</v>
      </c>
      <c r="J46" s="60">
        <v>1</v>
      </c>
      <c r="K46" s="60">
        <v>1</v>
      </c>
      <c r="L46" s="60">
        <v>1</v>
      </c>
      <c r="M46" s="433"/>
    </row>
    <row r="47" spans="1:13" ht="14.4" x14ac:dyDescent="0.3">
      <c r="A47" s="69" t="s">
        <v>147</v>
      </c>
      <c r="B47" s="69" t="s">
        <v>43</v>
      </c>
      <c r="C47" s="81">
        <v>0</v>
      </c>
      <c r="D47" s="60">
        <f>30%*(3/3.21)*(3/3.4)</f>
        <v>0.24738867509620668</v>
      </c>
      <c r="E47" s="60">
        <v>0.6</v>
      </c>
      <c r="F47" s="60">
        <v>0.8</v>
      </c>
      <c r="G47" s="60">
        <v>0.9</v>
      </c>
      <c r="H47" s="60">
        <v>1</v>
      </c>
      <c r="I47" s="60">
        <v>1</v>
      </c>
      <c r="J47" s="60">
        <v>1</v>
      </c>
      <c r="K47" s="60">
        <v>1</v>
      </c>
      <c r="L47" s="60">
        <v>1</v>
      </c>
      <c r="M47" s="433"/>
    </row>
    <row r="48" spans="1:13" ht="14.4" x14ac:dyDescent="0.3">
      <c r="A48" s="69" t="s">
        <v>94</v>
      </c>
      <c r="B48" s="69" t="s">
        <v>43</v>
      </c>
      <c r="C48" s="81">
        <v>0</v>
      </c>
      <c r="D48" s="60">
        <f t="shared" ref="D48:D76" si="7">30%*(3/3.21)*(3/3.4)</f>
        <v>0.24738867509620668</v>
      </c>
      <c r="E48" s="60">
        <v>0.6</v>
      </c>
      <c r="F48" s="60">
        <v>0.8</v>
      </c>
      <c r="G48" s="60">
        <v>0.9</v>
      </c>
      <c r="H48" s="60">
        <v>1</v>
      </c>
      <c r="I48" s="60">
        <v>1</v>
      </c>
      <c r="J48" s="60">
        <v>1</v>
      </c>
      <c r="K48" s="60">
        <v>1</v>
      </c>
      <c r="L48" s="60">
        <v>1</v>
      </c>
      <c r="M48" s="433"/>
    </row>
    <row r="49" spans="1:13" ht="14.4" x14ac:dyDescent="0.3">
      <c r="A49" s="69" t="s">
        <v>89</v>
      </c>
      <c r="B49" s="69" t="s">
        <v>44</v>
      </c>
      <c r="C49" s="81">
        <v>0</v>
      </c>
      <c r="D49" s="60">
        <f t="shared" si="7"/>
        <v>0.24738867509620668</v>
      </c>
      <c r="E49" s="60">
        <v>0.6</v>
      </c>
      <c r="F49" s="60">
        <v>0.8</v>
      </c>
      <c r="G49" s="60">
        <v>0.9</v>
      </c>
      <c r="H49" s="60">
        <v>1</v>
      </c>
      <c r="I49" s="60">
        <v>1</v>
      </c>
      <c r="J49" s="60">
        <v>1</v>
      </c>
      <c r="K49" s="60">
        <v>1</v>
      </c>
      <c r="L49" s="60">
        <v>1</v>
      </c>
      <c r="M49" s="433"/>
    </row>
    <row r="50" spans="1:13" ht="14.4" x14ac:dyDescent="0.3">
      <c r="A50" s="69" t="s">
        <v>90</v>
      </c>
      <c r="B50" s="69" t="s">
        <v>44</v>
      </c>
      <c r="C50" s="81">
        <v>0</v>
      </c>
      <c r="D50" s="60">
        <f t="shared" si="7"/>
        <v>0.24738867509620668</v>
      </c>
      <c r="E50" s="60">
        <v>0.6</v>
      </c>
      <c r="F50" s="60">
        <v>0.8</v>
      </c>
      <c r="G50" s="60">
        <v>0.9</v>
      </c>
      <c r="H50" s="60">
        <v>1</v>
      </c>
      <c r="I50" s="60">
        <v>1</v>
      </c>
      <c r="J50" s="60">
        <v>1</v>
      </c>
      <c r="K50" s="60">
        <v>1</v>
      </c>
      <c r="L50" s="60">
        <v>1</v>
      </c>
      <c r="M50" s="433"/>
    </row>
    <row r="51" spans="1:13" ht="14.4" x14ac:dyDescent="0.3">
      <c r="A51" s="69" t="s">
        <v>91</v>
      </c>
      <c r="B51" s="69" t="s">
        <v>44</v>
      </c>
      <c r="C51" s="81">
        <v>0</v>
      </c>
      <c r="D51" s="60">
        <f t="shared" si="7"/>
        <v>0.24738867509620668</v>
      </c>
      <c r="E51" s="60">
        <v>0.6</v>
      </c>
      <c r="F51" s="60">
        <v>0.8</v>
      </c>
      <c r="G51" s="60">
        <v>0.9</v>
      </c>
      <c r="H51" s="60">
        <v>1</v>
      </c>
      <c r="I51" s="60">
        <v>1</v>
      </c>
      <c r="J51" s="60">
        <v>1</v>
      </c>
      <c r="K51" s="60">
        <v>1</v>
      </c>
      <c r="L51" s="60">
        <v>1</v>
      </c>
      <c r="M51" s="433"/>
    </row>
    <row r="52" spans="1:13" ht="14.4" x14ac:dyDescent="0.3">
      <c r="A52" s="69" t="s">
        <v>92</v>
      </c>
      <c r="B52" s="69" t="s">
        <v>44</v>
      </c>
      <c r="C52" s="81">
        <v>0</v>
      </c>
      <c r="D52" s="60">
        <f t="shared" si="7"/>
        <v>0.24738867509620668</v>
      </c>
      <c r="E52" s="60">
        <v>0.6</v>
      </c>
      <c r="F52" s="60">
        <v>0.8</v>
      </c>
      <c r="G52" s="60">
        <v>0.9</v>
      </c>
      <c r="H52" s="60">
        <v>1</v>
      </c>
      <c r="I52" s="60">
        <v>1</v>
      </c>
      <c r="J52" s="60">
        <v>1</v>
      </c>
      <c r="K52" s="60">
        <v>1</v>
      </c>
      <c r="L52" s="60">
        <v>1</v>
      </c>
      <c r="M52" s="433"/>
    </row>
    <row r="53" spans="1:13" ht="14.4" x14ac:dyDescent="0.3">
      <c r="A53" s="69" t="s">
        <v>93</v>
      </c>
      <c r="B53" s="69" t="s">
        <v>44</v>
      </c>
      <c r="C53" s="81">
        <v>0</v>
      </c>
      <c r="D53" s="60">
        <f t="shared" si="7"/>
        <v>0.24738867509620668</v>
      </c>
      <c r="E53" s="60">
        <v>0.6</v>
      </c>
      <c r="F53" s="60">
        <v>0.8</v>
      </c>
      <c r="G53" s="60">
        <v>0.9</v>
      </c>
      <c r="H53" s="60">
        <v>1</v>
      </c>
      <c r="I53" s="60">
        <v>1</v>
      </c>
      <c r="J53" s="60">
        <v>1</v>
      </c>
      <c r="K53" s="60">
        <v>1</v>
      </c>
      <c r="L53" s="60">
        <v>1</v>
      </c>
      <c r="M53" s="433"/>
    </row>
    <row r="54" spans="1:13" ht="14.4" x14ac:dyDescent="0.3">
      <c r="A54" s="69" t="s">
        <v>147</v>
      </c>
      <c r="B54" s="69" t="s">
        <v>44</v>
      </c>
      <c r="C54" s="81">
        <v>0</v>
      </c>
      <c r="D54" s="60">
        <f t="shared" si="7"/>
        <v>0.24738867509620668</v>
      </c>
      <c r="E54" s="60">
        <v>0.6</v>
      </c>
      <c r="F54" s="60">
        <v>0.8</v>
      </c>
      <c r="G54" s="60">
        <v>0.9</v>
      </c>
      <c r="H54" s="60">
        <v>1</v>
      </c>
      <c r="I54" s="60">
        <v>1</v>
      </c>
      <c r="J54" s="60">
        <v>1</v>
      </c>
      <c r="K54" s="60">
        <v>1</v>
      </c>
      <c r="L54" s="60">
        <v>1</v>
      </c>
      <c r="M54" s="433"/>
    </row>
    <row r="55" spans="1:13" ht="14.4" x14ac:dyDescent="0.3">
      <c r="A55" s="69" t="s">
        <v>94</v>
      </c>
      <c r="B55" s="69" t="s">
        <v>44</v>
      </c>
      <c r="C55" s="81">
        <v>0</v>
      </c>
      <c r="D55" s="60">
        <f t="shared" si="7"/>
        <v>0.24738867509620668</v>
      </c>
      <c r="E55" s="60">
        <v>0.6</v>
      </c>
      <c r="F55" s="60">
        <v>0.8</v>
      </c>
      <c r="G55" s="60">
        <v>0.9</v>
      </c>
      <c r="H55" s="60">
        <v>1</v>
      </c>
      <c r="I55" s="60">
        <v>1</v>
      </c>
      <c r="J55" s="60">
        <v>1</v>
      </c>
      <c r="K55" s="60">
        <v>1</v>
      </c>
      <c r="L55" s="60">
        <v>1</v>
      </c>
      <c r="M55" s="433"/>
    </row>
    <row r="56" spans="1:13" ht="58.05" customHeight="1" x14ac:dyDescent="0.3">
      <c r="A56" s="69" t="s">
        <v>95</v>
      </c>
      <c r="B56" s="69" t="s">
        <v>41</v>
      </c>
      <c r="C56" s="81">
        <v>0</v>
      </c>
      <c r="D56" s="60">
        <f t="shared" si="7"/>
        <v>0.24738867509620668</v>
      </c>
      <c r="E56" s="60">
        <v>0.6</v>
      </c>
      <c r="F56" s="60">
        <v>0.8</v>
      </c>
      <c r="G56" s="60">
        <v>0.9</v>
      </c>
      <c r="H56" s="60">
        <v>1</v>
      </c>
      <c r="I56" s="60">
        <v>1</v>
      </c>
      <c r="J56" s="81">
        <f t="shared" ref="J56:L76" si="8">J35</f>
        <v>1</v>
      </c>
      <c r="K56" s="81">
        <f t="shared" si="8"/>
        <v>1</v>
      </c>
      <c r="L56" s="81">
        <f t="shared" si="8"/>
        <v>1</v>
      </c>
      <c r="M56" s="434" t="s">
        <v>345</v>
      </c>
    </row>
    <row r="57" spans="1:13" ht="14.4" x14ac:dyDescent="0.3">
      <c r="A57" s="69" t="s">
        <v>96</v>
      </c>
      <c r="B57" s="69" t="s">
        <v>41</v>
      </c>
      <c r="C57" s="81">
        <v>0</v>
      </c>
      <c r="D57" s="60">
        <f t="shared" si="7"/>
        <v>0.24738867509620668</v>
      </c>
      <c r="E57" s="60">
        <v>0.6</v>
      </c>
      <c r="F57" s="60">
        <v>0.8</v>
      </c>
      <c r="G57" s="60">
        <v>0.9</v>
      </c>
      <c r="H57" s="60">
        <v>1</v>
      </c>
      <c r="I57" s="60">
        <v>1</v>
      </c>
      <c r="J57" s="81">
        <f t="shared" si="8"/>
        <v>1</v>
      </c>
      <c r="K57" s="81">
        <f t="shared" si="8"/>
        <v>1</v>
      </c>
      <c r="L57" s="81">
        <f t="shared" si="8"/>
        <v>1</v>
      </c>
      <c r="M57" s="435"/>
    </row>
    <row r="58" spans="1:13" ht="14.4" x14ac:dyDescent="0.3">
      <c r="A58" s="69" t="s">
        <v>97</v>
      </c>
      <c r="B58" s="69" t="s">
        <v>41</v>
      </c>
      <c r="C58" s="81">
        <v>0</v>
      </c>
      <c r="D58" s="60">
        <f t="shared" si="7"/>
        <v>0.24738867509620668</v>
      </c>
      <c r="E58" s="60">
        <v>0.6</v>
      </c>
      <c r="F58" s="60">
        <v>0.8</v>
      </c>
      <c r="G58" s="60">
        <v>0.9</v>
      </c>
      <c r="H58" s="60">
        <v>1</v>
      </c>
      <c r="I58" s="60">
        <v>1</v>
      </c>
      <c r="J58" s="81">
        <f t="shared" si="8"/>
        <v>1</v>
      </c>
      <c r="K58" s="81">
        <f t="shared" si="8"/>
        <v>1</v>
      </c>
      <c r="L58" s="81">
        <f t="shared" si="8"/>
        <v>1</v>
      </c>
      <c r="M58" s="435"/>
    </row>
    <row r="59" spans="1:13" ht="14.4" x14ac:dyDescent="0.3">
      <c r="A59" s="69" t="s">
        <v>98</v>
      </c>
      <c r="B59" s="69" t="s">
        <v>41</v>
      </c>
      <c r="C59" s="81">
        <v>0</v>
      </c>
      <c r="D59" s="60">
        <f t="shared" si="7"/>
        <v>0.24738867509620668</v>
      </c>
      <c r="E59" s="60">
        <v>0.6</v>
      </c>
      <c r="F59" s="60">
        <v>0.8</v>
      </c>
      <c r="G59" s="60">
        <v>0.9</v>
      </c>
      <c r="H59" s="60">
        <v>1</v>
      </c>
      <c r="I59" s="60">
        <v>1</v>
      </c>
      <c r="J59" s="81">
        <f t="shared" si="8"/>
        <v>1</v>
      </c>
      <c r="K59" s="81">
        <f t="shared" si="8"/>
        <v>1</v>
      </c>
      <c r="L59" s="81">
        <f t="shared" si="8"/>
        <v>1</v>
      </c>
      <c r="M59" s="435"/>
    </row>
    <row r="60" spans="1:13" ht="14.4" x14ac:dyDescent="0.3">
      <c r="A60" s="69" t="s">
        <v>99</v>
      </c>
      <c r="B60" s="69" t="s">
        <v>41</v>
      </c>
      <c r="C60" s="81">
        <v>0</v>
      </c>
      <c r="D60" s="60">
        <f t="shared" si="7"/>
        <v>0.24738867509620668</v>
      </c>
      <c r="E60" s="60">
        <v>0.6</v>
      </c>
      <c r="F60" s="60">
        <v>0.8</v>
      </c>
      <c r="G60" s="60">
        <v>0.9</v>
      </c>
      <c r="H60" s="60">
        <v>1</v>
      </c>
      <c r="I60" s="60">
        <v>1</v>
      </c>
      <c r="J60" s="81">
        <f t="shared" si="8"/>
        <v>1</v>
      </c>
      <c r="K60" s="81">
        <f t="shared" si="8"/>
        <v>1</v>
      </c>
      <c r="L60" s="81">
        <f t="shared" si="8"/>
        <v>1</v>
      </c>
      <c r="M60" s="435"/>
    </row>
    <row r="61" spans="1:13" ht="14.4" x14ac:dyDescent="0.3">
      <c r="A61" s="69" t="s">
        <v>129</v>
      </c>
      <c r="B61" s="69" t="s">
        <v>41</v>
      </c>
      <c r="C61" s="81">
        <v>0</v>
      </c>
      <c r="D61" s="60">
        <f t="shared" si="7"/>
        <v>0.24738867509620668</v>
      </c>
      <c r="E61" s="60">
        <v>0.6</v>
      </c>
      <c r="F61" s="60">
        <v>0.8</v>
      </c>
      <c r="G61" s="60">
        <v>0.9</v>
      </c>
      <c r="H61" s="60">
        <v>1</v>
      </c>
      <c r="I61" s="60">
        <v>1</v>
      </c>
      <c r="J61" s="81">
        <f t="shared" si="8"/>
        <v>1</v>
      </c>
      <c r="K61" s="81">
        <f t="shared" si="8"/>
        <v>1</v>
      </c>
      <c r="L61" s="81">
        <f t="shared" si="8"/>
        <v>1</v>
      </c>
      <c r="M61" s="435"/>
    </row>
    <row r="62" spans="1:13" ht="14.4" x14ac:dyDescent="0.3">
      <c r="A62" s="69" t="s">
        <v>100</v>
      </c>
      <c r="B62" s="69" t="s">
        <v>41</v>
      </c>
      <c r="C62" s="81">
        <v>0</v>
      </c>
      <c r="D62" s="60">
        <f t="shared" si="7"/>
        <v>0.24738867509620668</v>
      </c>
      <c r="E62" s="60">
        <v>0.6</v>
      </c>
      <c r="F62" s="60">
        <v>0.8</v>
      </c>
      <c r="G62" s="60">
        <v>0.9</v>
      </c>
      <c r="H62" s="60">
        <v>1</v>
      </c>
      <c r="I62" s="60">
        <v>1</v>
      </c>
      <c r="J62" s="81">
        <f t="shared" si="8"/>
        <v>1</v>
      </c>
      <c r="K62" s="81">
        <f t="shared" si="8"/>
        <v>1</v>
      </c>
      <c r="L62" s="81">
        <f t="shared" si="8"/>
        <v>1</v>
      </c>
      <c r="M62" s="435"/>
    </row>
    <row r="63" spans="1:13" ht="14.4" x14ac:dyDescent="0.3">
      <c r="A63" s="69" t="s">
        <v>95</v>
      </c>
      <c r="B63" s="69" t="s">
        <v>43</v>
      </c>
      <c r="C63" s="81">
        <v>0</v>
      </c>
      <c r="D63" s="60">
        <f t="shared" si="7"/>
        <v>0.24738867509620668</v>
      </c>
      <c r="E63" s="60">
        <v>0.6</v>
      </c>
      <c r="F63" s="60">
        <v>0.8</v>
      </c>
      <c r="G63" s="60">
        <v>0.9</v>
      </c>
      <c r="H63" s="60">
        <v>1</v>
      </c>
      <c r="I63" s="60">
        <v>1</v>
      </c>
      <c r="J63" s="81">
        <f t="shared" si="8"/>
        <v>1</v>
      </c>
      <c r="K63" s="81">
        <f t="shared" si="8"/>
        <v>1</v>
      </c>
      <c r="L63" s="81">
        <f t="shared" si="8"/>
        <v>1</v>
      </c>
      <c r="M63" s="435"/>
    </row>
    <row r="64" spans="1:13" ht="14.4" x14ac:dyDescent="0.3">
      <c r="A64" s="69" t="s">
        <v>96</v>
      </c>
      <c r="B64" s="69" t="s">
        <v>43</v>
      </c>
      <c r="C64" s="81">
        <v>0</v>
      </c>
      <c r="D64" s="60">
        <f t="shared" si="7"/>
        <v>0.24738867509620668</v>
      </c>
      <c r="E64" s="60">
        <v>0.6</v>
      </c>
      <c r="F64" s="60">
        <v>0.8</v>
      </c>
      <c r="G64" s="60">
        <v>0.9</v>
      </c>
      <c r="H64" s="60">
        <v>1</v>
      </c>
      <c r="I64" s="60">
        <v>1</v>
      </c>
      <c r="J64" s="81">
        <f t="shared" si="8"/>
        <v>1</v>
      </c>
      <c r="K64" s="81">
        <f t="shared" si="8"/>
        <v>1</v>
      </c>
      <c r="L64" s="81">
        <f t="shared" si="8"/>
        <v>1</v>
      </c>
      <c r="M64" s="435"/>
    </row>
    <row r="65" spans="1:51" ht="14.4" x14ac:dyDescent="0.3">
      <c r="A65" s="69" t="s">
        <v>97</v>
      </c>
      <c r="B65" s="69" t="s">
        <v>43</v>
      </c>
      <c r="C65" s="81">
        <v>0</v>
      </c>
      <c r="D65" s="60">
        <f t="shared" si="7"/>
        <v>0.24738867509620668</v>
      </c>
      <c r="E65" s="60">
        <v>0.6</v>
      </c>
      <c r="F65" s="60">
        <v>0.8</v>
      </c>
      <c r="G65" s="60">
        <v>0.9</v>
      </c>
      <c r="H65" s="60">
        <v>1</v>
      </c>
      <c r="I65" s="60">
        <v>1</v>
      </c>
      <c r="J65" s="81">
        <f t="shared" si="8"/>
        <v>1</v>
      </c>
      <c r="K65" s="81">
        <f t="shared" si="8"/>
        <v>1</v>
      </c>
      <c r="L65" s="81">
        <f t="shared" si="8"/>
        <v>1</v>
      </c>
      <c r="M65" s="435"/>
    </row>
    <row r="66" spans="1:51" ht="14.4" x14ac:dyDescent="0.3">
      <c r="A66" s="69" t="s">
        <v>98</v>
      </c>
      <c r="B66" s="69" t="s">
        <v>43</v>
      </c>
      <c r="C66" s="81">
        <v>0</v>
      </c>
      <c r="D66" s="60">
        <f t="shared" si="7"/>
        <v>0.24738867509620668</v>
      </c>
      <c r="E66" s="60">
        <v>0.6</v>
      </c>
      <c r="F66" s="60">
        <v>0.8</v>
      </c>
      <c r="G66" s="60">
        <v>0.9</v>
      </c>
      <c r="H66" s="60">
        <v>1</v>
      </c>
      <c r="I66" s="60">
        <v>1</v>
      </c>
      <c r="J66" s="81">
        <f t="shared" si="8"/>
        <v>1</v>
      </c>
      <c r="K66" s="81">
        <f t="shared" si="8"/>
        <v>1</v>
      </c>
      <c r="L66" s="81">
        <f t="shared" si="8"/>
        <v>1</v>
      </c>
      <c r="M66" s="435"/>
    </row>
    <row r="67" spans="1:51" ht="14.4" x14ac:dyDescent="0.3">
      <c r="A67" s="69" t="s">
        <v>99</v>
      </c>
      <c r="B67" s="69" t="s">
        <v>43</v>
      </c>
      <c r="C67" s="81">
        <v>0</v>
      </c>
      <c r="D67" s="60">
        <f t="shared" si="7"/>
        <v>0.24738867509620668</v>
      </c>
      <c r="E67" s="60">
        <v>0.6</v>
      </c>
      <c r="F67" s="60">
        <v>0.8</v>
      </c>
      <c r="G67" s="60">
        <v>0.9</v>
      </c>
      <c r="H67" s="60">
        <v>1</v>
      </c>
      <c r="I67" s="60">
        <v>1</v>
      </c>
      <c r="J67" s="81">
        <f t="shared" si="8"/>
        <v>1</v>
      </c>
      <c r="K67" s="81">
        <f t="shared" si="8"/>
        <v>1</v>
      </c>
      <c r="L67" s="81">
        <f t="shared" si="8"/>
        <v>1</v>
      </c>
      <c r="M67" s="435"/>
    </row>
    <row r="68" spans="1:51" ht="14.4" x14ac:dyDescent="0.3">
      <c r="A68" s="69" t="s">
        <v>129</v>
      </c>
      <c r="B68" s="69" t="s">
        <v>43</v>
      </c>
      <c r="C68" s="81">
        <v>0</v>
      </c>
      <c r="D68" s="60">
        <f t="shared" si="7"/>
        <v>0.24738867509620668</v>
      </c>
      <c r="E68" s="60">
        <v>0.6</v>
      </c>
      <c r="F68" s="60">
        <v>0.8</v>
      </c>
      <c r="G68" s="60">
        <v>0.9</v>
      </c>
      <c r="H68" s="60">
        <v>1</v>
      </c>
      <c r="I68" s="60">
        <v>1</v>
      </c>
      <c r="J68" s="81">
        <f t="shared" si="8"/>
        <v>1</v>
      </c>
      <c r="K68" s="81">
        <f t="shared" si="8"/>
        <v>1</v>
      </c>
      <c r="L68" s="81">
        <f t="shared" si="8"/>
        <v>1</v>
      </c>
      <c r="M68" s="435"/>
    </row>
    <row r="69" spans="1:51" ht="14.4" x14ac:dyDescent="0.3">
      <c r="A69" s="69" t="s">
        <v>100</v>
      </c>
      <c r="B69" s="69" t="s">
        <v>43</v>
      </c>
      <c r="C69" s="81">
        <v>0</v>
      </c>
      <c r="D69" s="60">
        <f t="shared" si="7"/>
        <v>0.24738867509620668</v>
      </c>
      <c r="E69" s="60">
        <v>0.6</v>
      </c>
      <c r="F69" s="60">
        <v>0.8</v>
      </c>
      <c r="G69" s="60">
        <v>0.9</v>
      </c>
      <c r="H69" s="60">
        <v>1</v>
      </c>
      <c r="I69" s="60">
        <v>1</v>
      </c>
      <c r="J69" s="81">
        <f t="shared" si="8"/>
        <v>1</v>
      </c>
      <c r="K69" s="81">
        <f t="shared" si="8"/>
        <v>1</v>
      </c>
      <c r="L69" s="81">
        <f t="shared" si="8"/>
        <v>1</v>
      </c>
      <c r="M69" s="435"/>
    </row>
    <row r="70" spans="1:51" ht="14.4" x14ac:dyDescent="0.3">
      <c r="A70" s="69" t="s">
        <v>95</v>
      </c>
      <c r="B70" s="69" t="s">
        <v>44</v>
      </c>
      <c r="C70" s="81">
        <v>0</v>
      </c>
      <c r="D70" s="60">
        <f t="shared" si="7"/>
        <v>0.24738867509620668</v>
      </c>
      <c r="E70" s="60">
        <v>0.6</v>
      </c>
      <c r="F70" s="60">
        <v>0.8</v>
      </c>
      <c r="G70" s="60">
        <v>0.9</v>
      </c>
      <c r="H70" s="60">
        <v>1</v>
      </c>
      <c r="I70" s="60">
        <v>1</v>
      </c>
      <c r="J70" s="81">
        <f t="shared" si="8"/>
        <v>1</v>
      </c>
      <c r="K70" s="81">
        <f t="shared" si="8"/>
        <v>1</v>
      </c>
      <c r="L70" s="81">
        <f t="shared" si="8"/>
        <v>1</v>
      </c>
      <c r="M70" s="435"/>
    </row>
    <row r="71" spans="1:51" ht="14.4" x14ac:dyDescent="0.3">
      <c r="A71" s="69" t="s">
        <v>96</v>
      </c>
      <c r="B71" s="69" t="s">
        <v>44</v>
      </c>
      <c r="C71" s="81">
        <v>0</v>
      </c>
      <c r="D71" s="60">
        <f t="shared" si="7"/>
        <v>0.24738867509620668</v>
      </c>
      <c r="E71" s="60">
        <v>0.6</v>
      </c>
      <c r="F71" s="60">
        <v>0.8</v>
      </c>
      <c r="G71" s="60">
        <v>0.9</v>
      </c>
      <c r="H71" s="60">
        <v>1</v>
      </c>
      <c r="I71" s="60">
        <v>1</v>
      </c>
      <c r="J71" s="81">
        <f t="shared" si="8"/>
        <v>1</v>
      </c>
      <c r="K71" s="81">
        <f t="shared" si="8"/>
        <v>1</v>
      </c>
      <c r="L71" s="81">
        <f t="shared" si="8"/>
        <v>1</v>
      </c>
      <c r="M71" s="435"/>
    </row>
    <row r="72" spans="1:51" ht="14.4" x14ac:dyDescent="0.3">
      <c r="A72" s="69" t="s">
        <v>97</v>
      </c>
      <c r="B72" s="69" t="s">
        <v>44</v>
      </c>
      <c r="C72" s="81">
        <v>0</v>
      </c>
      <c r="D72" s="60">
        <f t="shared" si="7"/>
        <v>0.24738867509620668</v>
      </c>
      <c r="E72" s="60">
        <v>0.6</v>
      </c>
      <c r="F72" s="60">
        <v>0.8</v>
      </c>
      <c r="G72" s="60">
        <v>0.9</v>
      </c>
      <c r="H72" s="60">
        <v>1</v>
      </c>
      <c r="I72" s="60">
        <v>1</v>
      </c>
      <c r="J72" s="81">
        <f t="shared" si="8"/>
        <v>1</v>
      </c>
      <c r="K72" s="81">
        <f t="shared" si="8"/>
        <v>1</v>
      </c>
      <c r="L72" s="81">
        <f t="shared" si="8"/>
        <v>1</v>
      </c>
      <c r="M72" s="435"/>
    </row>
    <row r="73" spans="1:51" ht="14.4" x14ac:dyDescent="0.3">
      <c r="A73" s="69" t="s">
        <v>98</v>
      </c>
      <c r="B73" s="69" t="s">
        <v>44</v>
      </c>
      <c r="C73" s="81">
        <v>0</v>
      </c>
      <c r="D73" s="60">
        <f t="shared" si="7"/>
        <v>0.24738867509620668</v>
      </c>
      <c r="E73" s="60">
        <v>0.6</v>
      </c>
      <c r="F73" s="60">
        <v>0.8</v>
      </c>
      <c r="G73" s="60">
        <v>0.9</v>
      </c>
      <c r="H73" s="60">
        <v>1</v>
      </c>
      <c r="I73" s="60">
        <v>1</v>
      </c>
      <c r="J73" s="81">
        <f t="shared" si="8"/>
        <v>1</v>
      </c>
      <c r="K73" s="81">
        <f t="shared" si="8"/>
        <v>1</v>
      </c>
      <c r="L73" s="81">
        <f t="shared" si="8"/>
        <v>1</v>
      </c>
      <c r="M73" s="435"/>
    </row>
    <row r="74" spans="1:51" ht="14.4" x14ac:dyDescent="0.3">
      <c r="A74" s="69" t="s">
        <v>99</v>
      </c>
      <c r="B74" s="69" t="s">
        <v>44</v>
      </c>
      <c r="C74" s="81">
        <v>0</v>
      </c>
      <c r="D74" s="60">
        <f t="shared" si="7"/>
        <v>0.24738867509620668</v>
      </c>
      <c r="E74" s="60">
        <v>0.6</v>
      </c>
      <c r="F74" s="60">
        <v>0.8</v>
      </c>
      <c r="G74" s="60">
        <v>0.9</v>
      </c>
      <c r="H74" s="60">
        <v>1</v>
      </c>
      <c r="I74" s="60">
        <v>1</v>
      </c>
      <c r="J74" s="81">
        <f t="shared" si="8"/>
        <v>1</v>
      </c>
      <c r="K74" s="81">
        <f t="shared" si="8"/>
        <v>1</v>
      </c>
      <c r="L74" s="81">
        <f t="shared" si="8"/>
        <v>1</v>
      </c>
      <c r="M74" s="435"/>
    </row>
    <row r="75" spans="1:51" ht="14.4" x14ac:dyDescent="0.3">
      <c r="A75" s="69" t="s">
        <v>129</v>
      </c>
      <c r="B75" s="69" t="s">
        <v>44</v>
      </c>
      <c r="C75" s="81">
        <v>0</v>
      </c>
      <c r="D75" s="60">
        <f t="shared" si="7"/>
        <v>0.24738867509620668</v>
      </c>
      <c r="E75" s="60">
        <v>0.6</v>
      </c>
      <c r="F75" s="60">
        <v>0.8</v>
      </c>
      <c r="G75" s="60">
        <v>0.9</v>
      </c>
      <c r="H75" s="60">
        <v>1</v>
      </c>
      <c r="I75" s="60">
        <v>1</v>
      </c>
      <c r="J75" s="81">
        <f t="shared" si="8"/>
        <v>1</v>
      </c>
      <c r="K75" s="81">
        <f t="shared" si="8"/>
        <v>1</v>
      </c>
      <c r="L75" s="81">
        <f t="shared" si="8"/>
        <v>1</v>
      </c>
      <c r="M75" s="435"/>
    </row>
    <row r="76" spans="1:51" ht="14.4" x14ac:dyDescent="0.3">
      <c r="A76" s="69" t="s">
        <v>100</v>
      </c>
      <c r="B76" s="69" t="s">
        <v>44</v>
      </c>
      <c r="C76" s="81">
        <v>0</v>
      </c>
      <c r="D76" s="60">
        <f t="shared" si="7"/>
        <v>0.24738867509620668</v>
      </c>
      <c r="E76" s="60">
        <v>0.6</v>
      </c>
      <c r="F76" s="60">
        <v>0.8</v>
      </c>
      <c r="G76" s="60">
        <v>0.9</v>
      </c>
      <c r="H76" s="60">
        <v>1</v>
      </c>
      <c r="I76" s="60">
        <v>1</v>
      </c>
      <c r="J76" s="81">
        <f t="shared" si="8"/>
        <v>1</v>
      </c>
      <c r="K76" s="81">
        <f t="shared" si="8"/>
        <v>1</v>
      </c>
      <c r="L76" s="81">
        <f t="shared" si="8"/>
        <v>1</v>
      </c>
      <c r="M76" s="436"/>
    </row>
    <row r="77" spans="1:51" s="54" customFormat="1" ht="58.05" customHeight="1" x14ac:dyDescent="0.3">
      <c r="A77" s="69" t="s">
        <v>101</v>
      </c>
      <c r="B77" s="69" t="s">
        <v>40</v>
      </c>
      <c r="C77" s="112">
        <v>0</v>
      </c>
      <c r="D77" s="100">
        <v>0</v>
      </c>
      <c r="E77" s="100">
        <f>0.1*(1/0.6)</f>
        <v>0.16666666666666669</v>
      </c>
      <c r="F77" s="100">
        <v>0.3</v>
      </c>
      <c r="G77" s="100">
        <v>0.6</v>
      </c>
      <c r="H77" s="100">
        <v>0.9</v>
      </c>
      <c r="I77" s="100">
        <v>1</v>
      </c>
      <c r="J77" s="100">
        <v>1</v>
      </c>
      <c r="K77" s="100">
        <v>1</v>
      </c>
      <c r="L77" s="100">
        <v>1</v>
      </c>
      <c r="M77" s="433" t="s">
        <v>346</v>
      </c>
      <c r="R77" s="157"/>
      <c r="S77" s="157"/>
      <c r="T77" s="157"/>
      <c r="U77" s="157"/>
      <c r="V77" s="157"/>
      <c r="W77" s="157"/>
      <c r="X77" s="157"/>
      <c r="Y77" s="157"/>
      <c r="Z77" s="157"/>
      <c r="AA77" s="157"/>
      <c r="AB77" s="157"/>
      <c r="AC77" s="157"/>
      <c r="AD77" s="157"/>
      <c r="AE77" s="157"/>
      <c r="AF77" s="157"/>
      <c r="AG77" s="157"/>
      <c r="AH77" s="157"/>
      <c r="AI77" s="157"/>
      <c r="AJ77" s="157"/>
      <c r="AK77" s="157"/>
      <c r="AL77" s="157"/>
      <c r="AM77" s="157"/>
      <c r="AN77" s="157"/>
      <c r="AO77" s="157"/>
      <c r="AP77" s="157"/>
      <c r="AQ77" s="157"/>
      <c r="AR77" s="157"/>
      <c r="AS77" s="157"/>
      <c r="AT77" s="157"/>
      <c r="AU77" s="157"/>
      <c r="AV77" s="157"/>
      <c r="AW77" s="157"/>
      <c r="AX77" s="157"/>
      <c r="AY77" s="157"/>
    </row>
    <row r="78" spans="1:51" s="54" customFormat="1" ht="14.4" x14ac:dyDescent="0.3">
      <c r="A78" s="69" t="s">
        <v>101</v>
      </c>
      <c r="B78" s="69" t="s">
        <v>41</v>
      </c>
      <c r="C78" s="112">
        <v>0</v>
      </c>
      <c r="D78" s="100">
        <v>0</v>
      </c>
      <c r="E78" s="100">
        <v>0.1</v>
      </c>
      <c r="F78" s="100">
        <v>0.3</v>
      </c>
      <c r="G78" s="100">
        <v>0.6</v>
      </c>
      <c r="H78" s="100">
        <v>0.9</v>
      </c>
      <c r="I78" s="100">
        <v>1</v>
      </c>
      <c r="J78" s="100">
        <v>1</v>
      </c>
      <c r="K78" s="100">
        <v>1</v>
      </c>
      <c r="L78" s="100">
        <v>1</v>
      </c>
      <c r="M78" s="433"/>
      <c r="R78" s="157"/>
      <c r="S78" s="157"/>
      <c r="T78" s="157"/>
      <c r="U78" s="157"/>
      <c r="V78" s="157"/>
      <c r="W78" s="157"/>
      <c r="X78" s="157"/>
      <c r="Y78" s="157"/>
      <c r="Z78" s="157"/>
      <c r="AA78" s="157"/>
      <c r="AB78" s="157"/>
      <c r="AC78" s="157"/>
      <c r="AD78" s="157"/>
      <c r="AE78" s="157"/>
      <c r="AF78" s="157"/>
      <c r="AG78" s="157"/>
      <c r="AH78" s="157"/>
      <c r="AI78" s="157"/>
      <c r="AJ78" s="157"/>
      <c r="AK78" s="157"/>
      <c r="AL78" s="157"/>
      <c r="AM78" s="157"/>
      <c r="AN78" s="157"/>
      <c r="AO78" s="157"/>
      <c r="AP78" s="157"/>
      <c r="AQ78" s="157"/>
      <c r="AR78" s="157"/>
      <c r="AS78" s="157"/>
      <c r="AT78" s="157"/>
      <c r="AU78" s="157"/>
      <c r="AV78" s="157"/>
      <c r="AW78" s="157"/>
      <c r="AX78" s="157"/>
      <c r="AY78" s="157"/>
    </row>
    <row r="79" spans="1:51" s="54" customFormat="1" ht="14.4" x14ac:dyDescent="0.3">
      <c r="A79" s="69" t="s">
        <v>101</v>
      </c>
      <c r="B79" s="69" t="s">
        <v>42</v>
      </c>
      <c r="C79" s="112">
        <v>0</v>
      </c>
      <c r="D79" s="100">
        <v>0</v>
      </c>
      <c r="E79" s="100">
        <f>0.1*(1/0.6)</f>
        <v>0.16666666666666669</v>
      </c>
      <c r="F79" s="100">
        <v>0.3</v>
      </c>
      <c r="G79" s="100">
        <v>0.6</v>
      </c>
      <c r="H79" s="100">
        <v>0.9</v>
      </c>
      <c r="I79" s="100">
        <v>1</v>
      </c>
      <c r="J79" s="100">
        <v>1</v>
      </c>
      <c r="K79" s="100">
        <v>1</v>
      </c>
      <c r="L79" s="100">
        <v>1</v>
      </c>
      <c r="M79" s="433"/>
      <c r="R79" s="157"/>
      <c r="S79" s="157"/>
      <c r="T79" s="157"/>
      <c r="U79" s="157"/>
      <c r="V79" s="157"/>
      <c r="W79" s="157"/>
      <c r="X79" s="157"/>
      <c r="Y79" s="157"/>
      <c r="Z79" s="157"/>
      <c r="AA79" s="157"/>
      <c r="AB79" s="157"/>
      <c r="AC79" s="157"/>
      <c r="AD79" s="157"/>
      <c r="AE79" s="157"/>
      <c r="AF79" s="157"/>
      <c r="AG79" s="157"/>
      <c r="AH79" s="157"/>
      <c r="AI79" s="157"/>
      <c r="AJ79" s="157"/>
      <c r="AK79" s="157"/>
      <c r="AL79" s="157"/>
      <c r="AM79" s="157"/>
      <c r="AN79" s="157"/>
      <c r="AO79" s="157"/>
      <c r="AP79" s="157"/>
      <c r="AQ79" s="157"/>
      <c r="AR79" s="157"/>
      <c r="AS79" s="157"/>
      <c r="AT79" s="157"/>
      <c r="AU79" s="157"/>
      <c r="AV79" s="157"/>
      <c r="AW79" s="157"/>
      <c r="AX79" s="157"/>
      <c r="AY79" s="157"/>
    </row>
    <row r="80" spans="1:51" s="54" customFormat="1" ht="14.4" x14ac:dyDescent="0.3">
      <c r="A80" s="69" t="s">
        <v>101</v>
      </c>
      <c r="B80" s="69" t="s">
        <v>43</v>
      </c>
      <c r="C80" s="112">
        <v>0</v>
      </c>
      <c r="D80" s="100">
        <v>0</v>
      </c>
      <c r="E80" s="100">
        <v>0.1</v>
      </c>
      <c r="F80" s="100">
        <v>0.3</v>
      </c>
      <c r="G80" s="100">
        <v>0.6</v>
      </c>
      <c r="H80" s="100">
        <v>0.9</v>
      </c>
      <c r="I80" s="100">
        <v>1</v>
      </c>
      <c r="J80" s="100">
        <v>1</v>
      </c>
      <c r="K80" s="100">
        <v>1</v>
      </c>
      <c r="L80" s="100">
        <v>1</v>
      </c>
      <c r="M80" s="433"/>
      <c r="R80" s="157"/>
      <c r="S80" s="157"/>
      <c r="T80" s="157"/>
      <c r="U80" s="157"/>
      <c r="V80" s="157"/>
      <c r="W80" s="157"/>
      <c r="X80" s="157"/>
      <c r="Y80" s="157"/>
      <c r="Z80" s="157"/>
      <c r="AA80" s="157"/>
      <c r="AB80" s="157"/>
      <c r="AC80" s="157"/>
      <c r="AD80" s="157"/>
      <c r="AE80" s="157"/>
      <c r="AF80" s="157"/>
      <c r="AG80" s="157"/>
      <c r="AH80" s="157"/>
      <c r="AI80" s="157"/>
      <c r="AJ80" s="157"/>
      <c r="AK80" s="157"/>
      <c r="AL80" s="157"/>
      <c r="AM80" s="157"/>
      <c r="AN80" s="157"/>
      <c r="AO80" s="157"/>
      <c r="AP80" s="157"/>
      <c r="AQ80" s="157"/>
      <c r="AR80" s="157"/>
      <c r="AS80" s="157"/>
      <c r="AT80" s="157"/>
      <c r="AU80" s="157"/>
      <c r="AV80" s="157"/>
      <c r="AW80" s="157"/>
      <c r="AX80" s="157"/>
      <c r="AY80" s="157"/>
    </row>
    <row r="81" spans="1:51" s="54" customFormat="1" ht="14.4" x14ac:dyDescent="0.3">
      <c r="A81" s="69" t="s">
        <v>101</v>
      </c>
      <c r="B81" s="69" t="s">
        <v>44</v>
      </c>
      <c r="C81" s="112">
        <v>0</v>
      </c>
      <c r="D81" s="100">
        <v>0</v>
      </c>
      <c r="E81" s="100">
        <v>0.1</v>
      </c>
      <c r="F81" s="100">
        <v>0.3</v>
      </c>
      <c r="G81" s="100">
        <v>0.6</v>
      </c>
      <c r="H81" s="100">
        <v>0.9</v>
      </c>
      <c r="I81" s="100">
        <v>1</v>
      </c>
      <c r="J81" s="100">
        <v>1</v>
      </c>
      <c r="K81" s="100">
        <v>1</v>
      </c>
      <c r="L81" s="100">
        <v>1</v>
      </c>
      <c r="M81" s="433"/>
      <c r="R81" s="157"/>
      <c r="S81" s="157"/>
      <c r="T81" s="157"/>
      <c r="U81" s="157"/>
      <c r="V81" s="157"/>
      <c r="W81" s="157"/>
      <c r="X81" s="157"/>
      <c r="Y81" s="157"/>
      <c r="Z81" s="157"/>
      <c r="AA81" s="157"/>
      <c r="AB81" s="157"/>
      <c r="AC81" s="157"/>
      <c r="AD81" s="157"/>
      <c r="AE81" s="157"/>
      <c r="AF81" s="157"/>
      <c r="AG81" s="157"/>
      <c r="AH81" s="157"/>
      <c r="AI81" s="157"/>
      <c r="AJ81" s="157"/>
      <c r="AK81" s="157"/>
      <c r="AL81" s="157"/>
      <c r="AM81" s="157"/>
      <c r="AN81" s="157"/>
      <c r="AO81" s="157"/>
      <c r="AP81" s="157"/>
      <c r="AQ81" s="157"/>
      <c r="AR81" s="157"/>
      <c r="AS81" s="157"/>
      <c r="AT81" s="157"/>
      <c r="AU81" s="157"/>
      <c r="AV81" s="157"/>
      <c r="AW81" s="157"/>
      <c r="AX81" s="157"/>
      <c r="AY81" s="157"/>
    </row>
    <row r="82" spans="1:51" s="54" customFormat="1" ht="14.4" x14ac:dyDescent="0.3">
      <c r="A82" s="69" t="s">
        <v>101</v>
      </c>
      <c r="B82" s="69" t="s">
        <v>45</v>
      </c>
      <c r="C82" s="112">
        <v>0</v>
      </c>
      <c r="D82" s="100">
        <v>0</v>
      </c>
      <c r="E82" s="100">
        <f>10%*(1/9.5)*(5/7.5)</f>
        <v>7.0175438596491221E-3</v>
      </c>
      <c r="F82" s="100">
        <v>0.1</v>
      </c>
      <c r="G82" s="100">
        <v>0.3</v>
      </c>
      <c r="H82" s="100">
        <v>0.6</v>
      </c>
      <c r="I82" s="100">
        <v>0.9</v>
      </c>
      <c r="J82" s="100">
        <v>1</v>
      </c>
      <c r="K82" s="100">
        <v>1</v>
      </c>
      <c r="L82" s="100">
        <v>1</v>
      </c>
      <c r="M82" s="433"/>
      <c r="R82" s="157"/>
      <c r="S82" s="157"/>
      <c r="T82" s="157"/>
      <c r="U82" s="157"/>
      <c r="V82" s="157"/>
      <c r="W82" s="157"/>
      <c r="X82" s="157"/>
      <c r="Y82" s="157"/>
      <c r="Z82" s="157"/>
      <c r="AA82" s="157"/>
      <c r="AB82" s="157"/>
      <c r="AC82" s="157"/>
      <c r="AD82" s="157"/>
      <c r="AE82" s="157"/>
      <c r="AF82" s="157"/>
      <c r="AG82" s="157"/>
      <c r="AH82" s="157"/>
      <c r="AI82" s="157"/>
      <c r="AJ82" s="157"/>
      <c r="AK82" s="157"/>
      <c r="AL82" s="157"/>
      <c r="AM82" s="157"/>
      <c r="AN82" s="157"/>
      <c r="AO82" s="157"/>
      <c r="AP82" s="157"/>
      <c r="AQ82" s="157"/>
      <c r="AR82" s="157"/>
      <c r="AS82" s="157"/>
      <c r="AT82" s="157"/>
      <c r="AU82" s="157"/>
      <c r="AV82" s="157"/>
      <c r="AW82" s="157"/>
      <c r="AX82" s="157"/>
      <c r="AY82" s="157"/>
    </row>
    <row r="83" spans="1:51" s="54" customFormat="1" ht="14.4" x14ac:dyDescent="0.3">
      <c r="A83" s="69" t="s">
        <v>102</v>
      </c>
      <c r="B83" s="69" t="s">
        <v>40</v>
      </c>
      <c r="C83" s="112">
        <v>0</v>
      </c>
      <c r="D83" s="100">
        <v>0</v>
      </c>
      <c r="E83" s="100">
        <f>0.1*(1/0.6)</f>
        <v>0.16666666666666669</v>
      </c>
      <c r="F83" s="100">
        <v>0.3</v>
      </c>
      <c r="G83" s="100">
        <v>0.6</v>
      </c>
      <c r="H83" s="100">
        <v>0.9</v>
      </c>
      <c r="I83" s="100">
        <v>1</v>
      </c>
      <c r="J83" s="100">
        <v>1</v>
      </c>
      <c r="K83" s="100">
        <v>1</v>
      </c>
      <c r="L83" s="100">
        <v>1</v>
      </c>
      <c r="M83" s="433"/>
      <c r="R83" s="157"/>
      <c r="S83" s="157"/>
      <c r="T83" s="157"/>
      <c r="U83" s="157"/>
      <c r="V83" s="157"/>
      <c r="W83" s="157"/>
      <c r="X83" s="157"/>
      <c r="Y83" s="157"/>
      <c r="Z83" s="157"/>
      <c r="AA83" s="157"/>
      <c r="AB83" s="157"/>
      <c r="AC83" s="157"/>
      <c r="AD83" s="157"/>
      <c r="AE83" s="157"/>
      <c r="AF83" s="157"/>
      <c r="AG83" s="157"/>
      <c r="AH83" s="157"/>
      <c r="AI83" s="157"/>
      <c r="AJ83" s="157"/>
      <c r="AK83" s="157"/>
      <c r="AL83" s="157"/>
      <c r="AM83" s="157"/>
      <c r="AN83" s="157"/>
      <c r="AO83" s="157"/>
      <c r="AP83" s="157"/>
      <c r="AQ83" s="157"/>
      <c r="AR83" s="157"/>
      <c r="AS83" s="157"/>
      <c r="AT83" s="157"/>
      <c r="AU83" s="157"/>
      <c r="AV83" s="157"/>
      <c r="AW83" s="157"/>
      <c r="AX83" s="157"/>
      <c r="AY83" s="157"/>
    </row>
    <row r="84" spans="1:51" s="54" customFormat="1" ht="14.4" x14ac:dyDescent="0.3">
      <c r="A84" s="69" t="s">
        <v>102</v>
      </c>
      <c r="B84" s="69" t="s">
        <v>41</v>
      </c>
      <c r="C84" s="112">
        <v>0</v>
      </c>
      <c r="D84" s="100">
        <v>0</v>
      </c>
      <c r="E84" s="100">
        <v>0.1</v>
      </c>
      <c r="F84" s="100">
        <v>0.3</v>
      </c>
      <c r="G84" s="100">
        <v>0.6</v>
      </c>
      <c r="H84" s="100">
        <v>0.9</v>
      </c>
      <c r="I84" s="100">
        <v>1</v>
      </c>
      <c r="J84" s="100">
        <v>1</v>
      </c>
      <c r="K84" s="100">
        <v>1</v>
      </c>
      <c r="L84" s="100">
        <v>1</v>
      </c>
      <c r="M84" s="433"/>
      <c r="R84" s="157"/>
      <c r="S84" s="157"/>
      <c r="T84" s="157"/>
      <c r="U84" s="157"/>
      <c r="V84" s="157"/>
      <c r="W84" s="157"/>
      <c r="X84" s="157"/>
      <c r="Y84" s="157"/>
      <c r="Z84" s="157"/>
      <c r="AA84" s="157"/>
      <c r="AB84" s="157"/>
      <c r="AC84" s="157"/>
      <c r="AD84" s="157"/>
      <c r="AE84" s="157"/>
      <c r="AF84" s="157"/>
      <c r="AG84" s="157"/>
      <c r="AH84" s="157"/>
      <c r="AI84" s="157"/>
      <c r="AJ84" s="157"/>
      <c r="AK84" s="157"/>
      <c r="AL84" s="157"/>
      <c r="AM84" s="157"/>
      <c r="AN84" s="157"/>
      <c r="AO84" s="157"/>
      <c r="AP84" s="157"/>
      <c r="AQ84" s="157"/>
      <c r="AR84" s="157"/>
      <c r="AS84" s="157"/>
      <c r="AT84" s="157"/>
      <c r="AU84" s="157"/>
      <c r="AV84" s="157"/>
      <c r="AW84" s="157"/>
      <c r="AX84" s="157"/>
      <c r="AY84" s="157"/>
    </row>
    <row r="85" spans="1:51" s="54" customFormat="1" ht="14.4" x14ac:dyDescent="0.3">
      <c r="A85" s="69" t="s">
        <v>102</v>
      </c>
      <c r="B85" s="69" t="s">
        <v>42</v>
      </c>
      <c r="C85" s="112">
        <v>0</v>
      </c>
      <c r="D85" s="100">
        <v>0</v>
      </c>
      <c r="E85" s="100">
        <f>0.1*(1/0.6)</f>
        <v>0.16666666666666669</v>
      </c>
      <c r="F85" s="100">
        <v>0.3</v>
      </c>
      <c r="G85" s="100">
        <v>0.6</v>
      </c>
      <c r="H85" s="100">
        <v>0.9</v>
      </c>
      <c r="I85" s="100">
        <v>1</v>
      </c>
      <c r="J85" s="100">
        <v>1</v>
      </c>
      <c r="K85" s="100">
        <v>1</v>
      </c>
      <c r="L85" s="100">
        <v>1</v>
      </c>
      <c r="M85" s="433"/>
      <c r="R85" s="157"/>
      <c r="S85" s="157"/>
      <c r="T85" s="157"/>
      <c r="U85" s="157"/>
      <c r="V85" s="157"/>
      <c r="W85" s="157"/>
      <c r="X85" s="157"/>
      <c r="Y85" s="157"/>
      <c r="Z85" s="157"/>
      <c r="AA85" s="157"/>
      <c r="AB85" s="157"/>
      <c r="AC85" s="157"/>
      <c r="AD85" s="157"/>
      <c r="AE85" s="157"/>
      <c r="AF85" s="157"/>
      <c r="AG85" s="157"/>
      <c r="AH85" s="157"/>
      <c r="AI85" s="157"/>
      <c r="AJ85" s="157"/>
      <c r="AK85" s="157"/>
      <c r="AL85" s="157"/>
      <c r="AM85" s="157"/>
      <c r="AN85" s="157"/>
      <c r="AO85" s="157"/>
      <c r="AP85" s="157"/>
      <c r="AQ85" s="157"/>
      <c r="AR85" s="157"/>
      <c r="AS85" s="157"/>
      <c r="AT85" s="157"/>
      <c r="AU85" s="157"/>
      <c r="AV85" s="157"/>
      <c r="AW85" s="157"/>
      <c r="AX85" s="157"/>
      <c r="AY85" s="157"/>
    </row>
    <row r="86" spans="1:51" s="54" customFormat="1" ht="14.4" x14ac:dyDescent="0.3">
      <c r="A86" s="69" t="s">
        <v>102</v>
      </c>
      <c r="B86" s="69" t="s">
        <v>43</v>
      </c>
      <c r="C86" s="112">
        <v>0</v>
      </c>
      <c r="D86" s="100">
        <v>0</v>
      </c>
      <c r="E86" s="100">
        <v>0.1</v>
      </c>
      <c r="F86" s="100">
        <v>0.3</v>
      </c>
      <c r="G86" s="100">
        <v>0.6</v>
      </c>
      <c r="H86" s="100">
        <v>0.9</v>
      </c>
      <c r="I86" s="100">
        <v>1</v>
      </c>
      <c r="J86" s="100">
        <v>1</v>
      </c>
      <c r="K86" s="100">
        <v>1</v>
      </c>
      <c r="L86" s="100">
        <v>1</v>
      </c>
      <c r="M86" s="433"/>
      <c r="R86" s="157"/>
      <c r="S86" s="157"/>
      <c r="T86" s="157"/>
      <c r="U86" s="157"/>
      <c r="V86" s="157"/>
      <c r="W86" s="157"/>
      <c r="X86" s="157"/>
      <c r="Y86" s="157"/>
      <c r="Z86" s="157"/>
      <c r="AA86" s="157"/>
      <c r="AB86" s="157"/>
      <c r="AC86" s="157"/>
      <c r="AD86" s="157"/>
      <c r="AE86" s="157"/>
      <c r="AF86" s="157"/>
      <c r="AG86" s="157"/>
      <c r="AH86" s="157"/>
      <c r="AI86" s="157"/>
      <c r="AJ86" s="157"/>
      <c r="AK86" s="157"/>
      <c r="AL86" s="157"/>
      <c r="AM86" s="157"/>
      <c r="AN86" s="157"/>
      <c r="AO86" s="157"/>
      <c r="AP86" s="157"/>
      <c r="AQ86" s="157"/>
      <c r="AR86" s="157"/>
      <c r="AS86" s="157"/>
      <c r="AT86" s="157"/>
      <c r="AU86" s="157"/>
      <c r="AV86" s="157"/>
      <c r="AW86" s="157"/>
      <c r="AX86" s="157"/>
      <c r="AY86" s="157"/>
    </row>
    <row r="87" spans="1:51" s="54" customFormat="1" ht="14.4" x14ac:dyDescent="0.3">
      <c r="A87" s="69" t="s">
        <v>102</v>
      </c>
      <c r="B87" s="69" t="s">
        <v>44</v>
      </c>
      <c r="C87" s="112">
        <v>0</v>
      </c>
      <c r="D87" s="100">
        <v>0</v>
      </c>
      <c r="E87" s="100">
        <v>0.1</v>
      </c>
      <c r="F87" s="100">
        <v>0.3</v>
      </c>
      <c r="G87" s="100">
        <v>0.6</v>
      </c>
      <c r="H87" s="100">
        <v>0.9</v>
      </c>
      <c r="I87" s="100">
        <v>1</v>
      </c>
      <c r="J87" s="100">
        <v>1</v>
      </c>
      <c r="K87" s="100">
        <v>1</v>
      </c>
      <c r="L87" s="100">
        <v>1</v>
      </c>
      <c r="M87" s="433"/>
      <c r="R87" s="157"/>
      <c r="S87" s="157"/>
      <c r="T87" s="157"/>
      <c r="U87" s="157"/>
      <c r="V87" s="157"/>
      <c r="W87" s="157"/>
      <c r="X87" s="157"/>
      <c r="Y87" s="157"/>
      <c r="Z87" s="157"/>
      <c r="AA87" s="157"/>
      <c r="AB87" s="157"/>
      <c r="AC87" s="157"/>
      <c r="AD87" s="157"/>
      <c r="AE87" s="157"/>
      <c r="AF87" s="157"/>
      <c r="AG87" s="157"/>
      <c r="AH87" s="157"/>
      <c r="AI87" s="157"/>
      <c r="AJ87" s="157"/>
      <c r="AK87" s="157"/>
      <c r="AL87" s="157"/>
      <c r="AM87" s="157"/>
      <c r="AN87" s="157"/>
      <c r="AO87" s="157"/>
      <c r="AP87" s="157"/>
      <c r="AQ87" s="157"/>
      <c r="AR87" s="157"/>
      <c r="AS87" s="157"/>
      <c r="AT87" s="157"/>
      <c r="AU87" s="157"/>
      <c r="AV87" s="157"/>
      <c r="AW87" s="157"/>
      <c r="AX87" s="157"/>
      <c r="AY87" s="157"/>
    </row>
    <row r="88" spans="1:51" s="54" customFormat="1" ht="14.4" x14ac:dyDescent="0.3">
      <c r="A88" s="69" t="s">
        <v>102</v>
      </c>
      <c r="B88" s="69" t="s">
        <v>45</v>
      </c>
      <c r="C88" s="112">
        <v>0</v>
      </c>
      <c r="D88" s="100">
        <v>0</v>
      </c>
      <c r="E88" s="100">
        <f>10%*(1/9.5)*(5/7.5)</f>
        <v>7.0175438596491221E-3</v>
      </c>
      <c r="F88" s="100">
        <v>0.1</v>
      </c>
      <c r="G88" s="100">
        <v>0.3</v>
      </c>
      <c r="H88" s="100">
        <v>0.6</v>
      </c>
      <c r="I88" s="100">
        <v>0.9</v>
      </c>
      <c r="J88" s="100">
        <v>1</v>
      </c>
      <c r="K88" s="100">
        <v>1</v>
      </c>
      <c r="L88" s="100">
        <v>1</v>
      </c>
      <c r="M88" s="433"/>
      <c r="R88" s="157"/>
      <c r="S88" s="157"/>
      <c r="T88" s="157"/>
      <c r="U88" s="157"/>
      <c r="V88" s="157"/>
      <c r="W88" s="157"/>
      <c r="X88" s="157"/>
      <c r="Y88" s="157"/>
      <c r="Z88" s="157"/>
      <c r="AA88" s="157"/>
      <c r="AB88" s="157"/>
      <c r="AC88" s="157"/>
      <c r="AD88" s="157"/>
      <c r="AE88" s="157"/>
      <c r="AF88" s="157"/>
      <c r="AG88" s="157"/>
      <c r="AH88" s="157"/>
      <c r="AI88" s="157"/>
      <c r="AJ88" s="157"/>
      <c r="AK88" s="157"/>
      <c r="AL88" s="157"/>
      <c r="AM88" s="157"/>
      <c r="AN88" s="157"/>
      <c r="AO88" s="157"/>
      <c r="AP88" s="157"/>
      <c r="AQ88" s="157"/>
      <c r="AR88" s="157"/>
      <c r="AS88" s="157"/>
      <c r="AT88" s="157"/>
      <c r="AU88" s="157"/>
      <c r="AV88" s="157"/>
      <c r="AW88" s="157"/>
      <c r="AX88" s="157"/>
      <c r="AY88" s="157"/>
    </row>
    <row r="89" spans="1:51" s="54" customFormat="1" ht="14.4" x14ac:dyDescent="0.3">
      <c r="A89" s="69" t="s">
        <v>56</v>
      </c>
      <c r="B89" s="69" t="s">
        <v>40</v>
      </c>
      <c r="C89" s="112">
        <v>0</v>
      </c>
      <c r="D89" s="100">
        <v>0</v>
      </c>
      <c r="E89" s="100">
        <f>0.1*(1/0.55)</f>
        <v>0.18181818181818182</v>
      </c>
      <c r="F89" s="100">
        <v>0.3</v>
      </c>
      <c r="G89" s="100">
        <v>0.6</v>
      </c>
      <c r="H89" s="100">
        <v>0.9</v>
      </c>
      <c r="I89" s="100">
        <v>1</v>
      </c>
      <c r="J89" s="100">
        <v>1</v>
      </c>
      <c r="K89" s="100">
        <v>1</v>
      </c>
      <c r="L89" s="100">
        <v>1</v>
      </c>
      <c r="M89" s="321" t="s">
        <v>347</v>
      </c>
      <c r="R89" s="157"/>
      <c r="S89" s="157"/>
      <c r="T89" s="157"/>
      <c r="U89" s="157"/>
      <c r="V89" s="157"/>
      <c r="W89" s="157"/>
      <c r="X89" s="157"/>
      <c r="Y89" s="157"/>
      <c r="Z89" s="157"/>
      <c r="AA89" s="157"/>
      <c r="AB89" s="157"/>
      <c r="AC89" s="157"/>
      <c r="AD89" s="157"/>
      <c r="AE89" s="157"/>
      <c r="AF89" s="157"/>
      <c r="AG89" s="157"/>
      <c r="AH89" s="157"/>
      <c r="AI89" s="157"/>
      <c r="AJ89" s="157"/>
      <c r="AK89" s="157"/>
      <c r="AL89" s="157"/>
      <c r="AM89" s="157"/>
      <c r="AN89" s="157"/>
      <c r="AO89" s="157"/>
      <c r="AP89" s="157"/>
      <c r="AQ89" s="157"/>
      <c r="AR89" s="157"/>
      <c r="AS89" s="157"/>
      <c r="AT89" s="157"/>
      <c r="AU89" s="157"/>
      <c r="AV89" s="157"/>
      <c r="AW89" s="157"/>
      <c r="AX89" s="157"/>
      <c r="AY89" s="157"/>
    </row>
    <row r="90" spans="1:51" s="54" customFormat="1" ht="14.4" x14ac:dyDescent="0.3">
      <c r="A90" s="69" t="s">
        <v>56</v>
      </c>
      <c r="B90" s="69" t="s">
        <v>41</v>
      </c>
      <c r="C90" s="112">
        <v>0</v>
      </c>
      <c r="D90" s="100">
        <v>0</v>
      </c>
      <c r="E90" s="100">
        <v>0</v>
      </c>
      <c r="F90" s="100">
        <v>0</v>
      </c>
      <c r="G90" s="100">
        <v>0</v>
      </c>
      <c r="H90" s="100">
        <v>0</v>
      </c>
      <c r="I90" s="100">
        <v>0</v>
      </c>
      <c r="J90" s="100">
        <v>0</v>
      </c>
      <c r="K90" s="100">
        <v>0</v>
      </c>
      <c r="L90" s="100">
        <v>0</v>
      </c>
      <c r="M90" s="321"/>
      <c r="R90" s="157"/>
      <c r="S90" s="157"/>
      <c r="T90" s="157"/>
      <c r="U90" s="157"/>
      <c r="V90" s="157"/>
      <c r="W90" s="157"/>
      <c r="X90" s="157"/>
      <c r="Y90" s="157"/>
      <c r="Z90" s="157"/>
      <c r="AA90" s="157"/>
      <c r="AB90" s="157"/>
      <c r="AC90" s="157"/>
      <c r="AD90" s="157"/>
      <c r="AE90" s="157"/>
      <c r="AF90" s="157"/>
      <c r="AG90" s="157"/>
      <c r="AH90" s="157"/>
      <c r="AI90" s="157"/>
      <c r="AJ90" s="157"/>
      <c r="AK90" s="157"/>
      <c r="AL90" s="157"/>
      <c r="AM90" s="157"/>
      <c r="AN90" s="157"/>
      <c r="AO90" s="157"/>
      <c r="AP90" s="157"/>
      <c r="AQ90" s="157"/>
      <c r="AR90" s="157"/>
      <c r="AS90" s="157"/>
      <c r="AT90" s="157"/>
      <c r="AU90" s="157"/>
      <c r="AV90" s="157"/>
      <c r="AW90" s="157"/>
      <c r="AX90" s="157"/>
      <c r="AY90" s="157"/>
    </row>
    <row r="91" spans="1:51" s="54" customFormat="1" ht="14.4" x14ac:dyDescent="0.3">
      <c r="A91" s="69" t="s">
        <v>56</v>
      </c>
      <c r="B91" s="69" t="s">
        <v>42</v>
      </c>
      <c r="C91" s="112">
        <v>0</v>
      </c>
      <c r="D91" s="100">
        <v>0</v>
      </c>
      <c r="E91" s="100">
        <v>0.1</v>
      </c>
      <c r="F91" s="100">
        <v>0.3</v>
      </c>
      <c r="G91" s="100">
        <v>0.6</v>
      </c>
      <c r="H91" s="100">
        <v>0.9</v>
      </c>
      <c r="I91" s="100">
        <v>1</v>
      </c>
      <c r="J91" s="100">
        <v>1</v>
      </c>
      <c r="K91" s="100">
        <v>1</v>
      </c>
      <c r="L91" s="100">
        <v>1</v>
      </c>
      <c r="M91" s="321" t="s">
        <v>347</v>
      </c>
      <c r="R91" s="157"/>
      <c r="S91" s="157"/>
      <c r="T91" s="157"/>
      <c r="U91" s="157"/>
      <c r="V91" s="157"/>
      <c r="W91" s="157"/>
      <c r="X91" s="157"/>
      <c r="Y91" s="157"/>
      <c r="Z91" s="157"/>
      <c r="AA91" s="157"/>
      <c r="AB91" s="157"/>
      <c r="AC91" s="157"/>
      <c r="AD91" s="157"/>
      <c r="AE91" s="157"/>
      <c r="AF91" s="157"/>
      <c r="AG91" s="157"/>
      <c r="AH91" s="157"/>
      <c r="AI91" s="157"/>
      <c r="AJ91" s="157"/>
      <c r="AK91" s="157"/>
      <c r="AL91" s="157"/>
      <c r="AM91" s="157"/>
      <c r="AN91" s="157"/>
      <c r="AO91" s="157"/>
      <c r="AP91" s="157"/>
      <c r="AQ91" s="157"/>
      <c r="AR91" s="157"/>
      <c r="AS91" s="157"/>
      <c r="AT91" s="157"/>
      <c r="AU91" s="157"/>
      <c r="AV91" s="157"/>
      <c r="AW91" s="157"/>
      <c r="AX91" s="157"/>
      <c r="AY91" s="157"/>
    </row>
    <row r="92" spans="1:51" s="54" customFormat="1" ht="14.4" x14ac:dyDescent="0.3">
      <c r="A92" s="69" t="s">
        <v>56</v>
      </c>
      <c r="B92" s="69" t="s">
        <v>43</v>
      </c>
      <c r="C92" s="112">
        <v>0</v>
      </c>
      <c r="D92" s="100">
        <v>0</v>
      </c>
      <c r="E92" s="100">
        <v>0</v>
      </c>
      <c r="F92" s="100">
        <v>0</v>
      </c>
      <c r="G92" s="100">
        <v>0</v>
      </c>
      <c r="H92" s="100">
        <v>0</v>
      </c>
      <c r="I92" s="100">
        <v>0</v>
      </c>
      <c r="J92" s="100">
        <v>0</v>
      </c>
      <c r="K92" s="100">
        <v>0</v>
      </c>
      <c r="L92" s="100">
        <v>0</v>
      </c>
      <c r="M92" s="321"/>
      <c r="R92" s="157"/>
      <c r="S92" s="157"/>
      <c r="T92" s="157"/>
      <c r="U92" s="157"/>
      <c r="V92" s="157"/>
      <c r="W92" s="157"/>
      <c r="X92" s="157"/>
      <c r="Y92" s="157"/>
      <c r="Z92" s="157"/>
      <c r="AA92" s="157"/>
      <c r="AB92" s="157"/>
      <c r="AC92" s="157"/>
      <c r="AD92" s="157"/>
      <c r="AE92" s="157"/>
      <c r="AF92" s="157"/>
      <c r="AG92" s="157"/>
      <c r="AH92" s="157"/>
      <c r="AI92" s="157"/>
      <c r="AJ92" s="157"/>
      <c r="AK92" s="157"/>
      <c r="AL92" s="157"/>
      <c r="AM92" s="157"/>
      <c r="AN92" s="157"/>
      <c r="AO92" s="157"/>
      <c r="AP92" s="157"/>
      <c r="AQ92" s="157"/>
      <c r="AR92" s="157"/>
      <c r="AS92" s="157"/>
      <c r="AT92" s="157"/>
      <c r="AU92" s="157"/>
      <c r="AV92" s="157"/>
      <c r="AW92" s="157"/>
      <c r="AX92" s="157"/>
      <c r="AY92" s="157"/>
    </row>
    <row r="93" spans="1:51" s="54" customFormat="1" ht="14.4" x14ac:dyDescent="0.3">
      <c r="A93" s="69" t="s">
        <v>56</v>
      </c>
      <c r="B93" s="69" t="s">
        <v>44</v>
      </c>
      <c r="C93" s="112">
        <v>0</v>
      </c>
      <c r="D93" s="100">
        <v>0</v>
      </c>
      <c r="E93" s="100">
        <v>0</v>
      </c>
      <c r="F93" s="100">
        <v>0</v>
      </c>
      <c r="G93" s="100">
        <v>0</v>
      </c>
      <c r="H93" s="100">
        <v>0</v>
      </c>
      <c r="I93" s="100">
        <v>0</v>
      </c>
      <c r="J93" s="100">
        <v>0</v>
      </c>
      <c r="K93" s="100">
        <v>0</v>
      </c>
      <c r="L93" s="100">
        <v>0</v>
      </c>
      <c r="M93" s="321"/>
      <c r="R93" s="157"/>
      <c r="S93" s="157"/>
      <c r="T93" s="157"/>
      <c r="U93" s="157"/>
      <c r="V93" s="157"/>
      <c r="W93" s="157"/>
      <c r="X93" s="157"/>
      <c r="Y93" s="157"/>
      <c r="Z93" s="157"/>
      <c r="AA93" s="157"/>
      <c r="AB93" s="157"/>
      <c r="AC93" s="157"/>
      <c r="AD93" s="157"/>
      <c r="AE93" s="157"/>
      <c r="AF93" s="157"/>
      <c r="AG93" s="157"/>
      <c r="AH93" s="157"/>
      <c r="AI93" s="157"/>
      <c r="AJ93" s="157"/>
      <c r="AK93" s="157"/>
      <c r="AL93" s="157"/>
      <c r="AM93" s="157"/>
      <c r="AN93" s="157"/>
      <c r="AO93" s="157"/>
      <c r="AP93" s="157"/>
      <c r="AQ93" s="157"/>
      <c r="AR93" s="157"/>
      <c r="AS93" s="157"/>
      <c r="AT93" s="157"/>
      <c r="AU93" s="157"/>
      <c r="AV93" s="157"/>
      <c r="AW93" s="157"/>
      <c r="AX93" s="157"/>
      <c r="AY93" s="157"/>
    </row>
    <row r="94" spans="1:51" s="54" customFormat="1" ht="27.6" x14ac:dyDescent="0.3">
      <c r="A94" s="69" t="s">
        <v>56</v>
      </c>
      <c r="B94" s="69" t="s">
        <v>45</v>
      </c>
      <c r="C94" s="112">
        <f>0%+2.5%</f>
        <v>2.5000000000000001E-2</v>
      </c>
      <c r="D94" s="100">
        <f>0%+2.5%</f>
        <v>2.5000000000000001E-2</v>
      </c>
      <c r="E94" s="100">
        <f>10%*(1/4)*(1/1.7)+2.5%</f>
        <v>3.9705882352941181E-2</v>
      </c>
      <c r="F94" s="100">
        <f>10%+2.5%</f>
        <v>0.125</v>
      </c>
      <c r="G94" s="100">
        <f>30%+2.5%</f>
        <v>0.32500000000000001</v>
      </c>
      <c r="H94" s="100">
        <f>60%+2.5%</f>
        <v>0.625</v>
      </c>
      <c r="I94" s="100">
        <f>90%+2.5%</f>
        <v>0.92500000000000004</v>
      </c>
      <c r="J94" s="100">
        <v>1</v>
      </c>
      <c r="K94" s="100">
        <v>1</v>
      </c>
      <c r="L94" s="100">
        <v>1</v>
      </c>
      <c r="M94" s="321" t="s">
        <v>524</v>
      </c>
      <c r="R94" s="157"/>
      <c r="S94" s="157"/>
      <c r="T94" s="157"/>
      <c r="U94" s="157"/>
      <c r="V94" s="157"/>
      <c r="W94" s="157"/>
      <c r="X94" s="157"/>
      <c r="Y94" s="157"/>
      <c r="Z94" s="157"/>
      <c r="AA94" s="157"/>
      <c r="AB94" s="157"/>
      <c r="AC94" s="157"/>
      <c r="AD94" s="157"/>
      <c r="AE94" s="157"/>
      <c r="AF94" s="157"/>
      <c r="AG94" s="157"/>
      <c r="AH94" s="157"/>
      <c r="AI94" s="157"/>
      <c r="AJ94" s="157"/>
      <c r="AK94" s="157"/>
      <c r="AL94" s="157"/>
      <c r="AM94" s="157"/>
      <c r="AN94" s="157"/>
      <c r="AO94" s="157"/>
      <c r="AP94" s="157"/>
      <c r="AQ94" s="157"/>
      <c r="AR94" s="157"/>
      <c r="AS94" s="157"/>
      <c r="AT94" s="157"/>
      <c r="AU94" s="157"/>
      <c r="AV94" s="157"/>
      <c r="AW94" s="157"/>
      <c r="AX94" s="157"/>
      <c r="AY94" s="157"/>
    </row>
    <row r="95" spans="1:51" ht="14.4" x14ac:dyDescent="0.3">
      <c r="A95" s="69" t="s">
        <v>55</v>
      </c>
      <c r="B95" s="69" t="s">
        <v>46</v>
      </c>
      <c r="C95" s="131">
        <v>0</v>
      </c>
      <c r="D95" s="60">
        <v>0</v>
      </c>
      <c r="E95" s="60">
        <v>0.1</v>
      </c>
      <c r="F95" s="60">
        <v>0.3</v>
      </c>
      <c r="G95" s="60">
        <v>0.6</v>
      </c>
      <c r="H95" s="60">
        <v>0.9</v>
      </c>
      <c r="I95" s="60">
        <v>1</v>
      </c>
      <c r="J95" s="60">
        <v>1</v>
      </c>
      <c r="K95" s="60">
        <v>1</v>
      </c>
      <c r="L95" s="60">
        <v>1</v>
      </c>
      <c r="M95" s="332"/>
    </row>
    <row r="96" spans="1:51" ht="55.2" x14ac:dyDescent="0.3">
      <c r="A96" s="69" t="s">
        <v>54</v>
      </c>
      <c r="B96" s="69" t="s">
        <v>45</v>
      </c>
      <c r="C96" s="131">
        <v>0</v>
      </c>
      <c r="D96" s="107">
        <v>0</v>
      </c>
      <c r="E96" s="81">
        <v>0</v>
      </c>
      <c r="F96" s="60">
        <v>0.05</v>
      </c>
      <c r="G96" s="60">
        <v>0.15</v>
      </c>
      <c r="H96" s="60">
        <v>0.3</v>
      </c>
      <c r="I96" s="60">
        <v>0.5</v>
      </c>
      <c r="J96" s="60">
        <v>0.7</v>
      </c>
      <c r="K96" s="60">
        <v>0.9</v>
      </c>
      <c r="L96" s="60">
        <v>1</v>
      </c>
      <c r="M96" s="321" t="s">
        <v>344</v>
      </c>
    </row>
    <row r="97" spans="1:13" ht="27.6" x14ac:dyDescent="0.3">
      <c r="A97" s="69" t="s">
        <v>57</v>
      </c>
      <c r="B97" s="69" t="s">
        <v>45</v>
      </c>
      <c r="C97" s="131">
        <v>0</v>
      </c>
      <c r="D97" s="60">
        <v>0</v>
      </c>
      <c r="E97" s="60">
        <v>0.1</v>
      </c>
      <c r="F97" s="60">
        <v>0.3</v>
      </c>
      <c r="G97" s="60">
        <v>0.6</v>
      </c>
      <c r="H97" s="60">
        <v>0.9</v>
      </c>
      <c r="I97" s="60">
        <v>1</v>
      </c>
      <c r="J97" s="60">
        <v>1</v>
      </c>
      <c r="K97" s="60">
        <v>1</v>
      </c>
      <c r="L97" s="60">
        <v>1</v>
      </c>
      <c r="M97" s="321" t="s">
        <v>348</v>
      </c>
    </row>
  </sheetData>
  <autoFilter ref="A3:Q97" xr:uid="{6D4A86A3-DF08-4D08-9E16-40EF55E6026E}"/>
  <mergeCells count="6">
    <mergeCell ref="M77:M88"/>
    <mergeCell ref="M31:M55"/>
    <mergeCell ref="M6:M11"/>
    <mergeCell ref="M12:M17"/>
    <mergeCell ref="M56:M76"/>
    <mergeCell ref="M18:M29"/>
  </mergeCells>
  <pageMargins left="0.7" right="0.7" top="0.75" bottom="0.75" header="0.3" footer="0.3"/>
  <pageSetup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theme="5"/>
  </sheetPr>
  <dimension ref="A1:R65"/>
  <sheetViews>
    <sheetView zoomScale="77" workbookViewId="0">
      <selection activeCell="B41" sqref="B41"/>
    </sheetView>
  </sheetViews>
  <sheetFormatPr defaultColWidth="9.09765625" defaultRowHeight="13.8" outlineLevelRow="1" x14ac:dyDescent="0.25"/>
  <cols>
    <col min="1" max="1" width="48" style="2" customWidth="1"/>
    <col min="2" max="2" width="8.5" style="2" customWidth="1"/>
    <col min="3" max="3" width="8.796875" customWidth="1"/>
    <col min="4" max="18" width="6.19921875" customWidth="1"/>
    <col min="19" max="19" width="5.296875" customWidth="1"/>
    <col min="20" max="23" width="5" customWidth="1"/>
  </cols>
  <sheetData>
    <row r="1" spans="1:18" ht="50.1" customHeight="1" outlineLevel="1" x14ac:dyDescent="0.25">
      <c r="A1" s="7"/>
      <c r="B1" s="7"/>
    </row>
    <row r="2" spans="1:18" ht="17.25" customHeight="1" outlineLevel="1" x14ac:dyDescent="0.25">
      <c r="A2" s="65" t="s">
        <v>7</v>
      </c>
      <c r="B2" s="64" t="s">
        <v>349</v>
      </c>
      <c r="R2" s="10"/>
    </row>
    <row r="3" spans="1:18" s="2" customFormat="1" ht="27.6" x14ac:dyDescent="0.25">
      <c r="A3" s="148" t="s">
        <v>350</v>
      </c>
      <c r="B3" s="141">
        <v>2021</v>
      </c>
      <c r="C3" s="141">
        <v>2022</v>
      </c>
      <c r="D3" s="141">
        <v>2023</v>
      </c>
      <c r="E3" s="141">
        <v>2024</v>
      </c>
      <c r="F3" s="141">
        <v>2025</v>
      </c>
      <c r="G3" s="141">
        <v>2026</v>
      </c>
      <c r="H3" s="141">
        <v>2027</v>
      </c>
      <c r="I3" s="141">
        <v>2028</v>
      </c>
      <c r="J3" s="141">
        <v>2029</v>
      </c>
      <c r="K3" s="141">
        <v>2030</v>
      </c>
      <c r="L3" s="141">
        <v>2031</v>
      </c>
      <c r="M3" s="141">
        <v>2032</v>
      </c>
      <c r="N3" s="141">
        <v>2033</v>
      </c>
      <c r="O3" s="141">
        <v>2034</v>
      </c>
      <c r="P3" s="141">
        <v>2035</v>
      </c>
      <c r="Q3" s="141">
        <v>2036</v>
      </c>
      <c r="R3" s="141">
        <v>2037</v>
      </c>
    </row>
    <row r="4" spans="1:18" s="19" customFormat="1" x14ac:dyDescent="0.25">
      <c r="A4" s="155" t="str">
        <f>EditableIndexes!E5</f>
        <v>DLC-Switch-Water Heating</v>
      </c>
      <c r="B4" s="331">
        <v>0.02</v>
      </c>
      <c r="C4" s="331">
        <v>0.02</v>
      </c>
      <c r="D4" s="331">
        <v>0.02</v>
      </c>
      <c r="E4" s="331">
        <v>0.02</v>
      </c>
      <c r="F4" s="331">
        <v>0.02</v>
      </c>
      <c r="G4" s="331">
        <v>0.02</v>
      </c>
      <c r="H4" s="331">
        <v>0.02</v>
      </c>
      <c r="I4" s="331">
        <v>0.02</v>
      </c>
      <c r="J4" s="331">
        <v>0.02</v>
      </c>
      <c r="K4" s="331">
        <v>0.02</v>
      </c>
      <c r="L4" s="331">
        <v>0.02</v>
      </c>
      <c r="M4" s="331">
        <v>0.02</v>
      </c>
      <c r="N4" s="331">
        <v>0.02</v>
      </c>
      <c r="O4" s="331">
        <v>0.02</v>
      </c>
      <c r="P4" s="331">
        <v>0.02</v>
      </c>
      <c r="Q4" s="331">
        <v>0.02</v>
      </c>
      <c r="R4" s="331">
        <v>0.02</v>
      </c>
    </row>
    <row r="5" spans="1:18" s="19" customFormat="1" x14ac:dyDescent="0.25">
      <c r="A5" s="155" t="str">
        <f>EditableIndexes!E6</f>
        <v>DLC-BYOD-Water Heating</v>
      </c>
      <c r="B5" s="331">
        <v>0.02</v>
      </c>
      <c r="C5" s="331">
        <v>0.02</v>
      </c>
      <c r="D5" s="331">
        <v>0.02</v>
      </c>
      <c r="E5" s="331">
        <v>0.02</v>
      </c>
      <c r="F5" s="331">
        <v>0.02</v>
      </c>
      <c r="G5" s="331">
        <v>0.02</v>
      </c>
      <c r="H5" s="331">
        <v>0.02</v>
      </c>
      <c r="I5" s="331">
        <v>0.02</v>
      </c>
      <c r="J5" s="331">
        <v>0.02</v>
      </c>
      <c r="K5" s="331">
        <v>0.02</v>
      </c>
      <c r="L5" s="331">
        <v>0.02</v>
      </c>
      <c r="M5" s="331">
        <v>0.02</v>
      </c>
      <c r="N5" s="331">
        <v>0.02</v>
      </c>
      <c r="O5" s="331">
        <v>0.02</v>
      </c>
      <c r="P5" s="331">
        <v>0.02</v>
      </c>
      <c r="Q5" s="331">
        <v>0.02</v>
      </c>
      <c r="R5" s="331">
        <v>0.02</v>
      </c>
    </row>
    <row r="6" spans="1:18" s="19" customFormat="1" x14ac:dyDescent="0.25">
      <c r="A6" s="155" t="str">
        <f>EditableIndexes!E7</f>
        <v>DLC-Thermostat-DI-Central Heat Pump</v>
      </c>
      <c r="B6" s="331">
        <v>0.02</v>
      </c>
      <c r="C6" s="331">
        <v>0.02</v>
      </c>
      <c r="D6" s="331">
        <v>0.02</v>
      </c>
      <c r="E6" s="331">
        <v>0.02</v>
      </c>
      <c r="F6" s="331">
        <v>0.02</v>
      </c>
      <c r="G6" s="331">
        <v>0.02</v>
      </c>
      <c r="H6" s="331">
        <v>0.02</v>
      </c>
      <c r="I6" s="331">
        <v>0.02</v>
      </c>
      <c r="J6" s="331">
        <v>0.02</v>
      </c>
      <c r="K6" s="331">
        <v>0.02</v>
      </c>
      <c r="L6" s="331">
        <v>0.02</v>
      </c>
      <c r="M6" s="331">
        <v>0.02</v>
      </c>
      <c r="N6" s="331">
        <v>0.02</v>
      </c>
      <c r="O6" s="331">
        <v>0.02</v>
      </c>
      <c r="P6" s="331">
        <v>0.02</v>
      </c>
      <c r="Q6" s="331">
        <v>0.02</v>
      </c>
      <c r="R6" s="331">
        <v>0.02</v>
      </c>
    </row>
    <row r="7" spans="1:18" s="19" customFormat="1" x14ac:dyDescent="0.25">
      <c r="A7" s="155" t="str">
        <f>EditableIndexes!E8</f>
        <v>DLC-Thermostat-BYOT-Central Heat Pump</v>
      </c>
      <c r="B7" s="331">
        <v>0.02</v>
      </c>
      <c r="C7" s="331">
        <v>0.02</v>
      </c>
      <c r="D7" s="331">
        <v>0.02</v>
      </c>
      <c r="E7" s="331">
        <v>0.02</v>
      </c>
      <c r="F7" s="331">
        <v>0.02</v>
      </c>
      <c r="G7" s="331">
        <v>0.02</v>
      </c>
      <c r="H7" s="331">
        <v>0.02</v>
      </c>
      <c r="I7" s="331">
        <v>0.02</v>
      </c>
      <c r="J7" s="331">
        <v>0.02</v>
      </c>
      <c r="K7" s="331">
        <v>0.02</v>
      </c>
      <c r="L7" s="331">
        <v>0.02</v>
      </c>
      <c r="M7" s="331">
        <v>0.02</v>
      </c>
      <c r="N7" s="331">
        <v>0.02</v>
      </c>
      <c r="O7" s="331">
        <v>0.02</v>
      </c>
      <c r="P7" s="331">
        <v>0.02</v>
      </c>
      <c r="Q7" s="331">
        <v>0.02</v>
      </c>
      <c r="R7" s="331">
        <v>0.02</v>
      </c>
    </row>
    <row r="8" spans="1:18" s="19" customFormat="1" x14ac:dyDescent="0.25">
      <c r="A8" s="155" t="str">
        <f>EditableIndexes!E9</f>
        <v>DLC-Thermostat-HVAC</v>
      </c>
      <c r="B8" s="331">
        <v>0.02</v>
      </c>
      <c r="C8" s="331">
        <v>0.02</v>
      </c>
      <c r="D8" s="331">
        <v>0.02</v>
      </c>
      <c r="E8" s="331">
        <v>0.02</v>
      </c>
      <c r="F8" s="331">
        <v>0.02</v>
      </c>
      <c r="G8" s="331">
        <v>0.02</v>
      </c>
      <c r="H8" s="331">
        <v>0.02</v>
      </c>
      <c r="I8" s="331">
        <v>0.02</v>
      </c>
      <c r="J8" s="331">
        <v>0.02</v>
      </c>
      <c r="K8" s="331">
        <v>0.02</v>
      </c>
      <c r="L8" s="331">
        <v>0.02</v>
      </c>
      <c r="M8" s="331">
        <v>0.02</v>
      </c>
      <c r="N8" s="331">
        <v>0.02</v>
      </c>
      <c r="O8" s="331">
        <v>0.02</v>
      </c>
      <c r="P8" s="331">
        <v>0.02</v>
      </c>
      <c r="Q8" s="331">
        <v>0.02</v>
      </c>
      <c r="R8" s="331">
        <v>0.02</v>
      </c>
    </row>
    <row r="9" spans="1:18" s="19" customFormat="1" x14ac:dyDescent="0.25">
      <c r="A9" s="155" t="str">
        <f>EditableIndexes!E10</f>
        <v>DLC-Thermostat-DI-Baseboard Heating</v>
      </c>
      <c r="B9" s="331">
        <v>0.02</v>
      </c>
      <c r="C9" s="331">
        <v>0.02</v>
      </c>
      <c r="D9" s="331">
        <v>0.02</v>
      </c>
      <c r="E9" s="331">
        <v>0.02</v>
      </c>
      <c r="F9" s="331">
        <v>0.02</v>
      </c>
      <c r="G9" s="331">
        <v>0.02</v>
      </c>
      <c r="H9" s="331">
        <v>0.02</v>
      </c>
      <c r="I9" s="331">
        <v>0.02</v>
      </c>
      <c r="J9" s="331">
        <v>0.02</v>
      </c>
      <c r="K9" s="331">
        <v>0.02</v>
      </c>
      <c r="L9" s="331">
        <v>0.02</v>
      </c>
      <c r="M9" s="331">
        <v>0.02</v>
      </c>
      <c r="N9" s="331">
        <v>0.02</v>
      </c>
      <c r="O9" s="331">
        <v>0.02</v>
      </c>
      <c r="P9" s="331">
        <v>0.02</v>
      </c>
      <c r="Q9" s="331">
        <v>0.02</v>
      </c>
      <c r="R9" s="331">
        <v>0.02</v>
      </c>
    </row>
    <row r="10" spans="1:18" s="19" customFormat="1" x14ac:dyDescent="0.25">
      <c r="A10" s="155" t="str">
        <f>EditableIndexes!E11</f>
        <v>DLC-Thermostat-BYOT-Baseboard Heating</v>
      </c>
      <c r="B10" s="331">
        <v>0.02</v>
      </c>
      <c r="C10" s="331">
        <v>0.02</v>
      </c>
      <c r="D10" s="331">
        <v>0.02</v>
      </c>
      <c r="E10" s="331">
        <v>0.02</v>
      </c>
      <c r="F10" s="331">
        <v>0.02</v>
      </c>
      <c r="G10" s="331">
        <v>0.02</v>
      </c>
      <c r="H10" s="331">
        <v>0.02</v>
      </c>
      <c r="I10" s="331">
        <v>0.02</v>
      </c>
      <c r="J10" s="331">
        <v>0.02</v>
      </c>
      <c r="K10" s="331">
        <v>0.02</v>
      </c>
      <c r="L10" s="331">
        <v>0.02</v>
      </c>
      <c r="M10" s="331">
        <v>0.02</v>
      </c>
      <c r="N10" s="331">
        <v>0.02</v>
      </c>
      <c r="O10" s="331">
        <v>0.02</v>
      </c>
      <c r="P10" s="331">
        <v>0.02</v>
      </c>
      <c r="Q10" s="331">
        <v>0.02</v>
      </c>
      <c r="R10" s="331">
        <v>0.02</v>
      </c>
    </row>
    <row r="11" spans="1:18" s="19" customFormat="1" x14ac:dyDescent="0.25">
      <c r="A11" s="155" t="str">
        <f>EditableIndexes!E12</f>
        <v>DLC-Thermostat-DI-MSHP</v>
      </c>
      <c r="B11" s="331">
        <v>0.02</v>
      </c>
      <c r="C11" s="331">
        <v>0.02</v>
      </c>
      <c r="D11" s="331">
        <v>0.02</v>
      </c>
      <c r="E11" s="331">
        <v>0.02</v>
      </c>
      <c r="F11" s="331">
        <v>0.02</v>
      </c>
      <c r="G11" s="331">
        <v>0.02</v>
      </c>
      <c r="H11" s="331">
        <v>0.02</v>
      </c>
      <c r="I11" s="331">
        <v>0.02</v>
      </c>
      <c r="J11" s="331">
        <v>0.02</v>
      </c>
      <c r="K11" s="331">
        <v>0.02</v>
      </c>
      <c r="L11" s="331">
        <v>0.02</v>
      </c>
      <c r="M11" s="331">
        <v>0.02</v>
      </c>
      <c r="N11" s="331">
        <v>0.02</v>
      </c>
      <c r="O11" s="331">
        <v>0.02</v>
      </c>
      <c r="P11" s="331">
        <v>0.02</v>
      </c>
      <c r="Q11" s="331">
        <v>0.02</v>
      </c>
      <c r="R11" s="331">
        <v>0.02</v>
      </c>
    </row>
    <row r="12" spans="1:18" s="19" customFormat="1" x14ac:dyDescent="0.25">
      <c r="A12" s="155" t="str">
        <f>EditableIndexes!E13</f>
        <v>DLC-Thermostat-BYOT-MSHP</v>
      </c>
      <c r="B12" s="331">
        <v>0.02</v>
      </c>
      <c r="C12" s="331">
        <v>0.02</v>
      </c>
      <c r="D12" s="331">
        <v>0.02</v>
      </c>
      <c r="E12" s="331">
        <v>0.02</v>
      </c>
      <c r="F12" s="331">
        <v>0.02</v>
      </c>
      <c r="G12" s="331">
        <v>0.02</v>
      </c>
      <c r="H12" s="331">
        <v>0.02</v>
      </c>
      <c r="I12" s="331">
        <v>0.02</v>
      </c>
      <c r="J12" s="331">
        <v>0.02</v>
      </c>
      <c r="K12" s="331">
        <v>0.02</v>
      </c>
      <c r="L12" s="331">
        <v>0.02</v>
      </c>
      <c r="M12" s="331">
        <v>0.02</v>
      </c>
      <c r="N12" s="331">
        <v>0.02</v>
      </c>
      <c r="O12" s="331">
        <v>0.02</v>
      </c>
      <c r="P12" s="331">
        <v>0.02</v>
      </c>
      <c r="Q12" s="331">
        <v>0.02</v>
      </c>
      <c r="R12" s="331">
        <v>0.02</v>
      </c>
    </row>
    <row r="13" spans="1:18" s="19" customFormat="1" x14ac:dyDescent="0.25">
      <c r="A13" s="155" t="str">
        <f>EditableIndexes!E14</f>
        <v>C&amp;I Curtailment-Turnkey-Manual HVAC Control</v>
      </c>
      <c r="B13" s="331">
        <v>0.02</v>
      </c>
      <c r="C13" s="331">
        <v>0.02</v>
      </c>
      <c r="D13" s="331">
        <v>0.02</v>
      </c>
      <c r="E13" s="331">
        <v>0.02</v>
      </c>
      <c r="F13" s="331">
        <v>0.02</v>
      </c>
      <c r="G13" s="331">
        <v>0.02</v>
      </c>
      <c r="H13" s="331">
        <v>0.02</v>
      </c>
      <c r="I13" s="331">
        <v>0.02</v>
      </c>
      <c r="J13" s="331">
        <v>0.02</v>
      </c>
      <c r="K13" s="331">
        <v>0.02</v>
      </c>
      <c r="L13" s="331">
        <v>0.02</v>
      </c>
      <c r="M13" s="331">
        <v>0.02</v>
      </c>
      <c r="N13" s="331">
        <v>0.02</v>
      </c>
      <c r="O13" s="331">
        <v>0.02</v>
      </c>
      <c r="P13" s="331">
        <v>0.02</v>
      </c>
      <c r="Q13" s="331">
        <v>0.02</v>
      </c>
      <c r="R13" s="331">
        <v>0.02</v>
      </c>
    </row>
    <row r="14" spans="1:18" s="19" customFormat="1" x14ac:dyDescent="0.25">
      <c r="A14" s="155" t="str">
        <f>EditableIndexes!E15</f>
        <v>C&amp;I Curtailment-Turnkey-Auto-DR HVAC Control</v>
      </c>
      <c r="B14" s="331">
        <v>0.02</v>
      </c>
      <c r="C14" s="331">
        <v>0.02</v>
      </c>
      <c r="D14" s="331">
        <v>0.02</v>
      </c>
      <c r="E14" s="331">
        <v>0.02</v>
      </c>
      <c r="F14" s="331">
        <v>0.02</v>
      </c>
      <c r="G14" s="331">
        <v>0.02</v>
      </c>
      <c r="H14" s="331">
        <v>0.02</v>
      </c>
      <c r="I14" s="331">
        <v>0.02</v>
      </c>
      <c r="J14" s="331">
        <v>0.02</v>
      </c>
      <c r="K14" s="331">
        <v>0.02</v>
      </c>
      <c r="L14" s="331">
        <v>0.02</v>
      </c>
      <c r="M14" s="331">
        <v>0.02</v>
      </c>
      <c r="N14" s="331">
        <v>0.02</v>
      </c>
      <c r="O14" s="331">
        <v>0.02</v>
      </c>
      <c r="P14" s="331">
        <v>0.02</v>
      </c>
      <c r="Q14" s="331">
        <v>0.02</v>
      </c>
      <c r="R14" s="331">
        <v>0.02</v>
      </c>
    </row>
    <row r="15" spans="1:18" s="19" customFormat="1" x14ac:dyDescent="0.25">
      <c r="A15" s="155" t="str">
        <f>EditableIndexes!E16</f>
        <v>C&amp;I Curtailment-Turnkey-Standard Lighting Control</v>
      </c>
      <c r="B15" s="331">
        <v>0.02</v>
      </c>
      <c r="C15" s="331">
        <v>0.02</v>
      </c>
      <c r="D15" s="331">
        <v>0.02</v>
      </c>
      <c r="E15" s="331">
        <v>0.02</v>
      </c>
      <c r="F15" s="331">
        <v>0.02</v>
      </c>
      <c r="G15" s="331">
        <v>0.02</v>
      </c>
      <c r="H15" s="331">
        <v>0.02</v>
      </c>
      <c r="I15" s="331">
        <v>0.02</v>
      </c>
      <c r="J15" s="331">
        <v>0.02</v>
      </c>
      <c r="K15" s="331">
        <v>0.02</v>
      </c>
      <c r="L15" s="331">
        <v>0.02</v>
      </c>
      <c r="M15" s="331">
        <v>0.02</v>
      </c>
      <c r="N15" s="331">
        <v>0.02</v>
      </c>
      <c r="O15" s="331">
        <v>0.02</v>
      </c>
      <c r="P15" s="331">
        <v>0.02</v>
      </c>
      <c r="Q15" s="331">
        <v>0.02</v>
      </c>
      <c r="R15" s="331">
        <v>0.02</v>
      </c>
    </row>
    <row r="16" spans="1:18" s="19" customFormat="1" x14ac:dyDescent="0.25">
      <c r="A16" s="155" t="str">
        <f>EditableIndexes!E17</f>
        <v>C&amp;I Curtailment-Turnkey-Advanced Lighting Control</v>
      </c>
      <c r="B16" s="331">
        <v>0.02</v>
      </c>
      <c r="C16" s="331">
        <v>0.02</v>
      </c>
      <c r="D16" s="331">
        <v>0.02</v>
      </c>
      <c r="E16" s="331">
        <v>0.02</v>
      </c>
      <c r="F16" s="331">
        <v>0.02</v>
      </c>
      <c r="G16" s="331">
        <v>0.02</v>
      </c>
      <c r="H16" s="331">
        <v>0.02</v>
      </c>
      <c r="I16" s="331">
        <v>0.02</v>
      </c>
      <c r="J16" s="331">
        <v>0.02</v>
      </c>
      <c r="K16" s="331">
        <v>0.02</v>
      </c>
      <c r="L16" s="331">
        <v>0.02</v>
      </c>
      <c r="M16" s="331">
        <v>0.02</v>
      </c>
      <c r="N16" s="331">
        <v>0.02</v>
      </c>
      <c r="O16" s="331">
        <v>0.02</v>
      </c>
      <c r="P16" s="331">
        <v>0.02</v>
      </c>
      <c r="Q16" s="331">
        <v>0.02</v>
      </c>
      <c r="R16" s="331">
        <v>0.02</v>
      </c>
    </row>
    <row r="17" spans="1:18" s="19" customFormat="1" x14ac:dyDescent="0.25">
      <c r="A17" s="155" t="str">
        <f>EditableIndexes!E18</f>
        <v>C&amp;I Curtailment-Turnkey-Water Heating Control</v>
      </c>
      <c r="B17" s="331">
        <v>0.02</v>
      </c>
      <c r="C17" s="331">
        <v>0.02</v>
      </c>
      <c r="D17" s="331">
        <v>0.02</v>
      </c>
      <c r="E17" s="331">
        <v>0.02</v>
      </c>
      <c r="F17" s="331">
        <v>0.02</v>
      </c>
      <c r="G17" s="331">
        <v>0.02</v>
      </c>
      <c r="H17" s="331">
        <v>0.02</v>
      </c>
      <c r="I17" s="331">
        <v>0.02</v>
      </c>
      <c r="J17" s="331">
        <v>0.02</v>
      </c>
      <c r="K17" s="331">
        <v>0.02</v>
      </c>
      <c r="L17" s="331">
        <v>0.02</v>
      </c>
      <c r="M17" s="331">
        <v>0.02</v>
      </c>
      <c r="N17" s="331">
        <v>0.02</v>
      </c>
      <c r="O17" s="331">
        <v>0.02</v>
      </c>
      <c r="P17" s="331">
        <v>0.02</v>
      </c>
      <c r="Q17" s="331">
        <v>0.02</v>
      </c>
      <c r="R17" s="331">
        <v>0.02</v>
      </c>
    </row>
    <row r="18" spans="1:18" s="19" customFormat="1" x14ac:dyDescent="0.25">
      <c r="A18" s="155" t="str">
        <f>EditableIndexes!E19</f>
        <v>C&amp;I Curtailment-Turnkey-Other</v>
      </c>
      <c r="B18" s="331">
        <v>0.02</v>
      </c>
      <c r="C18" s="331">
        <v>0.02</v>
      </c>
      <c r="D18" s="331">
        <v>0.02</v>
      </c>
      <c r="E18" s="331">
        <v>0.02</v>
      </c>
      <c r="F18" s="331">
        <v>0.02</v>
      </c>
      <c r="G18" s="331">
        <v>0.02</v>
      </c>
      <c r="H18" s="331">
        <v>0.02</v>
      </c>
      <c r="I18" s="331">
        <v>0.02</v>
      </c>
      <c r="J18" s="331">
        <v>0.02</v>
      </c>
      <c r="K18" s="331">
        <v>0.02</v>
      </c>
      <c r="L18" s="331">
        <v>0.02</v>
      </c>
      <c r="M18" s="331">
        <v>0.02</v>
      </c>
      <c r="N18" s="331">
        <v>0.02</v>
      </c>
      <c r="O18" s="331">
        <v>0.02</v>
      </c>
      <c r="P18" s="331">
        <v>0.02</v>
      </c>
      <c r="Q18" s="331">
        <v>0.02</v>
      </c>
      <c r="R18" s="331">
        <v>0.02</v>
      </c>
    </row>
    <row r="19" spans="1:18" s="19" customFormat="1" x14ac:dyDescent="0.25">
      <c r="A19" s="155" t="str">
        <f>EditableIndexes!E20</f>
        <v>C&amp;I Curtailment-Turnkey-Industrial</v>
      </c>
      <c r="B19" s="331">
        <v>0.02</v>
      </c>
      <c r="C19" s="331">
        <v>0.02</v>
      </c>
      <c r="D19" s="331">
        <v>0.02</v>
      </c>
      <c r="E19" s="331">
        <v>0.02</v>
      </c>
      <c r="F19" s="331">
        <v>0.02</v>
      </c>
      <c r="G19" s="331">
        <v>0.02</v>
      </c>
      <c r="H19" s="331">
        <v>0.02</v>
      </c>
      <c r="I19" s="331">
        <v>0.02</v>
      </c>
      <c r="J19" s="331">
        <v>0.02</v>
      </c>
      <c r="K19" s="331">
        <v>0.02</v>
      </c>
      <c r="L19" s="331">
        <v>0.02</v>
      </c>
      <c r="M19" s="331">
        <v>0.02</v>
      </c>
      <c r="N19" s="331">
        <v>0.02</v>
      </c>
      <c r="O19" s="331">
        <v>0.02</v>
      </c>
      <c r="P19" s="331">
        <v>0.02</v>
      </c>
      <c r="Q19" s="331">
        <v>0.02</v>
      </c>
      <c r="R19" s="331">
        <v>0.02</v>
      </c>
    </row>
    <row r="20" spans="1:18" s="19" customFormat="1" x14ac:dyDescent="0.25">
      <c r="A20" s="155" t="str">
        <f>EditableIndexes!E21</f>
        <v>C&amp;I Curtailment-Enabling Tech-Manual HVAC Control</v>
      </c>
      <c r="B20" s="331">
        <v>0.02</v>
      </c>
      <c r="C20" s="331">
        <v>0.02</v>
      </c>
      <c r="D20" s="331">
        <v>0.02</v>
      </c>
      <c r="E20" s="331">
        <v>0.02</v>
      </c>
      <c r="F20" s="331">
        <v>0.02</v>
      </c>
      <c r="G20" s="331">
        <v>0.02</v>
      </c>
      <c r="H20" s="331">
        <v>0.02</v>
      </c>
      <c r="I20" s="331">
        <v>0.02</v>
      </c>
      <c r="J20" s="331">
        <v>0.02</v>
      </c>
      <c r="K20" s="331">
        <v>0.02</v>
      </c>
      <c r="L20" s="331">
        <v>0.02</v>
      </c>
      <c r="M20" s="331">
        <v>0.02</v>
      </c>
      <c r="N20" s="331">
        <v>0.02</v>
      </c>
      <c r="O20" s="331">
        <v>0.02</v>
      </c>
      <c r="P20" s="331">
        <v>0.02</v>
      </c>
      <c r="Q20" s="331">
        <v>0.02</v>
      </c>
      <c r="R20" s="331">
        <v>0.02</v>
      </c>
    </row>
    <row r="21" spans="1:18" s="19" customFormat="1" x14ac:dyDescent="0.25">
      <c r="A21" s="155" t="str">
        <f>EditableIndexes!E22</f>
        <v>C&amp;I Curtailment-Enabling Tech-Auto-DR HVAC Control</v>
      </c>
      <c r="B21" s="331">
        <v>0.02</v>
      </c>
      <c r="C21" s="331">
        <v>0.02</v>
      </c>
      <c r="D21" s="331">
        <v>0.02</v>
      </c>
      <c r="E21" s="331">
        <v>0.02</v>
      </c>
      <c r="F21" s="331">
        <v>0.02</v>
      </c>
      <c r="G21" s="331">
        <v>0.02</v>
      </c>
      <c r="H21" s="331">
        <v>0.02</v>
      </c>
      <c r="I21" s="331">
        <v>0.02</v>
      </c>
      <c r="J21" s="331">
        <v>0.02</v>
      </c>
      <c r="K21" s="331">
        <v>0.02</v>
      </c>
      <c r="L21" s="331">
        <v>0.02</v>
      </c>
      <c r="M21" s="331">
        <v>0.02</v>
      </c>
      <c r="N21" s="331">
        <v>0.02</v>
      </c>
      <c r="O21" s="331">
        <v>0.02</v>
      </c>
      <c r="P21" s="331">
        <v>0.02</v>
      </c>
      <c r="Q21" s="331">
        <v>0.02</v>
      </c>
      <c r="R21" s="331">
        <v>0.02</v>
      </c>
    </row>
    <row r="22" spans="1:18" s="19" customFormat="1" x14ac:dyDescent="0.25">
      <c r="A22" s="155" t="str">
        <f>EditableIndexes!E23</f>
        <v>C&amp;I Curtailment-Enabling Tech-Standard Lighting Control</v>
      </c>
      <c r="B22" s="331">
        <v>0.02</v>
      </c>
      <c r="C22" s="331">
        <v>0.02</v>
      </c>
      <c r="D22" s="331">
        <v>0.02</v>
      </c>
      <c r="E22" s="331">
        <v>0.02</v>
      </c>
      <c r="F22" s="331">
        <v>0.02</v>
      </c>
      <c r="G22" s="331">
        <v>0.02</v>
      </c>
      <c r="H22" s="331">
        <v>0.02</v>
      </c>
      <c r="I22" s="331">
        <v>0.02</v>
      </c>
      <c r="J22" s="331">
        <v>0.02</v>
      </c>
      <c r="K22" s="331">
        <v>0.02</v>
      </c>
      <c r="L22" s="331">
        <v>0.02</v>
      </c>
      <c r="M22" s="331">
        <v>0.02</v>
      </c>
      <c r="N22" s="331">
        <v>0.02</v>
      </c>
      <c r="O22" s="331">
        <v>0.02</v>
      </c>
      <c r="P22" s="331">
        <v>0.02</v>
      </c>
      <c r="Q22" s="331">
        <v>0.02</v>
      </c>
      <c r="R22" s="331">
        <v>0.02</v>
      </c>
    </row>
    <row r="23" spans="1:18" s="19" customFormat="1" x14ac:dyDescent="0.25">
      <c r="A23" s="155" t="str">
        <f>EditableIndexes!E24</f>
        <v>C&amp;I Curtailment-Enabling Tech-Advanced Lighting Control</v>
      </c>
      <c r="B23" s="331">
        <v>0.02</v>
      </c>
      <c r="C23" s="331">
        <v>0.02</v>
      </c>
      <c r="D23" s="331">
        <v>0.02</v>
      </c>
      <c r="E23" s="331">
        <v>0.02</v>
      </c>
      <c r="F23" s="331">
        <v>0.02</v>
      </c>
      <c r="G23" s="331">
        <v>0.02</v>
      </c>
      <c r="H23" s="331">
        <v>0.02</v>
      </c>
      <c r="I23" s="331">
        <v>0.02</v>
      </c>
      <c r="J23" s="331">
        <v>0.02</v>
      </c>
      <c r="K23" s="331">
        <v>0.02</v>
      </c>
      <c r="L23" s="331">
        <v>0.02</v>
      </c>
      <c r="M23" s="331">
        <v>0.02</v>
      </c>
      <c r="N23" s="331">
        <v>0.02</v>
      </c>
      <c r="O23" s="331">
        <v>0.02</v>
      </c>
      <c r="P23" s="331">
        <v>0.02</v>
      </c>
      <c r="Q23" s="331">
        <v>0.02</v>
      </c>
      <c r="R23" s="331">
        <v>0.02</v>
      </c>
    </row>
    <row r="24" spans="1:18" s="19" customFormat="1" x14ac:dyDescent="0.25">
      <c r="A24" s="155" t="str">
        <f>EditableIndexes!E25</f>
        <v>C&amp;I Curtailment-Enabling Tech-Water Heating Control</v>
      </c>
      <c r="B24" s="331">
        <v>0.02</v>
      </c>
      <c r="C24" s="331">
        <v>0.02</v>
      </c>
      <c r="D24" s="331">
        <v>0.02</v>
      </c>
      <c r="E24" s="331">
        <v>0.02</v>
      </c>
      <c r="F24" s="331">
        <v>0.02</v>
      </c>
      <c r="G24" s="331">
        <v>0.02</v>
      </c>
      <c r="H24" s="331">
        <v>0.02</v>
      </c>
      <c r="I24" s="331">
        <v>0.02</v>
      </c>
      <c r="J24" s="331">
        <v>0.02</v>
      </c>
      <c r="K24" s="331">
        <v>0.02</v>
      </c>
      <c r="L24" s="331">
        <v>0.02</v>
      </c>
      <c r="M24" s="331">
        <v>0.02</v>
      </c>
      <c r="N24" s="331">
        <v>0.02</v>
      </c>
      <c r="O24" s="331">
        <v>0.02</v>
      </c>
      <c r="P24" s="331">
        <v>0.02</v>
      </c>
      <c r="Q24" s="331">
        <v>0.02</v>
      </c>
      <c r="R24" s="331">
        <v>0.02</v>
      </c>
    </row>
    <row r="25" spans="1:18" s="19" customFormat="1" x14ac:dyDescent="0.25">
      <c r="A25" s="155" t="str">
        <f>EditableIndexes!E26</f>
        <v>C&amp;I Curtailment-Enabling Tech-Other</v>
      </c>
      <c r="B25" s="331">
        <v>0.02</v>
      </c>
      <c r="C25" s="331">
        <v>0.02</v>
      </c>
      <c r="D25" s="331">
        <v>0.02</v>
      </c>
      <c r="E25" s="331">
        <v>0.02</v>
      </c>
      <c r="F25" s="331">
        <v>0.02</v>
      </c>
      <c r="G25" s="331">
        <v>0.02</v>
      </c>
      <c r="H25" s="331">
        <v>0.02</v>
      </c>
      <c r="I25" s="331">
        <v>0.02</v>
      </c>
      <c r="J25" s="331">
        <v>0.02</v>
      </c>
      <c r="K25" s="331">
        <v>0.02</v>
      </c>
      <c r="L25" s="331">
        <v>0.02</v>
      </c>
      <c r="M25" s="331">
        <v>0.02</v>
      </c>
      <c r="N25" s="331">
        <v>0.02</v>
      </c>
      <c r="O25" s="331">
        <v>0.02</v>
      </c>
      <c r="P25" s="331">
        <v>0.02</v>
      </c>
      <c r="Q25" s="331">
        <v>0.02</v>
      </c>
      <c r="R25" s="331">
        <v>0.02</v>
      </c>
    </row>
    <row r="26" spans="1:18" s="19" customFormat="1" x14ac:dyDescent="0.25">
      <c r="A26" s="155" t="str">
        <f>EditableIndexes!E27</f>
        <v>C&amp;I Curtailment-Enabling Tech-Industrial</v>
      </c>
      <c r="B26" s="331">
        <v>0.02</v>
      </c>
      <c r="C26" s="331">
        <v>0.02</v>
      </c>
      <c r="D26" s="331">
        <v>0.02</v>
      </c>
      <c r="E26" s="331">
        <v>0.02</v>
      </c>
      <c r="F26" s="331">
        <v>0.02</v>
      </c>
      <c r="G26" s="331">
        <v>0.02</v>
      </c>
      <c r="H26" s="331">
        <v>0.02</v>
      </c>
      <c r="I26" s="331">
        <v>0.02</v>
      </c>
      <c r="J26" s="331">
        <v>0.02</v>
      </c>
      <c r="K26" s="331">
        <v>0.02</v>
      </c>
      <c r="L26" s="331">
        <v>0.02</v>
      </c>
      <c r="M26" s="331">
        <v>0.02</v>
      </c>
      <c r="N26" s="331">
        <v>0.02</v>
      </c>
      <c r="O26" s="331">
        <v>0.02</v>
      </c>
      <c r="P26" s="331">
        <v>0.02</v>
      </c>
      <c r="Q26" s="331">
        <v>0.02</v>
      </c>
      <c r="R26" s="331">
        <v>0.02</v>
      </c>
    </row>
    <row r="27" spans="1:18" s="19" customFormat="1" x14ac:dyDescent="0.25">
      <c r="A27" s="155" t="str">
        <f>EditableIndexes!E28</f>
        <v>Dynamic Pricing with enabling tech.</v>
      </c>
      <c r="B27" s="331">
        <v>0.02</v>
      </c>
      <c r="C27" s="331">
        <v>0.02</v>
      </c>
      <c r="D27" s="331">
        <v>0.02</v>
      </c>
      <c r="E27" s="331">
        <v>0.02</v>
      </c>
      <c r="F27" s="331">
        <v>0.02</v>
      </c>
      <c r="G27" s="331">
        <v>0.02</v>
      </c>
      <c r="H27" s="331">
        <v>0.02</v>
      </c>
      <c r="I27" s="331">
        <v>0.02</v>
      </c>
      <c r="J27" s="331">
        <v>0.02</v>
      </c>
      <c r="K27" s="331">
        <v>0.02</v>
      </c>
      <c r="L27" s="331">
        <v>0.02</v>
      </c>
      <c r="M27" s="331">
        <v>0.02</v>
      </c>
      <c r="N27" s="331">
        <v>0.02</v>
      </c>
      <c r="O27" s="331">
        <v>0.02</v>
      </c>
      <c r="P27" s="331">
        <v>0.02</v>
      </c>
      <c r="Q27" s="331">
        <v>0.02</v>
      </c>
      <c r="R27" s="331">
        <v>0.02</v>
      </c>
    </row>
    <row r="28" spans="1:18" s="19" customFormat="1" x14ac:dyDescent="0.25">
      <c r="A28" s="155" t="str">
        <f>EditableIndexes!E29</f>
        <v>Dynamic Pricing w/o enabling tech.</v>
      </c>
      <c r="B28" s="331">
        <v>0.02</v>
      </c>
      <c r="C28" s="331">
        <v>0.02</v>
      </c>
      <c r="D28" s="331">
        <v>0.02</v>
      </c>
      <c r="E28" s="331">
        <v>0.02</v>
      </c>
      <c r="F28" s="331">
        <v>0.02</v>
      </c>
      <c r="G28" s="331">
        <v>0.02</v>
      </c>
      <c r="H28" s="331">
        <v>0.02</v>
      </c>
      <c r="I28" s="331">
        <v>0.02</v>
      </c>
      <c r="J28" s="331">
        <v>0.02</v>
      </c>
      <c r="K28" s="331">
        <v>0.02</v>
      </c>
      <c r="L28" s="331">
        <v>0.02</v>
      </c>
      <c r="M28" s="331">
        <v>0.02</v>
      </c>
      <c r="N28" s="331">
        <v>0.02</v>
      </c>
      <c r="O28" s="331">
        <v>0.02</v>
      </c>
      <c r="P28" s="331">
        <v>0.02</v>
      </c>
      <c r="Q28" s="331">
        <v>0.02</v>
      </c>
      <c r="R28" s="331">
        <v>0.02</v>
      </c>
    </row>
    <row r="29" spans="1:18" s="19" customFormat="1" x14ac:dyDescent="0.25">
      <c r="A29" s="155" t="str">
        <f>EditableIndexes!E30</f>
        <v>Time-of-Use Rates (TOU)</v>
      </c>
      <c r="B29" s="331">
        <v>0.02</v>
      </c>
      <c r="C29" s="331">
        <v>0.02</v>
      </c>
      <c r="D29" s="331">
        <v>0.02</v>
      </c>
      <c r="E29" s="331">
        <v>0.02</v>
      </c>
      <c r="F29" s="331">
        <v>0.02</v>
      </c>
      <c r="G29" s="331">
        <v>0.02</v>
      </c>
      <c r="H29" s="331">
        <v>0.02</v>
      </c>
      <c r="I29" s="331">
        <v>0.02</v>
      </c>
      <c r="J29" s="331">
        <v>0.02</v>
      </c>
      <c r="K29" s="331">
        <v>0.02</v>
      </c>
      <c r="L29" s="331">
        <v>0.02</v>
      </c>
      <c r="M29" s="331">
        <v>0.02</v>
      </c>
      <c r="N29" s="331">
        <v>0.02</v>
      </c>
      <c r="O29" s="331">
        <v>0.02</v>
      </c>
      <c r="P29" s="331">
        <v>0.02</v>
      </c>
      <c r="Q29" s="331">
        <v>0.02</v>
      </c>
      <c r="R29" s="331">
        <v>0.02</v>
      </c>
    </row>
    <row r="30" spans="1:18" s="19" customFormat="1" x14ac:dyDescent="0.25">
      <c r="A30" s="155" t="str">
        <f>EditableIndexes!E31</f>
        <v>BTM Battery Control</v>
      </c>
      <c r="B30" s="331">
        <v>0.02</v>
      </c>
      <c r="C30" s="331">
        <v>0.02</v>
      </c>
      <c r="D30" s="331">
        <v>0.02</v>
      </c>
      <c r="E30" s="331">
        <v>0.02</v>
      </c>
      <c r="F30" s="331">
        <v>0.02</v>
      </c>
      <c r="G30" s="331">
        <v>0.02</v>
      </c>
      <c r="H30" s="331">
        <v>0.02</v>
      </c>
      <c r="I30" s="331">
        <v>0.02</v>
      </c>
      <c r="J30" s="331">
        <v>0.02</v>
      </c>
      <c r="K30" s="331">
        <v>0.02</v>
      </c>
      <c r="L30" s="331">
        <v>0.02</v>
      </c>
      <c r="M30" s="331">
        <v>0.02</v>
      </c>
      <c r="N30" s="331">
        <v>0.02</v>
      </c>
      <c r="O30" s="331">
        <v>0.02</v>
      </c>
      <c r="P30" s="331">
        <v>0.02</v>
      </c>
      <c r="Q30" s="331">
        <v>0.02</v>
      </c>
      <c r="R30" s="331">
        <v>0.02</v>
      </c>
    </row>
    <row r="31" spans="1:18" s="19" customFormat="1" x14ac:dyDescent="0.25">
      <c r="A31" s="155" t="str">
        <f>EditableIndexes!E32</f>
        <v>EV Charging Control</v>
      </c>
      <c r="B31" s="331">
        <v>0.02</v>
      </c>
      <c r="C31" s="331">
        <v>0.02</v>
      </c>
      <c r="D31" s="331">
        <v>0.02</v>
      </c>
      <c r="E31" s="331">
        <v>0.02</v>
      </c>
      <c r="F31" s="331">
        <v>0.02</v>
      </c>
      <c r="G31" s="331">
        <v>0.02</v>
      </c>
      <c r="H31" s="331">
        <v>0.02</v>
      </c>
      <c r="I31" s="331">
        <v>0.02</v>
      </c>
      <c r="J31" s="331">
        <v>0.02</v>
      </c>
      <c r="K31" s="331">
        <v>0.02</v>
      </c>
      <c r="L31" s="331">
        <v>0.02</v>
      </c>
      <c r="M31" s="331">
        <v>0.02</v>
      </c>
      <c r="N31" s="331">
        <v>0.02</v>
      </c>
      <c r="O31" s="331">
        <v>0.02</v>
      </c>
      <c r="P31" s="331">
        <v>0.02</v>
      </c>
      <c r="Q31" s="331">
        <v>0.02</v>
      </c>
      <c r="R31" s="331">
        <v>0.02</v>
      </c>
    </row>
    <row r="32" spans="1:18" s="19" customFormat="1" x14ac:dyDescent="0.25">
      <c r="A32" s="155" t="str">
        <f>EditableIndexes!E33</f>
        <v>Behavioral DR</v>
      </c>
      <c r="B32" s="331">
        <v>0.02</v>
      </c>
      <c r="C32" s="331">
        <v>0.02</v>
      </c>
      <c r="D32" s="331">
        <v>0.02</v>
      </c>
      <c r="E32" s="331">
        <v>0.02</v>
      </c>
      <c r="F32" s="331">
        <v>0.02</v>
      </c>
      <c r="G32" s="331">
        <v>0.02</v>
      </c>
      <c r="H32" s="331">
        <v>0.02</v>
      </c>
      <c r="I32" s="331">
        <v>0.02</v>
      </c>
      <c r="J32" s="331">
        <v>0.02</v>
      </c>
      <c r="K32" s="331">
        <v>0.02</v>
      </c>
      <c r="L32" s="331">
        <v>0.02</v>
      </c>
      <c r="M32" s="331">
        <v>0.02</v>
      </c>
      <c r="N32" s="331">
        <v>0.02</v>
      </c>
      <c r="O32" s="331">
        <v>0.02</v>
      </c>
      <c r="P32" s="331">
        <v>0.02</v>
      </c>
      <c r="Q32" s="331">
        <v>0.02</v>
      </c>
      <c r="R32" s="331">
        <v>0.02</v>
      </c>
    </row>
    <row r="33" spans="1:18" s="19" customFormat="1" x14ac:dyDescent="0.25">
      <c r="A33" s="20"/>
      <c r="B33" s="20"/>
      <c r="C33" s="20"/>
      <c r="D33" s="20"/>
      <c r="E33" s="20"/>
      <c r="F33" s="20"/>
      <c r="G33" s="20"/>
      <c r="H33" s="20"/>
      <c r="I33" s="20"/>
      <c r="J33" s="20"/>
      <c r="K33" s="20"/>
      <c r="L33" s="20"/>
      <c r="M33" s="20"/>
      <c r="N33" s="20"/>
      <c r="O33" s="20"/>
      <c r="P33" s="20"/>
      <c r="Q33" s="20"/>
      <c r="R33" s="20"/>
    </row>
    <row r="34" spans="1:18" s="19" customFormat="1" x14ac:dyDescent="0.25">
      <c r="A34" s="20"/>
      <c r="B34" s="20"/>
      <c r="C34" s="20"/>
      <c r="D34" s="20"/>
      <c r="E34" s="20"/>
      <c r="F34" s="20"/>
      <c r="G34" s="20"/>
      <c r="H34" s="20"/>
      <c r="I34" s="20"/>
      <c r="J34" s="20"/>
      <c r="K34" s="20"/>
      <c r="L34" s="20"/>
      <c r="M34" s="20"/>
      <c r="N34" s="20"/>
      <c r="O34" s="20"/>
      <c r="P34" s="20"/>
      <c r="Q34" s="20"/>
      <c r="R34" s="20"/>
    </row>
    <row r="35" spans="1:18" s="19" customFormat="1" x14ac:dyDescent="0.25">
      <c r="A35" s="20"/>
      <c r="B35" s="20"/>
      <c r="C35" s="20"/>
      <c r="D35" s="20"/>
      <c r="E35" s="20"/>
      <c r="F35" s="20"/>
      <c r="G35" s="20"/>
      <c r="H35" s="20"/>
      <c r="I35" s="20"/>
      <c r="J35" s="20"/>
      <c r="K35" s="20"/>
      <c r="L35" s="20"/>
      <c r="M35" s="20"/>
      <c r="N35" s="20"/>
      <c r="O35" s="20"/>
      <c r="P35" s="20"/>
      <c r="Q35" s="20"/>
      <c r="R35" s="20"/>
    </row>
    <row r="36" spans="1:18" s="19" customFormat="1" x14ac:dyDescent="0.25">
      <c r="A36" s="20"/>
      <c r="B36" s="20"/>
      <c r="C36" s="20"/>
      <c r="D36" s="20"/>
      <c r="E36" s="20"/>
      <c r="F36" s="20"/>
      <c r="G36" s="20"/>
      <c r="H36" s="20"/>
      <c r="I36" s="20"/>
      <c r="J36" s="20"/>
      <c r="K36" s="20"/>
      <c r="L36" s="20"/>
      <c r="M36" s="20"/>
      <c r="N36" s="20"/>
      <c r="O36" s="20"/>
      <c r="P36" s="20"/>
      <c r="Q36" s="20"/>
      <c r="R36" s="20"/>
    </row>
    <row r="37" spans="1:18" s="19" customFormat="1" x14ac:dyDescent="0.25">
      <c r="A37" s="20"/>
      <c r="B37" s="20"/>
      <c r="C37" s="20"/>
      <c r="D37" s="20"/>
      <c r="E37" s="20"/>
      <c r="F37" s="20"/>
      <c r="G37" s="20"/>
      <c r="H37" s="20"/>
      <c r="I37" s="20"/>
      <c r="J37" s="20"/>
      <c r="K37" s="20"/>
      <c r="L37" s="20"/>
      <c r="M37" s="20"/>
      <c r="N37" s="20"/>
      <c r="O37" s="20"/>
      <c r="P37" s="20"/>
      <c r="Q37" s="20"/>
      <c r="R37" s="20"/>
    </row>
    <row r="38" spans="1:18" s="19" customFormat="1" x14ac:dyDescent="0.25">
      <c r="A38" s="20"/>
      <c r="B38" s="20"/>
      <c r="C38" s="20"/>
      <c r="D38" s="20"/>
      <c r="E38" s="20"/>
      <c r="F38" s="20"/>
      <c r="G38" s="20"/>
      <c r="H38" s="20"/>
      <c r="I38" s="20"/>
      <c r="J38" s="20"/>
      <c r="K38" s="20"/>
      <c r="L38" s="20"/>
      <c r="M38" s="20"/>
      <c r="N38" s="20"/>
      <c r="O38" s="20"/>
      <c r="P38" s="20"/>
      <c r="Q38" s="20"/>
      <c r="R38" s="20"/>
    </row>
    <row r="39" spans="1:18" s="19" customFormat="1" x14ac:dyDescent="0.25">
      <c r="A39" s="20"/>
      <c r="B39" s="20"/>
      <c r="C39" s="20"/>
      <c r="D39" s="20"/>
      <c r="E39" s="20"/>
      <c r="F39" s="20"/>
      <c r="G39" s="20"/>
      <c r="H39" s="20"/>
      <c r="I39" s="20"/>
      <c r="J39" s="20"/>
      <c r="K39" s="20"/>
      <c r="L39" s="20"/>
      <c r="M39" s="20"/>
      <c r="N39" s="20"/>
      <c r="O39" s="20"/>
      <c r="P39" s="20"/>
      <c r="Q39" s="20"/>
      <c r="R39" s="20"/>
    </row>
    <row r="40" spans="1:18" s="19" customFormat="1" x14ac:dyDescent="0.25">
      <c r="C40" s="20"/>
      <c r="D40" s="20"/>
      <c r="E40" s="20"/>
      <c r="F40" s="20"/>
      <c r="G40" s="20"/>
      <c r="H40" s="20"/>
      <c r="I40" s="20"/>
      <c r="J40" s="20"/>
      <c r="K40" s="20"/>
      <c r="L40" s="20"/>
      <c r="M40" s="20"/>
      <c r="N40" s="20"/>
      <c r="O40" s="20"/>
      <c r="P40" s="20"/>
      <c r="Q40" s="20"/>
      <c r="R40" s="20"/>
    </row>
    <row r="41" spans="1:18" s="19" customFormat="1" x14ac:dyDescent="0.25">
      <c r="C41" s="20"/>
      <c r="D41" s="20"/>
      <c r="E41" s="20"/>
      <c r="F41" s="20"/>
      <c r="G41" s="20"/>
      <c r="H41" s="20"/>
      <c r="I41" s="20"/>
      <c r="J41" s="20"/>
      <c r="K41" s="20"/>
      <c r="L41" s="20"/>
      <c r="M41" s="20"/>
      <c r="N41" s="20"/>
      <c r="O41" s="20"/>
      <c r="P41" s="20"/>
      <c r="Q41" s="20"/>
      <c r="R41" s="20"/>
    </row>
    <row r="42" spans="1:18" s="19" customFormat="1" x14ac:dyDescent="0.25">
      <c r="C42" s="20"/>
      <c r="D42" s="20"/>
      <c r="E42" s="20"/>
      <c r="F42" s="20"/>
      <c r="G42" s="20"/>
      <c r="H42" s="20"/>
      <c r="I42" s="20"/>
      <c r="J42" s="20"/>
      <c r="K42" s="20"/>
      <c r="L42" s="20"/>
      <c r="M42" s="20"/>
      <c r="N42" s="20"/>
      <c r="O42" s="20"/>
      <c r="P42" s="20"/>
      <c r="Q42" s="20"/>
      <c r="R42" s="20"/>
    </row>
    <row r="43" spans="1:18" s="19" customFormat="1" x14ac:dyDescent="0.25">
      <c r="C43" s="20"/>
      <c r="D43" s="20"/>
      <c r="E43" s="20"/>
      <c r="F43" s="20"/>
      <c r="G43" s="20"/>
      <c r="H43" s="20"/>
      <c r="I43" s="20"/>
      <c r="J43" s="20"/>
      <c r="K43" s="20"/>
      <c r="L43" s="20"/>
      <c r="M43" s="20"/>
      <c r="N43" s="20"/>
      <c r="O43" s="20"/>
      <c r="P43" s="20"/>
      <c r="Q43" s="20"/>
      <c r="R43" s="20"/>
    </row>
    <row r="44" spans="1:18" s="19" customFormat="1" x14ac:dyDescent="0.25">
      <c r="C44" s="20"/>
      <c r="D44" s="20"/>
      <c r="E44" s="20"/>
      <c r="F44" s="20"/>
      <c r="G44" s="20"/>
      <c r="H44" s="20"/>
      <c r="I44" s="20"/>
      <c r="J44" s="20"/>
      <c r="K44" s="20"/>
      <c r="L44" s="20"/>
      <c r="M44" s="20"/>
      <c r="N44" s="20"/>
      <c r="O44" s="20"/>
      <c r="P44" s="20"/>
      <c r="Q44" s="20"/>
      <c r="R44" s="20"/>
    </row>
    <row r="45" spans="1:18" s="19" customFormat="1" x14ac:dyDescent="0.25">
      <c r="C45" s="20"/>
      <c r="D45" s="20"/>
      <c r="E45" s="20"/>
      <c r="F45" s="20"/>
      <c r="G45" s="20"/>
      <c r="H45" s="20"/>
      <c r="I45" s="20"/>
      <c r="J45" s="20"/>
      <c r="K45" s="20"/>
      <c r="L45" s="20"/>
      <c r="M45" s="20"/>
      <c r="N45" s="20"/>
      <c r="O45" s="20"/>
      <c r="P45" s="20"/>
      <c r="Q45" s="20"/>
      <c r="R45" s="20"/>
    </row>
    <row r="46" spans="1:18" s="19" customFormat="1" x14ac:dyDescent="0.25">
      <c r="C46" s="20"/>
      <c r="D46" s="20"/>
      <c r="E46" s="20"/>
      <c r="F46" s="20"/>
      <c r="G46" s="20"/>
      <c r="H46" s="20"/>
      <c r="I46" s="20"/>
      <c r="J46" s="20"/>
      <c r="K46" s="20"/>
      <c r="L46" s="20"/>
      <c r="M46" s="20"/>
      <c r="N46" s="20"/>
      <c r="O46" s="20"/>
      <c r="P46" s="20"/>
      <c r="Q46" s="20"/>
      <c r="R46" s="20"/>
    </row>
    <row r="47" spans="1:18" s="19" customFormat="1" x14ac:dyDescent="0.25">
      <c r="C47" s="20"/>
      <c r="D47" s="20"/>
      <c r="E47" s="20"/>
      <c r="F47" s="20"/>
      <c r="G47" s="20"/>
      <c r="H47" s="20"/>
      <c r="I47" s="20"/>
      <c r="J47" s="20"/>
      <c r="K47" s="20"/>
      <c r="L47" s="20"/>
      <c r="M47" s="20"/>
      <c r="N47" s="20"/>
      <c r="O47" s="20"/>
      <c r="P47" s="20"/>
      <c r="Q47" s="20"/>
      <c r="R47" s="20"/>
    </row>
    <row r="48" spans="1:18" s="19" customFormat="1" x14ac:dyDescent="0.25">
      <c r="C48" s="20"/>
      <c r="D48" s="20"/>
      <c r="E48" s="20"/>
      <c r="F48" s="20"/>
      <c r="G48" s="20"/>
      <c r="H48" s="20"/>
      <c r="I48" s="20"/>
      <c r="J48" s="20"/>
      <c r="K48" s="20"/>
      <c r="L48" s="20"/>
      <c r="M48" s="20"/>
      <c r="N48" s="20"/>
      <c r="O48" s="20"/>
      <c r="P48" s="20"/>
      <c r="Q48" s="20"/>
      <c r="R48" s="20"/>
    </row>
    <row r="49" spans="3:18" s="19" customFormat="1" x14ac:dyDescent="0.25">
      <c r="C49" s="20"/>
      <c r="D49" s="20"/>
      <c r="E49" s="20"/>
      <c r="F49" s="20"/>
      <c r="G49" s="20"/>
      <c r="H49" s="20"/>
      <c r="I49" s="20"/>
      <c r="J49" s="20"/>
      <c r="K49" s="20"/>
      <c r="L49" s="20"/>
      <c r="M49" s="20"/>
      <c r="N49" s="20"/>
      <c r="O49" s="20"/>
      <c r="P49" s="20"/>
      <c r="Q49" s="20"/>
      <c r="R49" s="20"/>
    </row>
    <row r="50" spans="3:18" s="19" customFormat="1" x14ac:dyDescent="0.25">
      <c r="C50" s="20"/>
      <c r="D50" s="20"/>
      <c r="E50" s="20"/>
      <c r="F50" s="20"/>
      <c r="G50" s="20"/>
      <c r="H50" s="20"/>
      <c r="I50" s="20"/>
      <c r="J50" s="20"/>
      <c r="K50" s="20"/>
      <c r="L50" s="20"/>
      <c r="M50" s="20"/>
      <c r="N50" s="20"/>
      <c r="O50" s="20"/>
      <c r="P50" s="20"/>
      <c r="Q50" s="20"/>
      <c r="R50" s="20"/>
    </row>
    <row r="51" spans="3:18" s="19" customFormat="1" x14ac:dyDescent="0.25">
      <c r="C51" s="20"/>
      <c r="D51" s="20"/>
      <c r="E51" s="20"/>
      <c r="F51" s="20"/>
      <c r="G51" s="20"/>
      <c r="H51" s="20"/>
      <c r="I51" s="20"/>
      <c r="J51" s="20"/>
      <c r="K51" s="20"/>
      <c r="L51" s="20"/>
      <c r="M51" s="20"/>
      <c r="N51" s="20"/>
      <c r="O51" s="20"/>
      <c r="P51" s="20"/>
      <c r="Q51" s="20"/>
      <c r="R51" s="20"/>
    </row>
    <row r="52" spans="3:18" s="19" customFormat="1" x14ac:dyDescent="0.25">
      <c r="C52" s="20"/>
      <c r="D52" s="20"/>
      <c r="E52" s="20"/>
      <c r="F52" s="20"/>
      <c r="G52" s="20"/>
      <c r="H52" s="20"/>
      <c r="I52" s="20"/>
      <c r="J52" s="20"/>
      <c r="K52" s="20"/>
      <c r="L52" s="20"/>
      <c r="M52" s="20"/>
      <c r="N52" s="20"/>
      <c r="O52" s="20"/>
      <c r="P52" s="20"/>
      <c r="Q52" s="20"/>
      <c r="R52" s="20"/>
    </row>
    <row r="53" spans="3:18" s="19" customFormat="1" x14ac:dyDescent="0.25">
      <c r="C53" s="20"/>
      <c r="D53" s="20"/>
      <c r="E53" s="20"/>
      <c r="F53" s="20"/>
      <c r="G53" s="20"/>
      <c r="H53" s="20"/>
      <c r="I53" s="20"/>
      <c r="J53" s="20"/>
      <c r="K53" s="20"/>
      <c r="L53" s="20"/>
      <c r="M53" s="20"/>
      <c r="N53" s="20"/>
      <c r="O53" s="20"/>
      <c r="P53" s="20"/>
      <c r="Q53" s="20"/>
      <c r="R53" s="20"/>
    </row>
    <row r="54" spans="3:18" s="19" customFormat="1" x14ac:dyDescent="0.25">
      <c r="C54" s="20"/>
      <c r="D54" s="20"/>
      <c r="E54" s="20"/>
      <c r="F54" s="20"/>
      <c r="G54" s="20"/>
      <c r="H54" s="20"/>
      <c r="I54" s="20"/>
      <c r="J54" s="20"/>
      <c r="K54" s="20"/>
      <c r="L54" s="20"/>
      <c r="M54" s="20"/>
      <c r="N54" s="20"/>
      <c r="O54" s="20"/>
      <c r="P54" s="20"/>
      <c r="Q54" s="20"/>
      <c r="R54" s="20"/>
    </row>
    <row r="55" spans="3:18" s="19" customFormat="1" x14ac:dyDescent="0.25">
      <c r="C55" s="20"/>
      <c r="D55" s="20"/>
      <c r="E55" s="20"/>
      <c r="F55" s="20"/>
      <c r="G55" s="20"/>
      <c r="H55" s="20"/>
      <c r="I55" s="20"/>
      <c r="J55" s="20"/>
      <c r="K55" s="20"/>
      <c r="L55" s="20"/>
      <c r="M55" s="20"/>
      <c r="N55" s="20"/>
      <c r="O55" s="20"/>
      <c r="P55" s="20"/>
      <c r="Q55" s="20"/>
      <c r="R55" s="20"/>
    </row>
    <row r="56" spans="3:18" s="19" customFormat="1" x14ac:dyDescent="0.25">
      <c r="C56" s="20"/>
      <c r="D56" s="20"/>
      <c r="E56" s="20"/>
      <c r="F56" s="20"/>
      <c r="G56" s="20"/>
      <c r="H56" s="20"/>
      <c r="I56" s="20"/>
      <c r="J56" s="20"/>
      <c r="K56" s="20"/>
      <c r="L56" s="20"/>
      <c r="M56" s="20"/>
      <c r="N56" s="20"/>
      <c r="O56" s="20"/>
      <c r="P56" s="20"/>
      <c r="Q56" s="20"/>
      <c r="R56" s="20"/>
    </row>
    <row r="57" spans="3:18" s="19" customFormat="1" x14ac:dyDescent="0.25">
      <c r="C57" s="20"/>
      <c r="D57" s="20"/>
      <c r="E57" s="20"/>
      <c r="F57" s="20"/>
      <c r="G57" s="20"/>
      <c r="H57" s="20"/>
      <c r="I57" s="20"/>
      <c r="J57" s="20"/>
      <c r="K57" s="20"/>
      <c r="L57" s="20"/>
      <c r="M57" s="20"/>
      <c r="N57" s="20"/>
      <c r="O57" s="20"/>
      <c r="P57" s="20"/>
      <c r="Q57" s="20"/>
      <c r="R57" s="20"/>
    </row>
    <row r="58" spans="3:18" s="19" customFormat="1" x14ac:dyDescent="0.25">
      <c r="C58" s="20"/>
      <c r="D58" s="20"/>
      <c r="E58" s="20"/>
      <c r="F58" s="20"/>
      <c r="G58" s="20"/>
      <c r="H58" s="20"/>
      <c r="I58" s="20"/>
      <c r="J58" s="20"/>
      <c r="K58" s="20"/>
      <c r="L58" s="20"/>
      <c r="M58" s="20"/>
      <c r="N58" s="20"/>
      <c r="O58" s="20"/>
      <c r="P58" s="20"/>
      <c r="Q58" s="20"/>
      <c r="R58" s="20"/>
    </row>
    <row r="59" spans="3:18" s="19" customFormat="1" x14ac:dyDescent="0.25">
      <c r="C59" s="20"/>
      <c r="D59" s="20"/>
      <c r="E59" s="20"/>
      <c r="F59" s="20"/>
      <c r="G59" s="20"/>
      <c r="H59" s="20"/>
      <c r="I59" s="20"/>
      <c r="J59" s="20"/>
      <c r="K59" s="20"/>
      <c r="L59" s="20"/>
      <c r="M59" s="20"/>
      <c r="N59" s="20"/>
      <c r="O59" s="20"/>
      <c r="P59" s="20"/>
      <c r="Q59" s="20"/>
      <c r="R59" s="20"/>
    </row>
    <row r="60" spans="3:18" s="19" customFormat="1" x14ac:dyDescent="0.25">
      <c r="C60" s="20"/>
      <c r="D60" s="20"/>
      <c r="E60" s="20"/>
      <c r="F60" s="20"/>
      <c r="G60" s="20"/>
      <c r="H60" s="20"/>
      <c r="I60" s="20"/>
      <c r="J60" s="20"/>
      <c r="K60" s="20"/>
      <c r="L60" s="20"/>
      <c r="M60" s="20"/>
      <c r="N60" s="20"/>
      <c r="O60" s="20"/>
      <c r="P60" s="20"/>
      <c r="Q60" s="20"/>
      <c r="R60" s="20"/>
    </row>
    <row r="61" spans="3:18" s="19" customFormat="1" x14ac:dyDescent="0.25">
      <c r="C61" s="20"/>
      <c r="D61" s="20"/>
      <c r="E61" s="20"/>
      <c r="F61" s="20"/>
      <c r="G61" s="20"/>
      <c r="H61" s="20"/>
      <c r="I61" s="20"/>
      <c r="J61" s="20"/>
      <c r="K61" s="20"/>
      <c r="L61" s="20"/>
      <c r="M61" s="20"/>
      <c r="N61" s="20"/>
      <c r="O61" s="20"/>
      <c r="P61" s="20"/>
      <c r="Q61" s="20"/>
      <c r="R61" s="20"/>
    </row>
    <row r="62" spans="3:18" s="19" customFormat="1" x14ac:dyDescent="0.25">
      <c r="C62" s="20"/>
      <c r="D62" s="20"/>
      <c r="E62" s="20"/>
      <c r="F62" s="20"/>
      <c r="G62" s="20"/>
      <c r="H62" s="20"/>
      <c r="I62" s="20"/>
      <c r="J62" s="20"/>
      <c r="K62" s="20"/>
      <c r="L62" s="20"/>
      <c r="M62" s="20"/>
      <c r="N62" s="20"/>
      <c r="O62" s="20"/>
      <c r="P62" s="20"/>
      <c r="Q62" s="20"/>
      <c r="R62" s="20"/>
    </row>
    <row r="63" spans="3:18" s="19" customFormat="1" x14ac:dyDescent="0.25">
      <c r="C63" s="20"/>
      <c r="D63" s="20"/>
      <c r="E63" s="20"/>
      <c r="F63" s="20"/>
      <c r="G63" s="20"/>
      <c r="H63" s="20"/>
      <c r="I63" s="20"/>
      <c r="J63" s="20"/>
      <c r="K63" s="20"/>
      <c r="L63" s="20"/>
      <c r="M63" s="20"/>
      <c r="N63" s="20"/>
      <c r="O63" s="20"/>
      <c r="P63" s="20"/>
      <c r="Q63" s="20"/>
      <c r="R63" s="20"/>
    </row>
    <row r="64" spans="3:18" s="19" customFormat="1" x14ac:dyDescent="0.25">
      <c r="C64" s="20"/>
      <c r="D64" s="20"/>
      <c r="E64" s="20"/>
      <c r="F64" s="20"/>
      <c r="G64" s="20"/>
      <c r="H64" s="20"/>
      <c r="I64" s="20"/>
      <c r="J64" s="20"/>
      <c r="K64" s="20"/>
      <c r="L64" s="20"/>
      <c r="M64" s="20"/>
      <c r="N64" s="20"/>
      <c r="O64" s="20"/>
      <c r="P64" s="20"/>
      <c r="Q64" s="20"/>
      <c r="R64" s="20"/>
    </row>
    <row r="65" spans="2:18" s="19" customFormat="1" x14ac:dyDescent="0.25">
      <c r="B65" s="2"/>
      <c r="C65"/>
      <c r="D65"/>
      <c r="E65"/>
      <c r="F65"/>
      <c r="G65"/>
      <c r="H65"/>
      <c r="I65"/>
      <c r="J65"/>
      <c r="K65"/>
      <c r="L65"/>
      <c r="M65"/>
      <c r="N65"/>
      <c r="O65"/>
      <c r="P65"/>
      <c r="Q65"/>
      <c r="R65"/>
    </row>
  </sheetData>
  <pageMargins left="0.7" right="0.7" top="0.75" bottom="0.75" header="0.3" footer="0.3"/>
  <pageSetup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34">
    <tabColor theme="9" tint="-0.499984740745262"/>
  </sheetPr>
  <dimension ref="A1"/>
  <sheetViews>
    <sheetView workbookViewId="0">
      <selection sqref="A1:XFD1048576"/>
    </sheetView>
  </sheetViews>
  <sheetFormatPr defaultColWidth="9.09765625" defaultRowHeight="13.8" x14ac:dyDescent="0.25"/>
  <cols>
    <col min="1" max="1" width="9.09765625" style="405" customWidth="1"/>
    <col min="2" max="16384" width="9.09765625" style="405"/>
  </cols>
  <sheetData/>
  <mergeCells count="1">
    <mergeCell ref="A1:XFD1048576"/>
  </mergeCells>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9">
    <tabColor rgb="FF7030A0"/>
  </sheetPr>
  <dimension ref="A1:V56"/>
  <sheetViews>
    <sheetView zoomScale="80" zoomScaleNormal="80" workbookViewId="0">
      <selection activeCell="E1" sqref="E1"/>
    </sheetView>
  </sheetViews>
  <sheetFormatPr defaultRowHeight="13.8" outlineLevelRow="1" x14ac:dyDescent="0.25"/>
  <cols>
    <col min="1" max="1" width="20.69921875" style="8" customWidth="1"/>
    <col min="2" max="2" width="23.796875" customWidth="1"/>
    <col min="3" max="3" width="13.69921875" customWidth="1"/>
    <col min="4" max="4" width="16" customWidth="1"/>
    <col min="5" max="5" width="11.5" customWidth="1"/>
    <col min="6" max="6" width="9.09765625" customWidth="1"/>
    <col min="7" max="16" width="11.5" customWidth="1"/>
    <col min="17" max="19" width="11.796875" customWidth="1"/>
    <col min="20" max="20" width="11.19921875" customWidth="1"/>
    <col min="21" max="22" width="0" hidden="1" customWidth="1"/>
    <col min="25" max="25" width="28.59765625" customWidth="1"/>
  </cols>
  <sheetData>
    <row r="1" spans="1:22" ht="57" customHeight="1" outlineLevel="1" x14ac:dyDescent="0.25">
      <c r="A1" s="7"/>
    </row>
    <row r="2" spans="1:22" ht="17.25" customHeight="1" outlineLevel="1" x14ac:dyDescent="0.25">
      <c r="A2" s="136" t="s">
        <v>7</v>
      </c>
      <c r="B2" s="141" t="s">
        <v>461</v>
      </c>
      <c r="C2" s="10"/>
      <c r="D2" s="18"/>
      <c r="E2" s="18"/>
      <c r="F2" s="18"/>
      <c r="G2" s="18"/>
      <c r="H2" s="18"/>
      <c r="I2" s="18"/>
      <c r="J2" s="18"/>
      <c r="K2" s="18"/>
      <c r="L2" s="30"/>
      <c r="M2" s="30"/>
      <c r="N2" s="30"/>
      <c r="O2" s="30"/>
      <c r="P2" s="30"/>
      <c r="Q2" s="10"/>
      <c r="R2" s="3"/>
      <c r="S2" s="3"/>
      <c r="T2" s="3"/>
    </row>
    <row r="3" spans="1:22" s="2" customFormat="1" ht="28.8" x14ac:dyDescent="0.3">
      <c r="A3" s="135" t="s">
        <v>462</v>
      </c>
      <c r="B3" s="142" t="s">
        <v>463</v>
      </c>
      <c r="C3" s="142" t="s">
        <v>315</v>
      </c>
      <c r="D3" s="136">
        <v>2021</v>
      </c>
      <c r="E3" s="136">
        <v>2022</v>
      </c>
      <c r="F3" s="136">
        <v>2023</v>
      </c>
      <c r="G3" s="136">
        <v>2024</v>
      </c>
      <c r="H3" s="136">
        <v>2025</v>
      </c>
      <c r="I3" s="136">
        <v>2026</v>
      </c>
      <c r="J3" s="136">
        <v>2027</v>
      </c>
      <c r="K3" s="136">
        <v>2028</v>
      </c>
      <c r="L3" s="136">
        <v>2029</v>
      </c>
      <c r="M3" s="136">
        <v>2030</v>
      </c>
      <c r="N3" s="136">
        <v>2031</v>
      </c>
      <c r="O3" s="136">
        <v>2032</v>
      </c>
      <c r="P3" s="136">
        <v>2033</v>
      </c>
      <c r="Q3" s="136">
        <v>2034</v>
      </c>
      <c r="R3" s="136">
        <v>2035</v>
      </c>
      <c r="S3" s="136">
        <v>2036</v>
      </c>
      <c r="T3" s="136">
        <v>2037</v>
      </c>
      <c r="U3" s="333"/>
      <c r="V3" s="150" t="s">
        <v>458</v>
      </c>
    </row>
    <row r="4" spans="1:22" x14ac:dyDescent="0.25">
      <c r="A4" s="150" t="s">
        <v>46</v>
      </c>
      <c r="B4" s="139" t="s">
        <v>46</v>
      </c>
      <c r="C4" s="139" t="s">
        <v>397</v>
      </c>
      <c r="D4" s="336">
        <v>0.24779999999999999</v>
      </c>
      <c r="E4" s="336">
        <v>0.59460000000000002</v>
      </c>
      <c r="F4" s="336">
        <v>1.0842000000000001</v>
      </c>
      <c r="G4" s="336">
        <v>1.7849999999999999</v>
      </c>
      <c r="H4" s="336">
        <v>2.8014000000000001</v>
      </c>
      <c r="I4" s="336">
        <v>4.2942</v>
      </c>
      <c r="J4" s="336">
        <v>6.5118</v>
      </c>
      <c r="K4" s="336">
        <v>9.8471999999999991</v>
      </c>
      <c r="L4" s="336">
        <v>14.9238</v>
      </c>
      <c r="M4" s="336">
        <v>22.677</v>
      </c>
      <c r="N4" s="336">
        <v>34.658999999999999</v>
      </c>
      <c r="O4" s="336">
        <v>52.642901954038472</v>
      </c>
      <c r="P4" s="336">
        <v>79.958623055589584</v>
      </c>
      <c r="Q4" s="336">
        <v>121.44842995092634</v>
      </c>
      <c r="R4" s="336">
        <v>184.46723402396188</v>
      </c>
      <c r="S4" s="336">
        <v>280.18639889773243</v>
      </c>
      <c r="T4" s="336">
        <v>425.57409164914679</v>
      </c>
      <c r="U4" s="159"/>
      <c r="V4" s="151">
        <f>((T4/D4)^(1/($T$3-$D$3)))-1</f>
        <v>0.59286737594826211</v>
      </c>
    </row>
    <row r="5" spans="1:22" x14ac:dyDescent="0.25">
      <c r="A5" s="150" t="s">
        <v>46</v>
      </c>
      <c r="B5" s="139" t="s">
        <v>46</v>
      </c>
      <c r="C5" s="139" t="s">
        <v>435</v>
      </c>
      <c r="D5" s="336">
        <v>0.24779999999999999</v>
      </c>
      <c r="E5" s="336">
        <v>0.59460000000000002</v>
      </c>
      <c r="F5" s="336">
        <v>1.0842000000000001</v>
      </c>
      <c r="G5" s="336">
        <v>1.7849999999999999</v>
      </c>
      <c r="H5" s="336">
        <v>2.8014000000000001</v>
      </c>
      <c r="I5" s="336">
        <v>4.2942</v>
      </c>
      <c r="J5" s="336">
        <v>6.5118</v>
      </c>
      <c r="K5" s="336">
        <v>9.8471999999999991</v>
      </c>
      <c r="L5" s="336">
        <v>14.9238</v>
      </c>
      <c r="M5" s="336">
        <v>22.677</v>
      </c>
      <c r="N5" s="336">
        <v>34.658999999999999</v>
      </c>
      <c r="O5" s="336">
        <v>52.642901954038472</v>
      </c>
      <c r="P5" s="336">
        <v>79.958623055589584</v>
      </c>
      <c r="Q5" s="336">
        <v>121.44842995092634</v>
      </c>
      <c r="R5" s="336">
        <v>184.46723402396188</v>
      </c>
      <c r="S5" s="336">
        <v>280.18639889773243</v>
      </c>
      <c r="T5" s="336">
        <v>425.57409164914679</v>
      </c>
      <c r="U5" s="159"/>
      <c r="V5" s="151">
        <f>((T5/D5)^(1/($T$3-$D$3)))-1</f>
        <v>0.59286737594826211</v>
      </c>
    </row>
    <row r="6" spans="1:22" x14ac:dyDescent="0.25">
      <c r="A6" s="150" t="s">
        <v>46</v>
      </c>
      <c r="B6" s="139" t="s">
        <v>46</v>
      </c>
      <c r="C6" s="139" t="s">
        <v>440</v>
      </c>
      <c r="D6" s="336">
        <v>0.24779999999999999</v>
      </c>
      <c r="E6" s="336">
        <v>0.59460000000000002</v>
      </c>
      <c r="F6" s="336">
        <v>1.0842000000000001</v>
      </c>
      <c r="G6" s="336">
        <v>1.7849999999999999</v>
      </c>
      <c r="H6" s="336">
        <v>2.8014000000000001</v>
      </c>
      <c r="I6" s="336">
        <v>4.2942</v>
      </c>
      <c r="J6" s="336">
        <v>6.5118</v>
      </c>
      <c r="K6" s="336">
        <v>9.8471999999999991</v>
      </c>
      <c r="L6" s="336">
        <v>14.9238</v>
      </c>
      <c r="M6" s="336">
        <v>22.677</v>
      </c>
      <c r="N6" s="336">
        <v>34.658999999999999</v>
      </c>
      <c r="O6" s="336">
        <v>52.642901954038472</v>
      </c>
      <c r="P6" s="336">
        <v>79.958623055589584</v>
      </c>
      <c r="Q6" s="336">
        <v>121.44842995092634</v>
      </c>
      <c r="R6" s="336">
        <v>184.46723402396188</v>
      </c>
      <c r="S6" s="336">
        <v>280.18639889773243</v>
      </c>
      <c r="T6" s="336">
        <v>425.57409164914679</v>
      </c>
      <c r="U6" s="159"/>
      <c r="V6" s="151">
        <f>((T6/D6)^(1/($T$3-$D$3)))-1</f>
        <v>0.59286737594826211</v>
      </c>
    </row>
    <row r="7" spans="1:22" ht="15" customHeight="1" x14ac:dyDescent="0.25">
      <c r="A7" s="150" t="s">
        <v>276</v>
      </c>
      <c r="B7" s="139" t="s">
        <v>44</v>
      </c>
      <c r="C7" s="139" t="s">
        <v>397</v>
      </c>
      <c r="D7" s="336">
        <v>18.815009595800898</v>
      </c>
      <c r="E7" s="336">
        <v>18.825184727633602</v>
      </c>
      <c r="F7" s="336">
        <v>19.0340530775985</v>
      </c>
      <c r="G7" s="336">
        <v>19.064519139947901</v>
      </c>
      <c r="H7" s="336">
        <v>18.836318876860901</v>
      </c>
      <c r="I7" s="336">
        <v>18.752486690409999</v>
      </c>
      <c r="J7" s="336">
        <v>18.640425511072898</v>
      </c>
      <c r="K7" s="336">
        <v>18.494183768305302</v>
      </c>
      <c r="L7" s="336">
        <v>18.323387795081299</v>
      </c>
      <c r="M7" s="336">
        <v>18.1183098697818</v>
      </c>
      <c r="N7" s="336">
        <v>17.8999167638637</v>
      </c>
      <c r="O7" s="336">
        <v>17.641603486454301</v>
      </c>
      <c r="P7" s="336">
        <v>17.3537107582213</v>
      </c>
      <c r="Q7" s="336">
        <v>16.994864288911199</v>
      </c>
      <c r="R7" s="336">
        <v>16.568349201070099</v>
      </c>
      <c r="S7" s="336">
        <v>16.1052336924798</v>
      </c>
      <c r="T7" s="336">
        <v>15.5481410153835</v>
      </c>
      <c r="U7" s="334"/>
      <c r="V7" s="151">
        <f t="shared" ref="V7:V31" si="0">((T7/D7)^(1/($T$3-$D$3)))-1</f>
        <v>-1.1848858506582016E-2</v>
      </c>
    </row>
    <row r="8" spans="1:22" x14ac:dyDescent="0.25">
      <c r="A8" s="150" t="s">
        <v>276</v>
      </c>
      <c r="B8" s="139" t="s">
        <v>41</v>
      </c>
      <c r="C8" s="139" t="s">
        <v>397</v>
      </c>
      <c r="D8" s="336">
        <v>5.40992402284503</v>
      </c>
      <c r="E8" s="336">
        <v>5.3669081906852698</v>
      </c>
      <c r="F8" s="336">
        <v>5.3982916874471503</v>
      </c>
      <c r="G8" s="336">
        <v>5.35230667152058</v>
      </c>
      <c r="H8" s="336">
        <v>5.2466481400482197</v>
      </c>
      <c r="I8" s="336">
        <v>5.1877976744349201</v>
      </c>
      <c r="J8" s="336">
        <v>5.1244935454919096</v>
      </c>
      <c r="K8" s="336">
        <v>5.0655219036968804</v>
      </c>
      <c r="L8" s="336">
        <v>4.9852431745249097</v>
      </c>
      <c r="M8" s="336">
        <v>4.8681430238981003</v>
      </c>
      <c r="N8" s="336">
        <v>4.7600569305990899</v>
      </c>
      <c r="O8" s="336">
        <v>4.6650086081358797</v>
      </c>
      <c r="P8" s="336">
        <v>4.5372052249238104</v>
      </c>
      <c r="Q8" s="336">
        <v>4.41304782352604</v>
      </c>
      <c r="R8" s="336">
        <v>4.27868914704767</v>
      </c>
      <c r="S8" s="336">
        <v>4.1590919997164999</v>
      </c>
      <c r="T8" s="336">
        <v>4.0152257422840396</v>
      </c>
      <c r="U8" s="335"/>
      <c r="V8" s="151">
        <f t="shared" si="0"/>
        <v>-1.846130569326121E-2</v>
      </c>
    </row>
    <row r="9" spans="1:22" x14ac:dyDescent="0.25">
      <c r="A9" s="150" t="s">
        <v>276</v>
      </c>
      <c r="B9" s="139" t="s">
        <v>43</v>
      </c>
      <c r="C9" s="139" t="s">
        <v>397</v>
      </c>
      <c r="D9" s="336">
        <v>28.269035297771602</v>
      </c>
      <c r="E9" s="336">
        <v>28.220773523124802</v>
      </c>
      <c r="F9" s="336">
        <v>27.847749762671199</v>
      </c>
      <c r="G9" s="336">
        <v>27.8787527791666</v>
      </c>
      <c r="H9" s="336">
        <v>27.685280530642999</v>
      </c>
      <c r="I9" s="336">
        <v>27.603603465362799</v>
      </c>
      <c r="J9" s="336">
        <v>27.413246150339699</v>
      </c>
      <c r="K9" s="336">
        <v>27.165775800300398</v>
      </c>
      <c r="L9" s="336">
        <v>26.915240788000201</v>
      </c>
      <c r="M9" s="336">
        <v>26.6403023211681</v>
      </c>
      <c r="N9" s="336">
        <v>26.3424021961963</v>
      </c>
      <c r="O9" s="336">
        <v>25.955462397885402</v>
      </c>
      <c r="P9" s="336">
        <v>25.508238365661001</v>
      </c>
      <c r="Q9" s="336">
        <v>24.956213659508901</v>
      </c>
      <c r="R9" s="336">
        <v>24.307424701210699</v>
      </c>
      <c r="S9" s="336">
        <v>23.627987950065101</v>
      </c>
      <c r="T9" s="336">
        <v>22.8106772973393</v>
      </c>
      <c r="U9" s="335"/>
      <c r="V9" s="151">
        <f t="shared" si="0"/>
        <v>-1.331914942695811E-2</v>
      </c>
    </row>
    <row r="10" spans="1:22" x14ac:dyDescent="0.25">
      <c r="A10" s="150" t="s">
        <v>276</v>
      </c>
      <c r="B10" s="139" t="s">
        <v>40</v>
      </c>
      <c r="C10" s="139" t="s">
        <v>397</v>
      </c>
      <c r="D10" s="336">
        <v>8.1235659179439601</v>
      </c>
      <c r="E10" s="336">
        <v>8.0963012550441107</v>
      </c>
      <c r="F10" s="336">
        <v>8.3550652003089603</v>
      </c>
      <c r="G10" s="336">
        <v>8.3421994730935598</v>
      </c>
      <c r="H10" s="336">
        <v>8.2206195229174099</v>
      </c>
      <c r="I10" s="336">
        <v>8.1499163694833996</v>
      </c>
      <c r="J10" s="336">
        <v>8.0531903192101293</v>
      </c>
      <c r="K10" s="336">
        <v>7.9462330379837001</v>
      </c>
      <c r="L10" s="336">
        <v>7.7891089151915001</v>
      </c>
      <c r="M10" s="336">
        <v>7.5834515673190097</v>
      </c>
      <c r="N10" s="336">
        <v>7.4059262569595701</v>
      </c>
      <c r="O10" s="336">
        <v>7.2514049974491197</v>
      </c>
      <c r="P10" s="336">
        <v>7.04382866818659</v>
      </c>
      <c r="Q10" s="336">
        <v>6.8437018667491598</v>
      </c>
      <c r="R10" s="336">
        <v>6.6248858784410798</v>
      </c>
      <c r="S10" s="336">
        <v>6.4397082632355396</v>
      </c>
      <c r="T10" s="336">
        <v>6.21695369881337</v>
      </c>
      <c r="U10" s="335"/>
      <c r="V10" s="151">
        <f t="shared" si="0"/>
        <v>-1.6579102430545833E-2</v>
      </c>
    </row>
    <row r="11" spans="1:22" x14ac:dyDescent="0.25">
      <c r="A11" s="150" t="s">
        <v>276</v>
      </c>
      <c r="B11" s="139" t="s">
        <v>42</v>
      </c>
      <c r="C11" s="139" t="s">
        <v>397</v>
      </c>
      <c r="D11" s="336">
        <v>7.4077411449830999</v>
      </c>
      <c r="E11" s="336">
        <v>7.4401404102462303</v>
      </c>
      <c r="F11" s="336">
        <v>7.9011572728843804</v>
      </c>
      <c r="G11" s="336">
        <v>7.9066218054816897</v>
      </c>
      <c r="H11" s="336">
        <v>7.8827663250272098</v>
      </c>
      <c r="I11" s="336">
        <v>7.8972012412056403</v>
      </c>
      <c r="J11" s="336">
        <v>7.8897197709393199</v>
      </c>
      <c r="K11" s="336">
        <v>7.86227415538798</v>
      </c>
      <c r="L11" s="336">
        <v>7.8280384728396202</v>
      </c>
      <c r="M11" s="336">
        <v>7.7764280753622304</v>
      </c>
      <c r="N11" s="336">
        <v>7.7163093848745197</v>
      </c>
      <c r="O11" s="336">
        <v>7.6360570734222701</v>
      </c>
      <c r="P11" s="336">
        <v>7.5421922437301196</v>
      </c>
      <c r="Q11" s="336">
        <v>7.4163268686255597</v>
      </c>
      <c r="R11" s="336">
        <v>7.2601475286925004</v>
      </c>
      <c r="S11" s="336">
        <v>7.05721319441533</v>
      </c>
      <c r="T11" s="336">
        <v>6.8130986496414501</v>
      </c>
      <c r="U11" s="335"/>
      <c r="V11" s="151">
        <f t="shared" si="0"/>
        <v>-5.2162555178287828E-3</v>
      </c>
    </row>
    <row r="12" spans="1:22" x14ac:dyDescent="0.25">
      <c r="A12" s="150" t="s">
        <v>279</v>
      </c>
      <c r="B12" s="139" t="s">
        <v>44</v>
      </c>
      <c r="C12" s="139" t="s">
        <v>397</v>
      </c>
      <c r="D12" s="336">
        <v>18.531288606157201</v>
      </c>
      <c r="E12" s="336">
        <v>18.566262575426499</v>
      </c>
      <c r="F12" s="336">
        <v>18.800793350114901</v>
      </c>
      <c r="G12" s="336">
        <v>18.949971249281599</v>
      </c>
      <c r="H12" s="336">
        <v>18.8468325205667</v>
      </c>
      <c r="I12" s="336">
        <v>18.822952410245499</v>
      </c>
      <c r="J12" s="336">
        <v>18.7829464748229</v>
      </c>
      <c r="K12" s="336">
        <v>18.720073884175498</v>
      </c>
      <c r="L12" s="336">
        <v>18.639853438786002</v>
      </c>
      <c r="M12" s="336">
        <v>18.542048132821101</v>
      </c>
      <c r="N12" s="336">
        <v>18.429616310725802</v>
      </c>
      <c r="O12" s="336">
        <v>18.297880974384402</v>
      </c>
      <c r="P12" s="336">
        <v>18.140045017570699</v>
      </c>
      <c r="Q12" s="336">
        <v>17.989049612633199</v>
      </c>
      <c r="R12" s="336">
        <v>17.7774478258385</v>
      </c>
      <c r="S12" s="336">
        <v>17.592548539068101</v>
      </c>
      <c r="T12" s="336">
        <v>17.4106404579491</v>
      </c>
      <c r="U12" s="335"/>
      <c r="V12" s="151">
        <f t="shared" si="0"/>
        <v>-3.8910999505527011E-3</v>
      </c>
    </row>
    <row r="13" spans="1:22" x14ac:dyDescent="0.25">
      <c r="A13" s="150" t="s">
        <v>279</v>
      </c>
      <c r="B13" s="139" t="s">
        <v>41</v>
      </c>
      <c r="C13" s="139" t="s">
        <v>397</v>
      </c>
      <c r="D13" s="336">
        <v>24.600815251642899</v>
      </c>
      <c r="E13" s="336">
        <v>24.411330547061901</v>
      </c>
      <c r="F13" s="336">
        <v>24.570450769898699</v>
      </c>
      <c r="G13" s="336">
        <v>24.412503330709399</v>
      </c>
      <c r="H13" s="336">
        <v>23.987215628345499</v>
      </c>
      <c r="I13" s="336">
        <v>23.7330555247025</v>
      </c>
      <c r="J13" s="336">
        <v>23.479850867244</v>
      </c>
      <c r="K13" s="336">
        <v>23.236429664103301</v>
      </c>
      <c r="L13" s="336">
        <v>22.904420853197099</v>
      </c>
      <c r="M13" s="336">
        <v>22.404524013668599</v>
      </c>
      <c r="N13" s="336">
        <v>21.932775757321998</v>
      </c>
      <c r="O13" s="336">
        <v>21.533130576752299</v>
      </c>
      <c r="P13" s="336">
        <v>20.964780269498402</v>
      </c>
      <c r="Q13" s="336">
        <v>20.562338908934699</v>
      </c>
      <c r="R13" s="336">
        <v>20.039384019642799</v>
      </c>
      <c r="S13" s="336">
        <v>19.6485352837806</v>
      </c>
      <c r="T13" s="336">
        <v>19.544745464859101</v>
      </c>
      <c r="U13" s="335"/>
      <c r="V13" s="151">
        <f t="shared" si="0"/>
        <v>-1.427667692845036E-2</v>
      </c>
    </row>
    <row r="14" spans="1:22" x14ac:dyDescent="0.25">
      <c r="A14" s="150" t="s">
        <v>279</v>
      </c>
      <c r="B14" s="139" t="s">
        <v>43</v>
      </c>
      <c r="C14" s="139" t="s">
        <v>397</v>
      </c>
      <c r="D14" s="336">
        <v>5.2846161363689497</v>
      </c>
      <c r="E14" s="336">
        <v>5.27072576045967</v>
      </c>
      <c r="F14" s="336">
        <v>5.1542602528042396</v>
      </c>
      <c r="G14" s="336">
        <v>5.1560206569431202</v>
      </c>
      <c r="H14" s="336">
        <v>5.12772164971883</v>
      </c>
      <c r="I14" s="336">
        <v>5.1130825991514302</v>
      </c>
      <c r="J14" s="336">
        <v>5.0757934216487604</v>
      </c>
      <c r="K14" s="336">
        <v>5.0249203454709601</v>
      </c>
      <c r="L14" s="336">
        <v>4.9768877728997696</v>
      </c>
      <c r="M14" s="336">
        <v>4.9253127937679304</v>
      </c>
      <c r="N14" s="336">
        <v>4.8663775695993801</v>
      </c>
      <c r="O14" s="336">
        <v>4.7890913917078901</v>
      </c>
      <c r="P14" s="336">
        <v>4.6949771976061196</v>
      </c>
      <c r="Q14" s="336">
        <v>4.6640226512460901</v>
      </c>
      <c r="R14" s="336">
        <v>4.5496613349215096</v>
      </c>
      <c r="S14" s="336">
        <v>4.4409237811079896</v>
      </c>
      <c r="T14" s="336">
        <v>4.4650292566488297</v>
      </c>
      <c r="U14" s="335"/>
      <c r="V14" s="151">
        <f t="shared" si="0"/>
        <v>-1.0477488262691681E-2</v>
      </c>
    </row>
    <row r="15" spans="1:22" x14ac:dyDescent="0.25">
      <c r="A15" s="150" t="s">
        <v>279</v>
      </c>
      <c r="B15" s="139" t="s">
        <v>40</v>
      </c>
      <c r="C15" s="139" t="s">
        <v>397</v>
      </c>
      <c r="D15" s="336">
        <v>37.603938358062003</v>
      </c>
      <c r="E15" s="336">
        <v>37.494340703812902</v>
      </c>
      <c r="F15" s="336">
        <v>38.353189357062803</v>
      </c>
      <c r="G15" s="336">
        <v>38.310842013219897</v>
      </c>
      <c r="H15" s="336">
        <v>37.807727017597301</v>
      </c>
      <c r="I15" s="336">
        <v>37.5491255807407</v>
      </c>
      <c r="J15" s="336">
        <v>37.202673086454801</v>
      </c>
      <c r="K15" s="336">
        <v>36.833651509419603</v>
      </c>
      <c r="L15" s="336">
        <v>36.2447559448891</v>
      </c>
      <c r="M15" s="336">
        <v>35.479711944275003</v>
      </c>
      <c r="N15" s="336">
        <v>34.815665903517399</v>
      </c>
      <c r="O15" s="336">
        <v>34.277733720376801</v>
      </c>
      <c r="P15" s="336">
        <v>33.465366296771002</v>
      </c>
      <c r="Q15" s="336">
        <v>32.959340171387403</v>
      </c>
      <c r="R15" s="336">
        <v>32.226740167093602</v>
      </c>
      <c r="S15" s="336">
        <v>31.6585145764511</v>
      </c>
      <c r="T15" s="336">
        <v>31.525588507561501</v>
      </c>
      <c r="U15" s="335"/>
      <c r="V15" s="151">
        <f t="shared" si="0"/>
        <v>-1.095883703045275E-2</v>
      </c>
    </row>
    <row r="16" spans="1:22" x14ac:dyDescent="0.25">
      <c r="A16" s="150" t="s">
        <v>279</v>
      </c>
      <c r="B16" s="139" t="s">
        <v>42</v>
      </c>
      <c r="C16" s="139" t="s">
        <v>397</v>
      </c>
      <c r="D16" s="336">
        <v>4.5505661824948902</v>
      </c>
      <c r="E16" s="336">
        <v>4.5726516011464398</v>
      </c>
      <c r="F16" s="336">
        <v>4.8588565584809</v>
      </c>
      <c r="G16" s="336">
        <v>4.8690139170133504</v>
      </c>
      <c r="H16" s="336">
        <v>4.8612382208641103</v>
      </c>
      <c r="I16" s="336">
        <v>4.8741318266490499</v>
      </c>
      <c r="J16" s="336">
        <v>4.8746096492558104</v>
      </c>
      <c r="K16" s="336">
        <v>4.8633913837576097</v>
      </c>
      <c r="L16" s="336">
        <v>4.84876062254608</v>
      </c>
      <c r="M16" s="336">
        <v>4.8246750173939299</v>
      </c>
      <c r="N16" s="336">
        <v>4.7940082079173498</v>
      </c>
      <c r="O16" s="336">
        <v>4.7526551854768897</v>
      </c>
      <c r="P16" s="336">
        <v>4.7014759274984996</v>
      </c>
      <c r="Q16" s="336">
        <v>4.7138096133035301</v>
      </c>
      <c r="R16" s="336">
        <v>4.6448880299373903</v>
      </c>
      <c r="S16" s="336">
        <v>4.5567108097383198</v>
      </c>
      <c r="T16" s="336">
        <v>4.5755302030299996</v>
      </c>
      <c r="U16" s="335"/>
      <c r="V16" s="151">
        <f t="shared" si="0"/>
        <v>3.4199111880428568E-4</v>
      </c>
    </row>
    <row r="17" spans="1:22" x14ac:dyDescent="0.25">
      <c r="A17" s="150" t="s">
        <v>280</v>
      </c>
      <c r="B17" s="139" t="s">
        <v>41</v>
      </c>
      <c r="C17" s="139" t="s">
        <v>397</v>
      </c>
      <c r="D17" s="336">
        <v>66.462171031537395</v>
      </c>
      <c r="E17" s="336">
        <v>66.124100496874107</v>
      </c>
      <c r="F17" s="336">
        <v>67.020926496430803</v>
      </c>
      <c r="G17" s="336">
        <v>66.780773762348105</v>
      </c>
      <c r="H17" s="336">
        <v>66.430288846901902</v>
      </c>
      <c r="I17" s="336">
        <v>65.893851625353506</v>
      </c>
      <c r="J17" s="336">
        <v>65.351278178833695</v>
      </c>
      <c r="K17" s="336">
        <v>64.710509014930196</v>
      </c>
      <c r="L17" s="336">
        <v>64.000772292132297</v>
      </c>
      <c r="M17" s="336">
        <v>63.071708273363903</v>
      </c>
      <c r="N17" s="336">
        <v>62.121923390210704</v>
      </c>
      <c r="O17" s="336">
        <v>61.192353808079503</v>
      </c>
      <c r="P17" s="336">
        <v>60.010993107905399</v>
      </c>
      <c r="Q17" s="336">
        <v>58.835741629420902</v>
      </c>
      <c r="R17" s="336">
        <v>57.537874905931403</v>
      </c>
      <c r="S17" s="336">
        <v>56.521514486787403</v>
      </c>
      <c r="T17" s="336">
        <v>55.327923603687402</v>
      </c>
      <c r="U17" s="335"/>
      <c r="V17" s="151">
        <f t="shared" si="0"/>
        <v>-1.1394287770755795E-2</v>
      </c>
    </row>
    <row r="18" spans="1:22" x14ac:dyDescent="0.25">
      <c r="A18" s="150" t="s">
        <v>280</v>
      </c>
      <c r="B18" s="139" t="s">
        <v>43</v>
      </c>
      <c r="C18" s="139" t="s">
        <v>397</v>
      </c>
      <c r="D18" s="336">
        <v>0.40305116559954501</v>
      </c>
      <c r="E18" s="336">
        <v>0.40191982569891299</v>
      </c>
      <c r="F18" s="336">
        <v>0.389010897268182</v>
      </c>
      <c r="G18" s="336">
        <v>0.39153328311365698</v>
      </c>
      <c r="H18" s="336">
        <v>0.39299621253459299</v>
      </c>
      <c r="I18" s="336">
        <v>0.39335379073264498</v>
      </c>
      <c r="J18" s="336">
        <v>0.391761568426089</v>
      </c>
      <c r="K18" s="336">
        <v>0.38924929409895498</v>
      </c>
      <c r="L18" s="336">
        <v>0.38748264883824601</v>
      </c>
      <c r="M18" s="336">
        <v>0.38591411495364297</v>
      </c>
      <c r="N18" s="336">
        <v>0.38390939566544502</v>
      </c>
      <c r="O18" s="336">
        <v>0.38064724218095503</v>
      </c>
      <c r="P18" s="336">
        <v>0.37626624313636697</v>
      </c>
      <c r="Q18" s="336">
        <v>0.37137464918041702</v>
      </c>
      <c r="R18" s="336">
        <v>0.365823020486026</v>
      </c>
      <c r="S18" s="336">
        <v>0.36156809006753199</v>
      </c>
      <c r="T18" s="336">
        <v>0.35594298012868397</v>
      </c>
      <c r="U18" s="335"/>
      <c r="V18" s="151">
        <f t="shared" si="0"/>
        <v>-7.7382150216589451E-3</v>
      </c>
    </row>
    <row r="19" spans="1:22" x14ac:dyDescent="0.25">
      <c r="A19" s="150" t="s">
        <v>280</v>
      </c>
      <c r="B19" s="139" t="s">
        <v>40</v>
      </c>
      <c r="C19" s="139" t="s">
        <v>397</v>
      </c>
      <c r="D19" s="336">
        <v>26.709461255598899</v>
      </c>
      <c r="E19" s="336">
        <v>26.5635851879352</v>
      </c>
      <c r="F19" s="336">
        <v>27.026401514549701</v>
      </c>
      <c r="G19" s="336">
        <v>27.001475439674401</v>
      </c>
      <c r="H19" s="336">
        <v>26.6636099305694</v>
      </c>
      <c r="I19" s="336">
        <v>26.444445324513101</v>
      </c>
      <c r="J19" s="336">
        <v>26.204440521332799</v>
      </c>
      <c r="K19" s="336">
        <v>25.958983349889301</v>
      </c>
      <c r="L19" s="336">
        <v>25.5966025995255</v>
      </c>
      <c r="M19" s="336">
        <v>25.0665928559524</v>
      </c>
      <c r="N19" s="336">
        <v>24.5906607938627</v>
      </c>
      <c r="O19" s="336">
        <v>24.2079270619152</v>
      </c>
      <c r="P19" s="336">
        <v>23.640851001702099</v>
      </c>
      <c r="Q19" s="336">
        <v>23.156168313067699</v>
      </c>
      <c r="R19" s="336">
        <v>22.649871076933099</v>
      </c>
      <c r="S19" s="336">
        <v>22.3221154466484</v>
      </c>
      <c r="T19" s="336">
        <v>21.921708151129099</v>
      </c>
      <c r="U19" s="335"/>
      <c r="V19" s="151">
        <f t="shared" si="0"/>
        <v>-1.2270376830525453E-2</v>
      </c>
    </row>
    <row r="20" spans="1:22" x14ac:dyDescent="0.25">
      <c r="A20" s="150" t="s">
        <v>280</v>
      </c>
      <c r="B20" s="139" t="s">
        <v>42</v>
      </c>
      <c r="C20" s="139" t="s">
        <v>397</v>
      </c>
      <c r="D20" s="336">
        <v>0.271674139948969</v>
      </c>
      <c r="E20" s="336">
        <v>0.27323525737618898</v>
      </c>
      <c r="F20" s="336">
        <v>0.29061904825131601</v>
      </c>
      <c r="G20" s="336">
        <v>0.29285389106834703</v>
      </c>
      <c r="H20" s="336">
        <v>0.29411401311618601</v>
      </c>
      <c r="I20" s="336">
        <v>0.29566341462280799</v>
      </c>
      <c r="J20" s="336">
        <v>0.29662866182247999</v>
      </c>
      <c r="K20" s="336">
        <v>0.29702797303492401</v>
      </c>
      <c r="L20" s="336">
        <v>0.29733796009220298</v>
      </c>
      <c r="M20" s="336">
        <v>0.29729315100681403</v>
      </c>
      <c r="N20" s="336">
        <v>0.29692945041068602</v>
      </c>
      <c r="O20" s="336">
        <v>0.296188874060759</v>
      </c>
      <c r="P20" s="336">
        <v>0.29502400602096401</v>
      </c>
      <c r="Q20" s="336">
        <v>0.29348671247241198</v>
      </c>
      <c r="R20" s="336">
        <v>0.291447547971173</v>
      </c>
      <c r="S20" s="336">
        <v>0.28869004292395301</v>
      </c>
      <c r="T20" s="336">
        <v>0.28528621807929599</v>
      </c>
      <c r="U20" s="335"/>
      <c r="V20" s="151">
        <f t="shared" si="0"/>
        <v>3.0602741747194351E-3</v>
      </c>
    </row>
    <row r="21" spans="1:22" x14ac:dyDescent="0.25">
      <c r="A21" s="150" t="s">
        <v>269</v>
      </c>
      <c r="B21" s="139" t="s">
        <v>45</v>
      </c>
      <c r="C21" s="139" t="s">
        <v>397</v>
      </c>
      <c r="D21" s="336">
        <v>97.483716509559201</v>
      </c>
      <c r="E21" s="336">
        <v>98.029391500697102</v>
      </c>
      <c r="F21" s="336">
        <v>98.344094528986602</v>
      </c>
      <c r="G21" s="336">
        <v>98.272714365703195</v>
      </c>
      <c r="H21" s="336">
        <v>97.167677880713796</v>
      </c>
      <c r="I21" s="336">
        <v>97.4945277282213</v>
      </c>
      <c r="J21" s="336">
        <v>97.266207835561104</v>
      </c>
      <c r="K21" s="336">
        <v>97.280092162143305</v>
      </c>
      <c r="L21" s="336">
        <v>96.229401572178602</v>
      </c>
      <c r="M21" s="336">
        <v>95.6553256997707</v>
      </c>
      <c r="N21" s="336">
        <v>95.405095047644295</v>
      </c>
      <c r="O21" s="336">
        <v>95.560921580099205</v>
      </c>
      <c r="P21" s="336">
        <v>94.809080839977</v>
      </c>
      <c r="Q21" s="336">
        <v>94.475376010362595</v>
      </c>
      <c r="R21" s="336">
        <v>94.063269473657797</v>
      </c>
      <c r="S21" s="336">
        <v>92.600540892766602</v>
      </c>
      <c r="T21" s="336">
        <v>90.846298045422699</v>
      </c>
      <c r="U21" s="335"/>
      <c r="V21" s="151">
        <f t="shared" si="0"/>
        <v>-4.397571483040208E-3</v>
      </c>
    </row>
    <row r="22" spans="1:22" x14ac:dyDescent="0.25">
      <c r="A22" s="150" t="s">
        <v>272</v>
      </c>
      <c r="B22" s="139" t="s">
        <v>45</v>
      </c>
      <c r="C22" s="139" t="s">
        <v>397</v>
      </c>
      <c r="D22" s="336">
        <v>708.22919367078498</v>
      </c>
      <c r="E22" s="336">
        <v>712.30852947633002</v>
      </c>
      <c r="F22" s="336">
        <v>714.74070012199297</v>
      </c>
      <c r="G22" s="336">
        <v>714.94049340337801</v>
      </c>
      <c r="H22" s="336">
        <v>708.002514371399</v>
      </c>
      <c r="I22" s="336">
        <v>711.25144216365402</v>
      </c>
      <c r="J22" s="336">
        <v>710.62104027195005</v>
      </c>
      <c r="K22" s="336">
        <v>711.80875438544297</v>
      </c>
      <c r="L22" s="336">
        <v>705.53451385736901</v>
      </c>
      <c r="M22" s="336">
        <v>702.96176285924196</v>
      </c>
      <c r="N22" s="336">
        <v>703.030080659438</v>
      </c>
      <c r="O22" s="336">
        <v>706.39977701779299</v>
      </c>
      <c r="P22" s="336">
        <v>703.60343158230899</v>
      </c>
      <c r="Q22" s="336">
        <v>704.15094378582</v>
      </c>
      <c r="R22" s="336">
        <v>704.70813767032303</v>
      </c>
      <c r="S22" s="336">
        <v>698.17594652474099</v>
      </c>
      <c r="T22" s="336">
        <v>690.08428044976404</v>
      </c>
      <c r="U22" s="335"/>
      <c r="V22" s="151">
        <f t="shared" si="0"/>
        <v>-1.6208116556429841E-3</v>
      </c>
    </row>
    <row r="23" spans="1:22" x14ac:dyDescent="0.25">
      <c r="A23" s="150" t="s">
        <v>281</v>
      </c>
      <c r="B23" s="139" t="s">
        <v>44</v>
      </c>
      <c r="C23" s="139" t="s">
        <v>397</v>
      </c>
      <c r="D23" s="336">
        <v>1.0911593355498399</v>
      </c>
      <c r="E23" s="336">
        <v>1.0932895184162399</v>
      </c>
      <c r="F23" s="336">
        <v>1.10718746716962</v>
      </c>
      <c r="G23" s="336">
        <v>1.1162510090913</v>
      </c>
      <c r="H23" s="336">
        <v>1.11045364957041</v>
      </c>
      <c r="I23" s="336">
        <v>1.1091876901811699</v>
      </c>
      <c r="J23" s="336">
        <v>1.1069971917944701</v>
      </c>
      <c r="K23" s="336">
        <v>1.10348496724022</v>
      </c>
      <c r="L23" s="336">
        <v>1.09896601186439</v>
      </c>
      <c r="M23" s="336">
        <v>1.09345436381563</v>
      </c>
      <c r="N23" s="336">
        <v>1.0870637298081001</v>
      </c>
      <c r="O23" s="336">
        <v>1.07958933279567</v>
      </c>
      <c r="P23" s="336">
        <v>1.0705666200064401</v>
      </c>
      <c r="Q23" s="336">
        <v>1.0602007442477299</v>
      </c>
      <c r="R23" s="336">
        <v>1.04794765576063</v>
      </c>
      <c r="S23" s="336">
        <v>1.0373906423213799</v>
      </c>
      <c r="T23" s="336">
        <v>1.02456524526007</v>
      </c>
      <c r="U23" s="335"/>
      <c r="V23" s="151">
        <f t="shared" si="0"/>
        <v>-3.928038118352517E-3</v>
      </c>
    </row>
    <row r="24" spans="1:22" x14ac:dyDescent="0.25">
      <c r="A24" s="150" t="s">
        <v>281</v>
      </c>
      <c r="B24" s="139" t="s">
        <v>41</v>
      </c>
      <c r="C24" s="139" t="s">
        <v>397</v>
      </c>
      <c r="D24" s="336">
        <v>53.462364659334099</v>
      </c>
      <c r="E24" s="336">
        <v>53.051642424275997</v>
      </c>
      <c r="F24" s="336">
        <v>53.406957628860297</v>
      </c>
      <c r="G24" s="336">
        <v>53.072063045687102</v>
      </c>
      <c r="H24" s="336">
        <v>52.153668509648199</v>
      </c>
      <c r="I24" s="336">
        <v>51.5919132809506</v>
      </c>
      <c r="J24" s="336">
        <v>51.0456137800116</v>
      </c>
      <c r="K24" s="336">
        <v>50.513751264795999</v>
      </c>
      <c r="L24" s="336">
        <v>49.780653803808796</v>
      </c>
      <c r="M24" s="336">
        <v>48.680718210460498</v>
      </c>
      <c r="N24" s="336">
        <v>47.633832271761598</v>
      </c>
      <c r="O24" s="336">
        <v>46.748461951291802</v>
      </c>
      <c r="P24" s="336">
        <v>45.483841777086703</v>
      </c>
      <c r="Q24" s="336">
        <v>44.363951840050397</v>
      </c>
      <c r="R24" s="336">
        <v>43.1807636508169</v>
      </c>
      <c r="S24" s="336">
        <v>42.295069448986297</v>
      </c>
      <c r="T24" s="336">
        <v>41.272187272734399</v>
      </c>
      <c r="U24" s="335"/>
      <c r="V24" s="151">
        <f t="shared" si="0"/>
        <v>-1.6044216873555506E-2</v>
      </c>
    </row>
    <row r="25" spans="1:22" x14ac:dyDescent="0.25">
      <c r="A25" s="150" t="s">
        <v>281</v>
      </c>
      <c r="B25" s="139" t="s">
        <v>43</v>
      </c>
      <c r="C25" s="139" t="s">
        <v>397</v>
      </c>
      <c r="D25" s="336">
        <v>2.1296527450589302</v>
      </c>
      <c r="E25" s="336">
        <v>2.1226921884355199</v>
      </c>
      <c r="F25" s="336">
        <v>2.0541566876569801</v>
      </c>
      <c r="G25" s="336">
        <v>2.0602477269250001</v>
      </c>
      <c r="H25" s="336">
        <v>2.0599283094985501</v>
      </c>
      <c r="I25" s="336">
        <v>2.0573989554820602</v>
      </c>
      <c r="J25" s="336">
        <v>2.0449447763253699</v>
      </c>
      <c r="K25" s="336">
        <v>2.0266657174730098</v>
      </c>
      <c r="L25" s="336">
        <v>2.0107210188879301</v>
      </c>
      <c r="M25" s="336">
        <v>1.99469252048521</v>
      </c>
      <c r="N25" s="336">
        <v>1.97526850209083</v>
      </c>
      <c r="O25" s="336">
        <v>1.94856480238828</v>
      </c>
      <c r="P25" s="336">
        <v>1.91416469840669</v>
      </c>
      <c r="Q25" s="336">
        <v>1.8764539450239099</v>
      </c>
      <c r="R25" s="336">
        <v>1.83334831158384</v>
      </c>
      <c r="S25" s="336">
        <v>1.7957439287008301</v>
      </c>
      <c r="T25" s="336">
        <v>1.7523148840932501</v>
      </c>
      <c r="U25" s="335"/>
      <c r="V25" s="151">
        <f t="shared" si="0"/>
        <v>-1.2114844092744437E-2</v>
      </c>
    </row>
    <row r="26" spans="1:22" x14ac:dyDescent="0.25">
      <c r="A26" s="150" t="s">
        <v>281</v>
      </c>
      <c r="B26" s="139" t="s">
        <v>40</v>
      </c>
      <c r="C26" s="139" t="s">
        <v>397</v>
      </c>
      <c r="D26" s="336">
        <v>63.349735146584898</v>
      </c>
      <c r="E26" s="336">
        <v>63.010432211435599</v>
      </c>
      <c r="F26" s="336">
        <v>64.212647226239397</v>
      </c>
      <c r="G26" s="336">
        <v>64.070631702105501</v>
      </c>
      <c r="H26" s="336">
        <v>63.1686996873363</v>
      </c>
      <c r="I26" s="336">
        <v>62.599526879466197</v>
      </c>
      <c r="J26" s="336">
        <v>61.972832845215699</v>
      </c>
      <c r="K26" s="336">
        <v>61.312551501396896</v>
      </c>
      <c r="L26" s="336">
        <v>60.345915185654697</v>
      </c>
      <c r="M26" s="336">
        <v>58.976200810885501</v>
      </c>
      <c r="N26" s="336">
        <v>57.729078809540901</v>
      </c>
      <c r="O26" s="336">
        <v>56.6924400044443</v>
      </c>
      <c r="P26" s="336">
        <v>55.199114228031902</v>
      </c>
      <c r="Q26" s="336">
        <v>53.8905554983114</v>
      </c>
      <c r="R26" s="336">
        <v>52.504056380477799</v>
      </c>
      <c r="S26" s="336">
        <v>51.524439427730996</v>
      </c>
      <c r="T26" s="336">
        <v>50.387453335582698</v>
      </c>
      <c r="U26" s="335"/>
      <c r="V26" s="151">
        <f t="shared" si="0"/>
        <v>-1.4206159274990693E-2</v>
      </c>
    </row>
    <row r="27" spans="1:22" x14ac:dyDescent="0.25">
      <c r="A27" s="150" t="s">
        <v>281</v>
      </c>
      <c r="B27" s="139" t="s">
        <v>42</v>
      </c>
      <c r="C27" s="139" t="s">
        <v>397</v>
      </c>
      <c r="D27" s="336">
        <v>0.76300243155969705</v>
      </c>
      <c r="E27" s="336">
        <v>0.76742062142461798</v>
      </c>
      <c r="F27" s="336">
        <v>0.81627592375397595</v>
      </c>
      <c r="G27" s="336">
        <v>0.82221116552052897</v>
      </c>
      <c r="H27" s="336">
        <v>0.82535245970897397</v>
      </c>
      <c r="I27" s="336">
        <v>0.82961343353301398</v>
      </c>
      <c r="J27" s="336">
        <v>0.83216351487409701</v>
      </c>
      <c r="K27" s="336">
        <v>0.83317423493096499</v>
      </c>
      <c r="L27" s="336">
        <v>0.83384981134630798</v>
      </c>
      <c r="M27" s="336">
        <v>0.83352673494721197</v>
      </c>
      <c r="N27" s="336">
        <v>0.83228107972076903</v>
      </c>
      <c r="O27" s="336">
        <v>0.82993883967098103</v>
      </c>
      <c r="P27" s="336">
        <v>0.826371511647086</v>
      </c>
      <c r="Q27" s="336">
        <v>0.82170449368924803</v>
      </c>
      <c r="R27" s="336">
        <v>0.815571784237061</v>
      </c>
      <c r="S27" s="336">
        <v>0.80735572283405499</v>
      </c>
      <c r="T27" s="336">
        <v>0.79737427776153902</v>
      </c>
      <c r="U27" s="335"/>
      <c r="V27" s="151">
        <f t="shared" si="0"/>
        <v>2.7577304791559509E-3</v>
      </c>
    </row>
    <row r="28" spans="1:22" x14ac:dyDescent="0.25">
      <c r="A28" s="150" t="s">
        <v>282</v>
      </c>
      <c r="B28" s="139" t="s">
        <v>41</v>
      </c>
      <c r="C28" s="139" t="s">
        <v>397</v>
      </c>
      <c r="D28" s="336">
        <v>334.08162755559198</v>
      </c>
      <c r="E28" s="336">
        <v>332.522454272956</v>
      </c>
      <c r="F28" s="336">
        <v>337.544831333123</v>
      </c>
      <c r="G28" s="336">
        <v>336.00751289307601</v>
      </c>
      <c r="H28" s="336">
        <v>334.63861778546999</v>
      </c>
      <c r="I28" s="336">
        <v>331.87014670979897</v>
      </c>
      <c r="J28" s="336">
        <v>329.04634729415199</v>
      </c>
      <c r="K28" s="336">
        <v>325.52601983223701</v>
      </c>
      <c r="L28" s="336">
        <v>321.82258746546199</v>
      </c>
      <c r="M28" s="336">
        <v>317.25096144240302</v>
      </c>
      <c r="N28" s="336">
        <v>312.41116590200102</v>
      </c>
      <c r="O28" s="336">
        <v>307.39182566633502</v>
      </c>
      <c r="P28" s="336">
        <v>301.28846957736198</v>
      </c>
      <c r="Q28" s="336">
        <v>294.94751828618098</v>
      </c>
      <c r="R28" s="336">
        <v>287.83045853262502</v>
      </c>
      <c r="S28" s="336">
        <v>281.92667762003902</v>
      </c>
      <c r="T28" s="336">
        <v>275.10844142124802</v>
      </c>
      <c r="U28" s="335"/>
      <c r="V28" s="151">
        <f t="shared" si="0"/>
        <v>-1.2065372862820389E-2</v>
      </c>
    </row>
    <row r="29" spans="1:22" x14ac:dyDescent="0.25">
      <c r="A29" s="150" t="s">
        <v>282</v>
      </c>
      <c r="B29" s="139" t="s">
        <v>43</v>
      </c>
      <c r="C29" s="139" t="s">
        <v>397</v>
      </c>
      <c r="D29" s="336">
        <v>1.0533264779650999</v>
      </c>
      <c r="E29" s="336">
        <v>1.0498837859065899</v>
      </c>
      <c r="F29" s="336">
        <v>1.0159861198114299</v>
      </c>
      <c r="G29" s="336">
        <v>1.01899874849196</v>
      </c>
      <c r="H29" s="336">
        <v>1.0188407645983</v>
      </c>
      <c r="I29" s="336">
        <v>1.0175897458282701</v>
      </c>
      <c r="J29" s="336">
        <v>1.01142990747082</v>
      </c>
      <c r="K29" s="336">
        <v>1.00238908298611</v>
      </c>
      <c r="L29" s="336">
        <v>0.99450283334197798</v>
      </c>
      <c r="M29" s="336">
        <v>0.98657513629898297</v>
      </c>
      <c r="N29" s="336">
        <v>0.97696801470098904</v>
      </c>
      <c r="O29" s="336">
        <v>0.96376036194089598</v>
      </c>
      <c r="P29" s="336">
        <v>0.94674606679224804</v>
      </c>
      <c r="Q29" s="336">
        <v>0.92809432409182002</v>
      </c>
      <c r="R29" s="336">
        <v>0.90677427313176096</v>
      </c>
      <c r="S29" s="336">
        <v>0.88817514129202402</v>
      </c>
      <c r="T29" s="336">
        <v>0.86669513113355001</v>
      </c>
      <c r="U29" s="159"/>
      <c r="V29" s="151">
        <f t="shared" si="0"/>
        <v>-1.2114844092744104E-2</v>
      </c>
    </row>
    <row r="30" spans="1:22" x14ac:dyDescent="0.25">
      <c r="A30" s="150" t="s">
        <v>282</v>
      </c>
      <c r="B30" s="139" t="s">
        <v>40</v>
      </c>
      <c r="C30" s="139" t="s">
        <v>397</v>
      </c>
      <c r="D30" s="336">
        <v>77.6290279575543</v>
      </c>
      <c r="E30" s="336">
        <v>77.245521464480206</v>
      </c>
      <c r="F30" s="336">
        <v>78.889805143878505</v>
      </c>
      <c r="G30" s="336">
        <v>78.771584573142803</v>
      </c>
      <c r="H30" s="336">
        <v>77.707156513793507</v>
      </c>
      <c r="I30" s="336">
        <v>77.030818108813307</v>
      </c>
      <c r="J30" s="336">
        <v>76.267384591505802</v>
      </c>
      <c r="K30" s="336">
        <v>75.451690715985393</v>
      </c>
      <c r="L30" s="336">
        <v>74.245716948097595</v>
      </c>
      <c r="M30" s="336">
        <v>72.552730976224893</v>
      </c>
      <c r="N30" s="336">
        <v>71.023051775925694</v>
      </c>
      <c r="O30" s="336">
        <v>69.755481852409901</v>
      </c>
      <c r="P30" s="336">
        <v>67.926687440282294</v>
      </c>
      <c r="Q30" s="336">
        <v>66.327213599950397</v>
      </c>
      <c r="R30" s="336">
        <v>64.631588348476001</v>
      </c>
      <c r="S30" s="336">
        <v>63.446465392023697</v>
      </c>
      <c r="T30" s="336">
        <v>62.069638384831499</v>
      </c>
      <c r="U30" s="159"/>
      <c r="V30" s="151">
        <f t="shared" si="0"/>
        <v>-1.3883009355224241E-2</v>
      </c>
    </row>
    <row r="31" spans="1:22" x14ac:dyDescent="0.25">
      <c r="A31" s="150" t="s">
        <v>282</v>
      </c>
      <c r="B31" s="139" t="s">
        <v>42</v>
      </c>
      <c r="C31" s="139" t="s">
        <v>397</v>
      </c>
      <c r="D31" s="336">
        <v>0.951166594210752</v>
      </c>
      <c r="E31" s="336">
        <v>0.95667435464842299</v>
      </c>
      <c r="F31" s="336">
        <v>1.01757787160153</v>
      </c>
      <c r="G31" s="336">
        <v>1.02497680437474</v>
      </c>
      <c r="H31" s="336">
        <v>1.02889277367058</v>
      </c>
      <c r="I31" s="336">
        <v>1.0342045469921199</v>
      </c>
      <c r="J31" s="336">
        <v>1.0373835043372599</v>
      </c>
      <c r="K31" s="336">
        <v>1.0386434782435301</v>
      </c>
      <c r="L31" s="336">
        <v>1.0394856586764301</v>
      </c>
      <c r="M31" s="336">
        <v>1.03908290835024</v>
      </c>
      <c r="N31" s="336">
        <v>1.03753006187126</v>
      </c>
      <c r="O31" s="336">
        <v>1.0346102015945</v>
      </c>
      <c r="P31" s="336">
        <v>1.0301631341847901</v>
      </c>
      <c r="Q31" s="336">
        <v>1.0243451821148299</v>
      </c>
      <c r="R31" s="336">
        <v>1.0167000841156</v>
      </c>
      <c r="S31" s="336">
        <v>1.0064578583778001</v>
      </c>
      <c r="T31" s="336">
        <v>0.99401488739601995</v>
      </c>
      <c r="U31" s="159"/>
      <c r="V31" s="151">
        <f t="shared" si="0"/>
        <v>2.7577304791559509E-3</v>
      </c>
    </row>
    <row r="32" spans="1:22" x14ac:dyDescent="0.25">
      <c r="A32" s="150" t="s">
        <v>276</v>
      </c>
      <c r="B32" s="139" t="s">
        <v>44</v>
      </c>
      <c r="C32" s="139" t="s">
        <v>435</v>
      </c>
      <c r="D32" s="336">
        <v>18.827505306670101</v>
      </c>
      <c r="E32" s="336">
        <v>18.839970176898799</v>
      </c>
      <c r="F32" s="336">
        <v>19.051381324905201</v>
      </c>
      <c r="G32" s="336">
        <v>19.100448089578499</v>
      </c>
      <c r="H32" s="336">
        <v>18.896896216253499</v>
      </c>
      <c r="I32" s="336">
        <v>18.821934030187801</v>
      </c>
      <c r="J32" s="336">
        <v>18.720667467881199</v>
      </c>
      <c r="K32" s="336">
        <v>18.586716620773299</v>
      </c>
      <c r="L32" s="336">
        <v>18.4294854232968</v>
      </c>
      <c r="M32" s="336">
        <v>18.240138157362001</v>
      </c>
      <c r="N32" s="336">
        <v>18.038606137981699</v>
      </c>
      <c r="O32" s="336">
        <v>17.799859334062202</v>
      </c>
      <c r="P32" s="336">
        <v>17.533737065431399</v>
      </c>
      <c r="Q32" s="336">
        <v>17.2011918188255</v>
      </c>
      <c r="R32" s="336">
        <v>16.805482131050798</v>
      </c>
      <c r="S32" s="336">
        <v>16.3794348714124</v>
      </c>
      <c r="T32" s="336">
        <v>15.8655043043624</v>
      </c>
      <c r="U32" s="334"/>
      <c r="V32" s="151">
        <f t="shared" ref="V32:V56" si="1">((T32/D32)^(1/($T$3-$D$3)))-1</f>
        <v>-1.0641204812194882E-2</v>
      </c>
    </row>
    <row r="33" spans="1:22" x14ac:dyDescent="0.25">
      <c r="A33" s="150" t="s">
        <v>276</v>
      </c>
      <c r="B33" s="139" t="s">
        <v>41</v>
      </c>
      <c r="C33" s="139" t="s">
        <v>435</v>
      </c>
      <c r="D33" s="336">
        <v>5.4135169440215796</v>
      </c>
      <c r="E33" s="336">
        <v>5.3711234029082897</v>
      </c>
      <c r="F33" s="336">
        <v>5.4032061916261798</v>
      </c>
      <c r="G33" s="336">
        <v>5.36239361656214</v>
      </c>
      <c r="H33" s="336">
        <v>5.2635212874572801</v>
      </c>
      <c r="I33" s="336">
        <v>5.2070099929792804</v>
      </c>
      <c r="J33" s="336">
        <v>5.1465530950176097</v>
      </c>
      <c r="K33" s="336">
        <v>5.0908664767183502</v>
      </c>
      <c r="L33" s="336">
        <v>5.0141091507739199</v>
      </c>
      <c r="M33" s="336">
        <v>4.9008766250209197</v>
      </c>
      <c r="N33" s="336">
        <v>4.79693806949932</v>
      </c>
      <c r="O33" s="336">
        <v>4.7068565553446398</v>
      </c>
      <c r="P33" s="336">
        <v>4.5842739074135297</v>
      </c>
      <c r="Q33" s="336">
        <v>4.4666247889752899</v>
      </c>
      <c r="R33" s="336">
        <v>4.3399274805474599</v>
      </c>
      <c r="S33" s="336">
        <v>4.2299030137872702</v>
      </c>
      <c r="T33" s="336">
        <v>4.09718314454219</v>
      </c>
      <c r="U33" s="335"/>
      <c r="V33" s="151">
        <f t="shared" si="1"/>
        <v>-1.7261733299333448E-2</v>
      </c>
    </row>
    <row r="34" spans="1:22" x14ac:dyDescent="0.25">
      <c r="A34" s="150" t="s">
        <v>276</v>
      </c>
      <c r="B34" s="139" t="s">
        <v>43</v>
      </c>
      <c r="C34" s="139" t="s">
        <v>435</v>
      </c>
      <c r="D34" s="336">
        <v>28.2878097602471</v>
      </c>
      <c r="E34" s="336">
        <v>28.242938342285399</v>
      </c>
      <c r="F34" s="336">
        <v>27.873101835235801</v>
      </c>
      <c r="G34" s="336">
        <v>27.931293013568101</v>
      </c>
      <c r="H34" s="336">
        <v>27.774316007577099</v>
      </c>
      <c r="I34" s="336">
        <v>27.705829738635199</v>
      </c>
      <c r="J34" s="336">
        <v>27.531252711523798</v>
      </c>
      <c r="K34" s="336">
        <v>27.301695652498299</v>
      </c>
      <c r="L34" s="336">
        <v>27.071087689369602</v>
      </c>
      <c r="M34" s="336">
        <v>26.819432849110999</v>
      </c>
      <c r="N34" s="336">
        <v>26.546504333739701</v>
      </c>
      <c r="O34" s="336">
        <v>26.188298585649601</v>
      </c>
      <c r="P34" s="336">
        <v>25.772859230926301</v>
      </c>
      <c r="Q34" s="336">
        <v>25.2591965979334</v>
      </c>
      <c r="R34" s="336">
        <v>24.655322416893299</v>
      </c>
      <c r="S34" s="336">
        <v>24.0302684928639</v>
      </c>
      <c r="T34" s="336">
        <v>23.276280970714598</v>
      </c>
      <c r="U34" s="335"/>
      <c r="V34" s="151">
        <f t="shared" si="1"/>
        <v>-1.2113292625968497E-2</v>
      </c>
    </row>
    <row r="35" spans="1:22" x14ac:dyDescent="0.25">
      <c r="A35" s="150" t="s">
        <v>276</v>
      </c>
      <c r="B35" s="139" t="s">
        <v>40</v>
      </c>
      <c r="C35" s="139" t="s">
        <v>435</v>
      </c>
      <c r="D35" s="336">
        <v>8.1289610643253791</v>
      </c>
      <c r="E35" s="336">
        <v>8.1026601542089498</v>
      </c>
      <c r="F35" s="336">
        <v>8.3626714960077493</v>
      </c>
      <c r="G35" s="336">
        <v>8.3579211633432209</v>
      </c>
      <c r="H35" s="336">
        <v>8.2470569209096993</v>
      </c>
      <c r="I35" s="336">
        <v>8.1800985005584099</v>
      </c>
      <c r="J35" s="336">
        <v>8.0878571109836805</v>
      </c>
      <c r="K35" s="336">
        <v>7.9859908136493898</v>
      </c>
      <c r="L35" s="336">
        <v>7.8342100717600998</v>
      </c>
      <c r="M35" s="336">
        <v>7.6344430187862704</v>
      </c>
      <c r="N35" s="336">
        <v>7.46330771246528</v>
      </c>
      <c r="O35" s="336">
        <v>7.3164544837444501</v>
      </c>
      <c r="P35" s="336">
        <v>7.1169009050943703</v>
      </c>
      <c r="Q35" s="336">
        <v>6.9267883849838103</v>
      </c>
      <c r="R35" s="336">
        <v>6.7197039306246404</v>
      </c>
      <c r="S35" s="336">
        <v>6.54934812512625</v>
      </c>
      <c r="T35" s="336">
        <v>6.3438520123373499</v>
      </c>
      <c r="U35" s="335"/>
      <c r="V35" s="151">
        <f t="shared" si="1"/>
        <v>-1.5377229730897168E-2</v>
      </c>
    </row>
    <row r="36" spans="1:22" x14ac:dyDescent="0.25">
      <c r="A36" s="150" t="s">
        <v>276</v>
      </c>
      <c r="B36" s="139" t="s">
        <v>42</v>
      </c>
      <c r="C36" s="139" t="s">
        <v>435</v>
      </c>
      <c r="D36" s="336">
        <v>7.4126608869088297</v>
      </c>
      <c r="E36" s="336">
        <v>7.4459839554838201</v>
      </c>
      <c r="F36" s="336">
        <v>7.9083503392625998</v>
      </c>
      <c r="G36" s="336">
        <v>7.9215226070446203</v>
      </c>
      <c r="H36" s="336">
        <v>7.9081171918364497</v>
      </c>
      <c r="I36" s="336">
        <v>7.9264474754222602</v>
      </c>
      <c r="J36" s="336">
        <v>7.9236828665088401</v>
      </c>
      <c r="K36" s="336">
        <v>7.9016118554777997</v>
      </c>
      <c r="L36" s="336">
        <v>7.8733650426222104</v>
      </c>
      <c r="M36" s="336">
        <v>7.82871710909225</v>
      </c>
      <c r="N36" s="336">
        <v>7.7760957030572504</v>
      </c>
      <c r="O36" s="336">
        <v>7.7045571213609403</v>
      </c>
      <c r="P36" s="336">
        <v>7.6204344731197899</v>
      </c>
      <c r="Q36" s="336">
        <v>7.5063653871937097</v>
      </c>
      <c r="R36" s="336">
        <v>7.36405770312677</v>
      </c>
      <c r="S36" s="336">
        <v>7.1773664448950703</v>
      </c>
      <c r="T36" s="336">
        <v>6.9521652681811696</v>
      </c>
      <c r="U36" s="335"/>
      <c r="V36" s="151">
        <f t="shared" si="1"/>
        <v>-4.0004958898789411E-3</v>
      </c>
    </row>
    <row r="37" spans="1:22" x14ac:dyDescent="0.25">
      <c r="A37" s="150" t="s">
        <v>279</v>
      </c>
      <c r="B37" s="139" t="s">
        <v>44</v>
      </c>
      <c r="C37" s="139" t="s">
        <v>435</v>
      </c>
      <c r="D37" s="336">
        <v>18.5400240027144</v>
      </c>
      <c r="E37" s="336">
        <v>18.5759120966237</v>
      </c>
      <c r="F37" s="336">
        <v>18.811362185644398</v>
      </c>
      <c r="G37" s="336">
        <v>18.971533836435199</v>
      </c>
      <c r="H37" s="336">
        <v>18.8832220001376</v>
      </c>
      <c r="I37" s="336">
        <v>18.864314221250499</v>
      </c>
      <c r="J37" s="336">
        <v>18.830429316612001</v>
      </c>
      <c r="K37" s="336">
        <v>18.774463609670999</v>
      </c>
      <c r="L37" s="336">
        <v>18.701968765890499</v>
      </c>
      <c r="M37" s="336">
        <v>18.612988073955499</v>
      </c>
      <c r="N37" s="336">
        <v>18.510589926215602</v>
      </c>
      <c r="O37" s="336">
        <v>18.390272895316301</v>
      </c>
      <c r="P37" s="336">
        <v>18.245831026213601</v>
      </c>
      <c r="Q37" s="336">
        <v>18.077855729648899</v>
      </c>
      <c r="R37" s="336">
        <v>17.913187269305599</v>
      </c>
      <c r="S37" s="336">
        <v>17.747432722883399</v>
      </c>
      <c r="T37" s="336">
        <v>17.584563020118701</v>
      </c>
      <c r="U37" s="335"/>
      <c r="V37" s="151">
        <f t="shared" si="1"/>
        <v>-3.3014406419596964E-3</v>
      </c>
    </row>
    <row r="38" spans="1:22" x14ac:dyDescent="0.25">
      <c r="A38" s="150" t="s">
        <v>279</v>
      </c>
      <c r="B38" s="139" t="s">
        <v>41</v>
      </c>
      <c r="C38" s="139" t="s">
        <v>435</v>
      </c>
      <c r="D38" s="336">
        <v>24.6155466124608</v>
      </c>
      <c r="E38" s="336">
        <v>24.428574219583801</v>
      </c>
      <c r="F38" s="336">
        <v>24.5899859700394</v>
      </c>
      <c r="G38" s="336">
        <v>24.4524291699218</v>
      </c>
      <c r="H38" s="336">
        <v>24.053768419905499</v>
      </c>
      <c r="I38" s="336">
        <v>23.8093931646514</v>
      </c>
      <c r="J38" s="336">
        <v>23.566926762858401</v>
      </c>
      <c r="K38" s="336">
        <v>23.3368646717133</v>
      </c>
      <c r="L38" s="336">
        <v>23.018765292189698</v>
      </c>
      <c r="M38" s="336">
        <v>22.534391963236601</v>
      </c>
      <c r="N38" s="336">
        <v>22.0802562514146</v>
      </c>
      <c r="O38" s="336">
        <v>21.701120799111798</v>
      </c>
      <c r="P38" s="336">
        <v>21.155707944357999</v>
      </c>
      <c r="Q38" s="336">
        <v>20.672282105935</v>
      </c>
      <c r="R38" s="336">
        <v>20.2787673250049</v>
      </c>
      <c r="S38" s="336">
        <v>19.9216578439503</v>
      </c>
      <c r="T38" s="336">
        <v>19.833358703218199</v>
      </c>
      <c r="U38" s="335"/>
      <c r="V38" s="151">
        <f t="shared" si="1"/>
        <v>-1.3410080132292279E-2</v>
      </c>
    </row>
    <row r="39" spans="1:22" x14ac:dyDescent="0.25">
      <c r="A39" s="150" t="s">
        <v>279</v>
      </c>
      <c r="B39" s="139" t="s">
        <v>43</v>
      </c>
      <c r="C39" s="139" t="s">
        <v>435</v>
      </c>
      <c r="D39" s="336">
        <v>5.2883285357694003</v>
      </c>
      <c r="E39" s="336">
        <v>5.275095656685</v>
      </c>
      <c r="F39" s="336">
        <v>5.1591584273799898</v>
      </c>
      <c r="G39" s="336">
        <v>5.1661398357691901</v>
      </c>
      <c r="H39" s="336">
        <v>5.1448285775698404</v>
      </c>
      <c r="I39" s="336">
        <v>5.1328011512277198</v>
      </c>
      <c r="J39" s="336">
        <v>5.09844477349223</v>
      </c>
      <c r="K39" s="336">
        <v>5.0510557155031197</v>
      </c>
      <c r="L39" s="336">
        <v>5.0068209224018601</v>
      </c>
      <c r="M39" s="336">
        <v>4.9597322127712697</v>
      </c>
      <c r="N39" s="336">
        <v>4.9057812580115296</v>
      </c>
      <c r="O39" s="336">
        <v>4.8341432356807701</v>
      </c>
      <c r="P39" s="336">
        <v>4.74651528864214</v>
      </c>
      <c r="Q39" s="336">
        <v>4.6448778253116503</v>
      </c>
      <c r="R39" s="336">
        <v>4.6114429166856201</v>
      </c>
      <c r="S39" s="336">
        <v>4.5116867226682498</v>
      </c>
      <c r="T39" s="336">
        <v>4.5363052059275297</v>
      </c>
      <c r="U39" s="335"/>
      <c r="V39" s="151">
        <f t="shared" si="1"/>
        <v>-9.5410290188211455E-3</v>
      </c>
    </row>
    <row r="40" spans="1:22" x14ac:dyDescent="0.25">
      <c r="A40" s="150" t="s">
        <v>279</v>
      </c>
      <c r="B40" s="139" t="s">
        <v>40</v>
      </c>
      <c r="C40" s="139" t="s">
        <v>435</v>
      </c>
      <c r="D40" s="336">
        <v>37.6259376708256</v>
      </c>
      <c r="E40" s="336">
        <v>37.519855871183701</v>
      </c>
      <c r="F40" s="336">
        <v>38.3824363673343</v>
      </c>
      <c r="G40" s="336">
        <v>38.370783629677497</v>
      </c>
      <c r="H40" s="336">
        <v>37.908120543834897</v>
      </c>
      <c r="I40" s="336">
        <v>37.664134743740597</v>
      </c>
      <c r="J40" s="336">
        <v>37.334027772491403</v>
      </c>
      <c r="K40" s="336">
        <v>36.984692663648197</v>
      </c>
      <c r="L40" s="336">
        <v>36.416101799594301</v>
      </c>
      <c r="M40" s="336">
        <v>35.673830400800597</v>
      </c>
      <c r="N40" s="336">
        <v>35.035849209150797</v>
      </c>
      <c r="O40" s="336">
        <v>34.528479650349702</v>
      </c>
      <c r="P40" s="336">
        <v>33.750050599072999</v>
      </c>
      <c r="Q40" s="336">
        <v>33.079728535947602</v>
      </c>
      <c r="R40" s="336">
        <v>32.580847375036001</v>
      </c>
      <c r="S40" s="336">
        <v>32.062846275230498</v>
      </c>
      <c r="T40" s="336">
        <v>31.952479587061401</v>
      </c>
      <c r="U40" s="335"/>
      <c r="V40" s="151">
        <f t="shared" si="1"/>
        <v>-1.0163242763031488E-2</v>
      </c>
    </row>
    <row r="41" spans="1:22" x14ac:dyDescent="0.25">
      <c r="A41" s="150" t="s">
        <v>279</v>
      </c>
      <c r="B41" s="139" t="s">
        <v>42</v>
      </c>
      <c r="C41" s="139" t="s">
        <v>435</v>
      </c>
      <c r="D41" s="336">
        <v>4.5535427843400704</v>
      </c>
      <c r="E41" s="336">
        <v>4.5760789573128697</v>
      </c>
      <c r="F41" s="336">
        <v>4.8629497734276503</v>
      </c>
      <c r="G41" s="336">
        <v>4.8774300598659499</v>
      </c>
      <c r="H41" s="336">
        <v>4.8755450151335902</v>
      </c>
      <c r="I41" s="336">
        <v>4.8905736165921097</v>
      </c>
      <c r="J41" s="336">
        <v>4.8936241878679096</v>
      </c>
      <c r="K41" s="336">
        <v>4.8853464922835697</v>
      </c>
      <c r="L41" s="336">
        <v>4.8739851277915998</v>
      </c>
      <c r="M41" s="336">
        <v>4.8536891262047899</v>
      </c>
      <c r="N41" s="336">
        <v>4.82722705059071</v>
      </c>
      <c r="O41" s="336">
        <v>4.7907185204504499</v>
      </c>
      <c r="P41" s="336">
        <v>4.7451091034827098</v>
      </c>
      <c r="Q41" s="336">
        <v>4.6860497691749297</v>
      </c>
      <c r="R41" s="336">
        <v>4.6968299818447896</v>
      </c>
      <c r="S41" s="336">
        <v>4.6162982141163598</v>
      </c>
      <c r="T41" s="336">
        <v>4.63594666625748</v>
      </c>
      <c r="U41" s="335"/>
      <c r="V41" s="151">
        <f t="shared" si="1"/>
        <v>1.1215570531906138E-3</v>
      </c>
    </row>
    <row r="42" spans="1:22" x14ac:dyDescent="0.25">
      <c r="A42" s="150" t="s">
        <v>280</v>
      </c>
      <c r="B42" s="139" t="s">
        <v>41</v>
      </c>
      <c r="C42" s="139" t="s">
        <v>435</v>
      </c>
      <c r="D42" s="336">
        <v>66.497838464005895</v>
      </c>
      <c r="E42" s="336">
        <v>66.166013606520593</v>
      </c>
      <c r="F42" s="336">
        <v>67.068358587209502</v>
      </c>
      <c r="G42" s="336">
        <v>66.877923899707895</v>
      </c>
      <c r="H42" s="336">
        <v>66.594315197551396</v>
      </c>
      <c r="I42" s="336">
        <v>66.083329211292707</v>
      </c>
      <c r="J42" s="336">
        <v>65.567855404939394</v>
      </c>
      <c r="K42" s="336">
        <v>64.960953009832195</v>
      </c>
      <c r="L42" s="336">
        <v>64.2876033245565</v>
      </c>
      <c r="M42" s="336">
        <v>63.400673978749403</v>
      </c>
      <c r="N42" s="336">
        <v>62.499003359433999</v>
      </c>
      <c r="O42" s="336">
        <v>61.623762832446701</v>
      </c>
      <c r="P42" s="336">
        <v>60.5061375433419</v>
      </c>
      <c r="Q42" s="336">
        <v>59.400528351003899</v>
      </c>
      <c r="R42" s="336">
        <v>58.182844204468999</v>
      </c>
      <c r="S42" s="336">
        <v>57.2563463678514</v>
      </c>
      <c r="T42" s="336">
        <v>56.164235696183397</v>
      </c>
      <c r="U42" s="335"/>
      <c r="V42" s="151">
        <f t="shared" si="1"/>
        <v>-1.0500064378509921E-2</v>
      </c>
    </row>
    <row r="43" spans="1:22" x14ac:dyDescent="0.25">
      <c r="A43" s="150" t="s">
        <v>280</v>
      </c>
      <c r="B43" s="139" t="s">
        <v>43</v>
      </c>
      <c r="C43" s="139" t="s">
        <v>435</v>
      </c>
      <c r="D43" s="336">
        <v>0.40322355544064498</v>
      </c>
      <c r="E43" s="336">
        <v>0.40212437043913601</v>
      </c>
      <c r="F43" s="336">
        <v>0.38923584976662501</v>
      </c>
      <c r="G43" s="336">
        <v>0.39199786569438599</v>
      </c>
      <c r="H43" s="336">
        <v>0.39378230502640199</v>
      </c>
      <c r="I43" s="336">
        <v>0.39426131184604901</v>
      </c>
      <c r="J43" s="336">
        <v>0.392800820894319</v>
      </c>
      <c r="K43" s="336">
        <v>0.39045195750948902</v>
      </c>
      <c r="L43" s="336">
        <v>0.388853022277728</v>
      </c>
      <c r="M43" s="336">
        <v>0.38748625617281801</v>
      </c>
      <c r="N43" s="336">
        <v>0.38571200712904602</v>
      </c>
      <c r="O43" s="336">
        <v>0.38270834023614603</v>
      </c>
      <c r="P43" s="336">
        <v>0.378631224892019</v>
      </c>
      <c r="Q43" s="336">
        <v>0.37407309916049097</v>
      </c>
      <c r="R43" s="336">
        <v>0.36890348616019902</v>
      </c>
      <c r="S43" s="336">
        <v>0.36507294008653002</v>
      </c>
      <c r="T43" s="336">
        <v>0.35996156713309302</v>
      </c>
      <c r="U43" s="335"/>
      <c r="V43" s="151">
        <f t="shared" si="1"/>
        <v>-7.0682682342533276E-3</v>
      </c>
    </row>
    <row r="44" spans="1:22" x14ac:dyDescent="0.25">
      <c r="A44" s="150" t="s">
        <v>280</v>
      </c>
      <c r="B44" s="139" t="s">
        <v>40</v>
      </c>
      <c r="C44" s="139" t="s">
        <v>435</v>
      </c>
      <c r="D44" s="336">
        <v>26.722467582650701</v>
      </c>
      <c r="E44" s="336">
        <v>26.578797679115802</v>
      </c>
      <c r="F44" s="336">
        <v>27.043693556316999</v>
      </c>
      <c r="G44" s="336">
        <v>27.036891703174899</v>
      </c>
      <c r="H44" s="336">
        <v>26.7227923969768</v>
      </c>
      <c r="I44" s="336">
        <v>26.512424724968302</v>
      </c>
      <c r="J44" s="336">
        <v>26.2819944859408</v>
      </c>
      <c r="K44" s="336">
        <v>26.048505175928099</v>
      </c>
      <c r="L44" s="336">
        <v>25.698366679471999</v>
      </c>
      <c r="M44" s="336">
        <v>25.1820386437095</v>
      </c>
      <c r="N44" s="336">
        <v>24.721874283135701</v>
      </c>
      <c r="O44" s="336">
        <v>24.357433950769799</v>
      </c>
      <c r="P44" s="336">
        <v>23.811021280328699</v>
      </c>
      <c r="Q44" s="336">
        <v>23.3494600751165</v>
      </c>
      <c r="R44" s="336">
        <v>22.869829556078098</v>
      </c>
      <c r="S44" s="336">
        <v>22.572629040879399</v>
      </c>
      <c r="T44" s="336">
        <v>22.207532291344201</v>
      </c>
      <c r="U44" s="335"/>
      <c r="V44" s="151">
        <f t="shared" si="1"/>
        <v>-1.1500431750551043E-2</v>
      </c>
    </row>
    <row r="45" spans="1:22" x14ac:dyDescent="0.25">
      <c r="A45" s="150" t="s">
        <v>280</v>
      </c>
      <c r="B45" s="139" t="s">
        <v>42</v>
      </c>
      <c r="C45" s="139" t="s">
        <v>435</v>
      </c>
      <c r="D45" s="336">
        <v>0.271791726325118</v>
      </c>
      <c r="E45" s="336">
        <v>0.27336641422302399</v>
      </c>
      <c r="F45" s="336">
        <v>0.29077021423322302</v>
      </c>
      <c r="G45" s="336">
        <v>0.29316250718773601</v>
      </c>
      <c r="H45" s="336">
        <v>0.29463980162835002</v>
      </c>
      <c r="I45" s="336">
        <v>0.29626610323907698</v>
      </c>
      <c r="J45" s="336">
        <v>0.29732443062870001</v>
      </c>
      <c r="K45" s="336">
        <v>0.29783041497692297</v>
      </c>
      <c r="L45" s="336">
        <v>0.29825936614639498</v>
      </c>
      <c r="M45" s="336">
        <v>0.29835119581907499</v>
      </c>
      <c r="N45" s="336">
        <v>0.298144187823977</v>
      </c>
      <c r="O45" s="336">
        <v>0.29758181819227297</v>
      </c>
      <c r="P45" s="336">
        <v>0.29662805942812798</v>
      </c>
      <c r="Q45" s="336">
        <v>0.29532599258287201</v>
      </c>
      <c r="R45" s="336">
        <v>0.29355916025867002</v>
      </c>
      <c r="S45" s="336">
        <v>0.291097362689753</v>
      </c>
      <c r="T45" s="336">
        <v>0.288031944165073</v>
      </c>
      <c r="U45" s="335"/>
      <c r="V45" s="151">
        <f t="shared" si="1"/>
        <v>3.6337944225739438E-3</v>
      </c>
    </row>
    <row r="46" spans="1:22" x14ac:dyDescent="0.25">
      <c r="A46" s="150" t="s">
        <v>269</v>
      </c>
      <c r="B46" s="139" t="s">
        <v>45</v>
      </c>
      <c r="C46" s="139" t="s">
        <v>435</v>
      </c>
      <c r="D46" s="336">
        <v>97.524997529698098</v>
      </c>
      <c r="E46" s="336">
        <v>98.076261660483596</v>
      </c>
      <c r="F46" s="336">
        <v>98.399500450073305</v>
      </c>
      <c r="G46" s="336">
        <v>98.384883703643794</v>
      </c>
      <c r="H46" s="336">
        <v>97.360798317733995</v>
      </c>
      <c r="I46" s="336">
        <v>97.718284964841303</v>
      </c>
      <c r="J46" s="336">
        <v>97.526520830110201</v>
      </c>
      <c r="K46" s="336">
        <v>97.579211475578205</v>
      </c>
      <c r="L46" s="336">
        <v>96.578231844800399</v>
      </c>
      <c r="M46" s="336">
        <v>96.061493411824102</v>
      </c>
      <c r="N46" s="336">
        <v>95.879186539613002</v>
      </c>
      <c r="O46" s="336">
        <v>96.112497899162307</v>
      </c>
      <c r="P46" s="336">
        <v>95.451661110475698</v>
      </c>
      <c r="Q46" s="336">
        <v>95.221408493763093</v>
      </c>
      <c r="R46" s="336">
        <v>94.927064446620903</v>
      </c>
      <c r="S46" s="336">
        <v>93.597436611138406</v>
      </c>
      <c r="T46" s="336">
        <v>91.995387948871894</v>
      </c>
      <c r="U46" s="335"/>
      <c r="V46" s="151">
        <f t="shared" si="1"/>
        <v>-3.6414964405356853E-3</v>
      </c>
    </row>
    <row r="47" spans="1:22" x14ac:dyDescent="0.25">
      <c r="A47" s="150" t="s">
        <v>272</v>
      </c>
      <c r="B47" s="139" t="s">
        <v>45</v>
      </c>
      <c r="C47" s="139" t="s">
        <v>435</v>
      </c>
      <c r="D47" s="336">
        <v>708.52575135832899</v>
      </c>
      <c r="E47" s="336">
        <v>712.63953834212202</v>
      </c>
      <c r="F47" s="336">
        <v>715.12592685813502</v>
      </c>
      <c r="G47" s="336">
        <v>715.69585550710201</v>
      </c>
      <c r="H47" s="336">
        <v>709.26917434612005</v>
      </c>
      <c r="I47" s="336">
        <v>712.68475790139303</v>
      </c>
      <c r="J47" s="336">
        <v>712.25418595477697</v>
      </c>
      <c r="K47" s="336">
        <v>713.65433110268896</v>
      </c>
      <c r="L47" s="336">
        <v>707.65437552383401</v>
      </c>
      <c r="M47" s="336">
        <v>705.39602497215003</v>
      </c>
      <c r="N47" s="336">
        <v>705.83720473153505</v>
      </c>
      <c r="O47" s="336">
        <v>709.62674376900304</v>
      </c>
      <c r="P47" s="336">
        <v>707.321111556956</v>
      </c>
      <c r="Q47" s="336">
        <v>708.430185376635</v>
      </c>
      <c r="R47" s="336">
        <v>709.61587072673501</v>
      </c>
      <c r="S47" s="336">
        <v>703.78889597581895</v>
      </c>
      <c r="T47" s="336">
        <v>696.50546619437796</v>
      </c>
      <c r="U47" s="335"/>
      <c r="V47" s="151">
        <f t="shared" si="1"/>
        <v>-1.0688510899601322E-3</v>
      </c>
    </row>
    <row r="48" spans="1:22" x14ac:dyDescent="0.25">
      <c r="A48" s="150" t="s">
        <v>281</v>
      </c>
      <c r="B48" s="139" t="s">
        <v>44</v>
      </c>
      <c r="C48" s="139" t="s">
        <v>435</v>
      </c>
      <c r="D48" s="336">
        <v>1.09166761033639</v>
      </c>
      <c r="E48" s="336">
        <v>1.09384782233239</v>
      </c>
      <c r="F48" s="336">
        <v>1.1077951092834499</v>
      </c>
      <c r="G48" s="336">
        <v>1.11748887662103</v>
      </c>
      <c r="H48" s="336">
        <v>1.1125430938736101</v>
      </c>
      <c r="I48" s="336">
        <v>1.1115609353723399</v>
      </c>
      <c r="J48" s="336">
        <v>1.10972027792857</v>
      </c>
      <c r="K48" s="336">
        <v>1.1066025915803701</v>
      </c>
      <c r="L48" s="336">
        <v>1.1025254413316301</v>
      </c>
      <c r="M48" s="336">
        <v>1.0975175785548601</v>
      </c>
      <c r="N48" s="336">
        <v>1.09170305452655</v>
      </c>
      <c r="O48" s="336">
        <v>1.08488291697755</v>
      </c>
      <c r="P48" s="336">
        <v>1.07663153229778</v>
      </c>
      <c r="Q48" s="336">
        <v>1.0671225625441301</v>
      </c>
      <c r="R48" s="336">
        <v>1.05585733364326</v>
      </c>
      <c r="S48" s="336">
        <v>1.04640644670623</v>
      </c>
      <c r="T48" s="336">
        <v>1.03483717602521</v>
      </c>
      <c r="U48" s="335"/>
      <c r="V48" s="151">
        <f t="shared" si="1"/>
        <v>-3.3358205187010714E-3</v>
      </c>
    </row>
    <row r="49" spans="1:22" x14ac:dyDescent="0.25">
      <c r="A49" s="150" t="s">
        <v>281</v>
      </c>
      <c r="B49" s="139" t="s">
        <v>41</v>
      </c>
      <c r="C49" s="139" t="s">
        <v>435</v>
      </c>
      <c r="D49" s="336">
        <v>53.494524540380503</v>
      </c>
      <c r="E49" s="336">
        <v>53.0892044020963</v>
      </c>
      <c r="F49" s="336">
        <v>53.448993078640903</v>
      </c>
      <c r="G49" s="336">
        <v>53.157906042159603</v>
      </c>
      <c r="H49" s="336">
        <v>52.296892675771403</v>
      </c>
      <c r="I49" s="336">
        <v>51.757003016037501</v>
      </c>
      <c r="J49" s="336">
        <v>51.233785871975797</v>
      </c>
      <c r="K49" s="336">
        <v>50.731137943092001</v>
      </c>
      <c r="L49" s="336">
        <v>50.029007672591199</v>
      </c>
      <c r="M49" s="336">
        <v>48.963672849240098</v>
      </c>
      <c r="N49" s="336">
        <v>47.956447221715003</v>
      </c>
      <c r="O49" s="336">
        <v>47.116725966085902</v>
      </c>
      <c r="P49" s="336">
        <v>45.903836626246097</v>
      </c>
      <c r="Q49" s="336">
        <v>44.841435485067102</v>
      </c>
      <c r="R49" s="336">
        <v>43.7247274390256</v>
      </c>
      <c r="S49" s="336">
        <v>42.914676857249603</v>
      </c>
      <c r="T49" s="336">
        <v>41.9764283013198</v>
      </c>
      <c r="U49" s="335"/>
      <c r="V49" s="151">
        <f t="shared" si="1"/>
        <v>-1.5040191418616566E-2</v>
      </c>
    </row>
    <row r="50" spans="1:22" x14ac:dyDescent="0.25">
      <c r="A50" s="150" t="s">
        <v>281</v>
      </c>
      <c r="B50" s="139" t="s">
        <v>43</v>
      </c>
      <c r="C50" s="139" t="s">
        <v>435</v>
      </c>
      <c r="D50" s="336">
        <v>2.1309338215580298</v>
      </c>
      <c r="E50" s="336">
        <v>2.1241951111209998</v>
      </c>
      <c r="F50" s="336">
        <v>2.0557734695168501</v>
      </c>
      <c r="G50" s="336">
        <v>2.0635801362606401</v>
      </c>
      <c r="H50" s="336">
        <v>2.0655852752083899</v>
      </c>
      <c r="I50" s="336">
        <v>2.0639824571769698</v>
      </c>
      <c r="J50" s="336">
        <v>2.0524831622515398</v>
      </c>
      <c r="K50" s="336">
        <v>2.0353875034680402</v>
      </c>
      <c r="L50" s="336">
        <v>2.02075243281935</v>
      </c>
      <c r="M50" s="336">
        <v>2.0062865873428599</v>
      </c>
      <c r="N50" s="336">
        <v>1.9886466226105199</v>
      </c>
      <c r="O50" s="336">
        <v>1.9639147469054199</v>
      </c>
      <c r="P50" s="336">
        <v>1.9318399712588299</v>
      </c>
      <c r="Q50" s="336">
        <v>1.8966499832985599</v>
      </c>
      <c r="R50" s="336">
        <v>1.85644366720885</v>
      </c>
      <c r="S50" s="336">
        <v>1.8220509251442101</v>
      </c>
      <c r="T50" s="336">
        <v>1.78221521450764</v>
      </c>
      <c r="U50" s="335"/>
      <c r="V50" s="151">
        <f t="shared" si="1"/>
        <v>-1.1106809117904848E-2</v>
      </c>
    </row>
    <row r="51" spans="1:22" x14ac:dyDescent="0.25">
      <c r="A51" s="150" t="s">
        <v>281</v>
      </c>
      <c r="B51" s="139" t="s">
        <v>40</v>
      </c>
      <c r="C51" s="139" t="s">
        <v>435</v>
      </c>
      <c r="D51" s="336">
        <v>63.3865006804999</v>
      </c>
      <c r="E51" s="336">
        <v>63.053079787575797</v>
      </c>
      <c r="F51" s="336">
        <v>64.2606130105505</v>
      </c>
      <c r="G51" s="336">
        <v>64.168671570878601</v>
      </c>
      <c r="H51" s="336">
        <v>63.332649882099098</v>
      </c>
      <c r="I51" s="336">
        <v>62.788168774634002</v>
      </c>
      <c r="J51" s="336">
        <v>62.187884642874899</v>
      </c>
      <c r="K51" s="336">
        <v>61.560447523690797</v>
      </c>
      <c r="L51" s="336">
        <v>60.628488768500702</v>
      </c>
      <c r="M51" s="336">
        <v>59.297412882287702</v>
      </c>
      <c r="N51" s="336">
        <v>58.094777826708899</v>
      </c>
      <c r="O51" s="336">
        <v>57.109462638213202</v>
      </c>
      <c r="P51" s="336">
        <v>55.674147478539098</v>
      </c>
      <c r="Q51" s="336">
        <v>54.430236250679798</v>
      </c>
      <c r="R51" s="336">
        <v>53.118390326863398</v>
      </c>
      <c r="S51" s="336">
        <v>52.224257887577998</v>
      </c>
      <c r="T51" s="336">
        <v>51.183080815481503</v>
      </c>
      <c r="U51" s="335"/>
      <c r="V51" s="151">
        <f t="shared" si="1"/>
        <v>-1.3276201571916557E-2</v>
      </c>
    </row>
    <row r="52" spans="1:22" x14ac:dyDescent="0.25">
      <c r="A52" s="150" t="s">
        <v>281</v>
      </c>
      <c r="B52" s="139" t="s">
        <v>42</v>
      </c>
      <c r="C52" s="139" t="s">
        <v>435</v>
      </c>
      <c r="D52" s="336">
        <v>0.76335784702048104</v>
      </c>
      <c r="E52" s="336">
        <v>0.76781251573171005</v>
      </c>
      <c r="F52" s="336">
        <v>0.81672390898003899</v>
      </c>
      <c r="G52" s="336">
        <v>0.82312295730936902</v>
      </c>
      <c r="H52" s="336">
        <v>0.82690545383506298</v>
      </c>
      <c r="I52" s="336">
        <v>0.83138849478648102</v>
      </c>
      <c r="J52" s="336">
        <v>0.83421054168270503</v>
      </c>
      <c r="K52" s="336">
        <v>0.83552816303286404</v>
      </c>
      <c r="L52" s="336">
        <v>0.83655055873769002</v>
      </c>
      <c r="M52" s="336">
        <v>0.836624073278882</v>
      </c>
      <c r="N52" s="336">
        <v>0.835833053795492</v>
      </c>
      <c r="O52" s="336">
        <v>0.83400830477234</v>
      </c>
      <c r="P52" s="336">
        <v>0.83105302388980296</v>
      </c>
      <c r="Q52" s="336">
        <v>0.82706922223665702</v>
      </c>
      <c r="R52" s="336">
        <v>0.82172754026935402</v>
      </c>
      <c r="S52" s="336">
        <v>0.81437232869987197</v>
      </c>
      <c r="T52" s="336">
        <v>0.80536847179941395</v>
      </c>
      <c r="U52" s="335"/>
      <c r="V52" s="151">
        <f t="shared" si="1"/>
        <v>3.3539231227626143E-3</v>
      </c>
    </row>
    <row r="53" spans="1:22" x14ac:dyDescent="0.25">
      <c r="A53" s="150" t="s">
        <v>282</v>
      </c>
      <c r="B53" s="139" t="s">
        <v>41</v>
      </c>
      <c r="C53" s="139" t="s">
        <v>435</v>
      </c>
      <c r="D53" s="336">
        <v>334.28259183149697</v>
      </c>
      <c r="E53" s="336">
        <v>332.75788903955998</v>
      </c>
      <c r="F53" s="336">
        <v>337.81050549686802</v>
      </c>
      <c r="G53" s="336">
        <v>336.55099829930901</v>
      </c>
      <c r="H53" s="336">
        <v>335.55760082836099</v>
      </c>
      <c r="I53" s="336">
        <v>332.932102956802</v>
      </c>
      <c r="J53" s="336">
        <v>330.25932789989702</v>
      </c>
      <c r="K53" s="336">
        <v>326.92692589005998</v>
      </c>
      <c r="L53" s="336">
        <v>323.428148633332</v>
      </c>
      <c r="M53" s="336">
        <v>319.09496938841102</v>
      </c>
      <c r="N53" s="336">
        <v>314.52706772735399</v>
      </c>
      <c r="O53" s="336">
        <v>309.81332453730801</v>
      </c>
      <c r="P53" s="336">
        <v>304.07054779216497</v>
      </c>
      <c r="Q53" s="336">
        <v>298.12200140318799</v>
      </c>
      <c r="R53" s="336">
        <v>291.456363527066</v>
      </c>
      <c r="S53" s="336">
        <v>286.05680106743301</v>
      </c>
      <c r="T53" s="336">
        <v>279.80270805845697</v>
      </c>
      <c r="U53" s="335"/>
      <c r="V53" s="151">
        <f t="shared" si="1"/>
        <v>-1.1057287407689631E-2</v>
      </c>
    </row>
    <row r="54" spans="1:22" x14ac:dyDescent="0.25">
      <c r="A54" s="150" t="s">
        <v>282</v>
      </c>
      <c r="B54" s="139" t="s">
        <v>43</v>
      </c>
      <c r="C54" s="139" t="s">
        <v>435</v>
      </c>
      <c r="D54" s="336">
        <v>1.0539600985400599</v>
      </c>
      <c r="E54" s="336">
        <v>1.0506271316293201</v>
      </c>
      <c r="F54" s="336">
        <v>1.01678578029413</v>
      </c>
      <c r="G54" s="336">
        <v>1.02064695850967</v>
      </c>
      <c r="H54" s="336">
        <v>1.02163870045002</v>
      </c>
      <c r="I54" s="336">
        <v>1.0208459464783799</v>
      </c>
      <c r="J54" s="336">
        <v>1.01515839396496</v>
      </c>
      <c r="K54" s="336">
        <v>1.0067028792822501</v>
      </c>
      <c r="L54" s="336">
        <v>0.99946437175706104</v>
      </c>
      <c r="M54" s="336">
        <v>0.99230956302033002</v>
      </c>
      <c r="N54" s="336">
        <v>0.98358483455647805</v>
      </c>
      <c r="O54" s="336">
        <v>0.97135244615871497</v>
      </c>
      <c r="P54" s="336">
        <v>0.95548825865597398</v>
      </c>
      <c r="Q54" s="336">
        <v>0.93808328680606401</v>
      </c>
      <c r="R54" s="336">
        <v>0.91819723852097002</v>
      </c>
      <c r="S54" s="336">
        <v>0.90118658457724299</v>
      </c>
      <c r="T54" s="336">
        <v>0.88148383778934403</v>
      </c>
      <c r="U54" s="159"/>
      <c r="V54" s="151">
        <f t="shared" si="1"/>
        <v>-1.1106809117904182E-2</v>
      </c>
    </row>
    <row r="55" spans="1:22" x14ac:dyDescent="0.25">
      <c r="A55" s="150" t="s">
        <v>282</v>
      </c>
      <c r="B55" s="139" t="s">
        <v>40</v>
      </c>
      <c r="C55" s="139" t="s">
        <v>435</v>
      </c>
      <c r="D55" s="336">
        <v>77.673786685304506</v>
      </c>
      <c r="E55" s="336">
        <v>77.297374380443799</v>
      </c>
      <c r="F55" s="336">
        <v>78.948178826817099</v>
      </c>
      <c r="G55" s="336">
        <v>78.890917313800799</v>
      </c>
      <c r="H55" s="336">
        <v>77.906799861006306</v>
      </c>
      <c r="I55" s="336">
        <v>77.260452084166701</v>
      </c>
      <c r="J55" s="336">
        <v>76.5291752158208</v>
      </c>
      <c r="K55" s="336">
        <v>75.753340420225996</v>
      </c>
      <c r="L55" s="336">
        <v>74.589419004575205</v>
      </c>
      <c r="M55" s="336">
        <v>72.943263642596094</v>
      </c>
      <c r="N55" s="336">
        <v>71.467549626011305</v>
      </c>
      <c r="O55" s="336">
        <v>70.2622657067338</v>
      </c>
      <c r="P55" s="336">
        <v>68.503837795142601</v>
      </c>
      <c r="Q55" s="336">
        <v>66.982822596007594</v>
      </c>
      <c r="R55" s="336">
        <v>65.377774972474995</v>
      </c>
      <c r="S55" s="336">
        <v>64.296496505682995</v>
      </c>
      <c r="T55" s="336">
        <v>63.036093823135502</v>
      </c>
      <c r="U55" s="159"/>
      <c r="V55" s="151">
        <f t="shared" si="1"/>
        <v>-1.2965856723774927E-2</v>
      </c>
    </row>
    <row r="56" spans="1:22" x14ac:dyDescent="0.25">
      <c r="A56" s="150" t="s">
        <v>282</v>
      </c>
      <c r="B56" s="139" t="s">
        <v>42</v>
      </c>
      <c r="C56" s="139" t="s">
        <v>435</v>
      </c>
      <c r="D56" s="336">
        <v>0.95160965874027503</v>
      </c>
      <c r="E56" s="336">
        <v>0.95716289407890098</v>
      </c>
      <c r="F56" s="336">
        <v>1.01813633454228</v>
      </c>
      <c r="G56" s="336">
        <v>1.02611345329557</v>
      </c>
      <c r="H56" s="336">
        <v>1.03082875194882</v>
      </c>
      <c r="I56" s="336">
        <v>1.03641735641073</v>
      </c>
      <c r="J56" s="336">
        <v>1.03993534878397</v>
      </c>
      <c r="K56" s="336">
        <v>1.0415779089649699</v>
      </c>
      <c r="L56" s="336">
        <v>1.0428524378527799</v>
      </c>
      <c r="M56" s="336">
        <v>1.0429440818278</v>
      </c>
      <c r="N56" s="336">
        <v>1.0419579888917201</v>
      </c>
      <c r="O56" s="336">
        <v>1.0396832381938801</v>
      </c>
      <c r="P56" s="336">
        <v>1.0359991549777501</v>
      </c>
      <c r="Q56" s="336">
        <v>1.0310329073044799</v>
      </c>
      <c r="R56" s="336">
        <v>1.02437391221607</v>
      </c>
      <c r="S56" s="336">
        <v>1.0152048306393</v>
      </c>
      <c r="T56" s="336">
        <v>1.0039805310190999</v>
      </c>
      <c r="U56" s="159"/>
      <c r="V56" s="151">
        <f t="shared" si="1"/>
        <v>3.3539231227628363E-3</v>
      </c>
    </row>
  </sheetData>
  <autoFilter ref="A3:W31" xr:uid="{00000000-0001-0000-4100-000000000000}"/>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4100-000000000000}">
          <x14:formula1>
            <xm:f>EditableIndexes!$O$5:$O$16</xm:f>
          </x14:formula1>
          <xm:sqref>A4:A6</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0">
    <tabColor theme="9" tint="-0.499984740745262"/>
  </sheetPr>
  <dimension ref="A1"/>
  <sheetViews>
    <sheetView workbookViewId="0">
      <selection sqref="A1:XFD1048576"/>
    </sheetView>
  </sheetViews>
  <sheetFormatPr defaultColWidth="9.09765625" defaultRowHeight="13.8" x14ac:dyDescent="0.25"/>
  <cols>
    <col min="1" max="1" width="9.09765625" style="405" customWidth="1"/>
    <col min="2" max="16384" width="9.09765625" style="405"/>
  </cols>
  <sheetData/>
  <mergeCells count="1">
    <mergeCell ref="A1:XFD104857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tabColor theme="7" tint="0.39997558519241921"/>
  </sheetPr>
  <dimension ref="A1:D716"/>
  <sheetViews>
    <sheetView workbookViewId="0">
      <selection activeCell="C27" sqref="C27"/>
    </sheetView>
  </sheetViews>
  <sheetFormatPr defaultColWidth="9.09765625" defaultRowHeight="13.8" outlineLevelRow="1" x14ac:dyDescent="0.25"/>
  <cols>
    <col min="1" max="1" width="10.5" customWidth="1"/>
    <col min="2" max="2" width="22.09765625" style="2" customWidth="1"/>
    <col min="3" max="3" width="16.69921875" style="1" customWidth="1"/>
    <col min="4" max="4" width="50.69921875" customWidth="1"/>
    <col min="5" max="5" width="8.296875" customWidth="1"/>
    <col min="6" max="6" width="16" customWidth="1"/>
    <col min="7" max="10" width="7.69921875" customWidth="1"/>
    <col min="11" max="11" width="9.796875" customWidth="1"/>
    <col min="12" max="22" width="7.69921875" customWidth="1"/>
  </cols>
  <sheetData>
    <row r="1" spans="1:4" ht="50.1" customHeight="1" outlineLevel="1" x14ac:dyDescent="0.25">
      <c r="B1" s="7"/>
    </row>
    <row r="2" spans="1:4" ht="17.25" customHeight="1" outlineLevel="1" x14ac:dyDescent="0.25">
      <c r="A2" s="6" t="s">
        <v>7</v>
      </c>
      <c r="B2" s="5" t="s">
        <v>8</v>
      </c>
      <c r="C2"/>
    </row>
    <row r="3" spans="1:4" s="4" customFormat="1" ht="14.4" x14ac:dyDescent="0.3">
      <c r="A3" s="146" t="s">
        <v>9</v>
      </c>
      <c r="B3" s="184" t="s">
        <v>10</v>
      </c>
      <c r="C3" s="185" t="s">
        <v>11</v>
      </c>
      <c r="D3" s="185" t="s">
        <v>12</v>
      </c>
    </row>
    <row r="4" spans="1:4" s="4" customFormat="1" ht="27.6" x14ac:dyDescent="0.25">
      <c r="A4" s="161" t="s">
        <v>13</v>
      </c>
      <c r="B4" s="161" t="s">
        <v>14</v>
      </c>
      <c r="C4" s="186">
        <v>0.02</v>
      </c>
      <c r="D4" s="187" t="s">
        <v>566</v>
      </c>
    </row>
    <row r="5" spans="1:4" ht="13.95" customHeight="1" x14ac:dyDescent="0.25">
      <c r="A5" s="161" t="s">
        <v>13</v>
      </c>
      <c r="B5" s="139" t="s">
        <v>15</v>
      </c>
      <c r="C5" s="186">
        <v>6.3299999999999995E-2</v>
      </c>
      <c r="D5" s="406" t="s">
        <v>526</v>
      </c>
    </row>
    <row r="6" spans="1:4" x14ac:dyDescent="0.25">
      <c r="A6" s="161" t="s">
        <v>13</v>
      </c>
      <c r="B6" s="139" t="s">
        <v>16</v>
      </c>
      <c r="C6" s="186">
        <v>6.3299999999999995E-2</v>
      </c>
      <c r="D6" s="406"/>
    </row>
    <row r="7" spans="1:4" x14ac:dyDescent="0.25">
      <c r="A7" s="161" t="s">
        <v>13</v>
      </c>
      <c r="B7" s="139" t="s">
        <v>17</v>
      </c>
      <c r="C7" s="186">
        <v>6.3299999999999995E-2</v>
      </c>
      <c r="D7" s="406"/>
    </row>
    <row r="8" spans="1:4" x14ac:dyDescent="0.25">
      <c r="A8" s="161" t="s">
        <v>13</v>
      </c>
      <c r="B8" s="139" t="s">
        <v>18</v>
      </c>
      <c r="C8" s="186">
        <v>6.3299999999999995E-2</v>
      </c>
      <c r="D8" s="406"/>
    </row>
    <row r="9" spans="1:4" ht="56.1" customHeight="1" x14ac:dyDescent="0.25">
      <c r="A9" s="161" t="s">
        <v>13</v>
      </c>
      <c r="B9" s="139" t="s">
        <v>19</v>
      </c>
      <c r="C9" s="186">
        <v>6.3299999999999995E-2</v>
      </c>
      <c r="D9" s="406"/>
    </row>
    <row r="10" spans="1:4" ht="36.450000000000003" customHeight="1" x14ac:dyDescent="0.25">
      <c r="A10" s="161" t="s">
        <v>20</v>
      </c>
      <c r="B10" s="161" t="s">
        <v>14</v>
      </c>
      <c r="C10" s="186">
        <v>0.02</v>
      </c>
      <c r="D10" s="187" t="s">
        <v>567</v>
      </c>
    </row>
    <row r="11" spans="1:4" x14ac:dyDescent="0.25">
      <c r="A11" s="161" t="s">
        <v>20</v>
      </c>
      <c r="B11" s="139" t="s">
        <v>15</v>
      </c>
      <c r="C11" s="186">
        <v>6.3299999999999995E-2</v>
      </c>
      <c r="D11" s="406" t="s">
        <v>526</v>
      </c>
    </row>
    <row r="12" spans="1:4" x14ac:dyDescent="0.25">
      <c r="A12" s="161" t="s">
        <v>20</v>
      </c>
      <c r="B12" s="139" t="s">
        <v>16</v>
      </c>
      <c r="C12" s="186">
        <v>6.3299999999999995E-2</v>
      </c>
      <c r="D12" s="406"/>
    </row>
    <row r="13" spans="1:4" x14ac:dyDescent="0.25">
      <c r="A13" s="161" t="s">
        <v>20</v>
      </c>
      <c r="B13" s="139" t="s">
        <v>17</v>
      </c>
      <c r="C13" s="186">
        <v>6.3299999999999995E-2</v>
      </c>
      <c r="D13" s="406"/>
    </row>
    <row r="14" spans="1:4" x14ac:dyDescent="0.25">
      <c r="A14" s="161" t="s">
        <v>20</v>
      </c>
      <c r="B14" s="139" t="s">
        <v>18</v>
      </c>
      <c r="C14" s="186">
        <v>6.3299999999999995E-2</v>
      </c>
      <c r="D14" s="406"/>
    </row>
    <row r="15" spans="1:4" x14ac:dyDescent="0.25">
      <c r="A15" s="161" t="s">
        <v>20</v>
      </c>
      <c r="B15" s="139" t="s">
        <v>19</v>
      </c>
      <c r="C15" s="186">
        <v>6.3299999999999995E-2</v>
      </c>
      <c r="D15" s="406"/>
    </row>
    <row r="16" spans="1:4" x14ac:dyDescent="0.25">
      <c r="D16" s="3"/>
    </row>
    <row r="17" spans="4:4" x14ac:dyDescent="0.25">
      <c r="D17" s="3"/>
    </row>
    <row r="18" spans="4:4" x14ac:dyDescent="0.25">
      <c r="D18" s="3"/>
    </row>
    <row r="19" spans="4:4" x14ac:dyDescent="0.25">
      <c r="D19" s="3"/>
    </row>
    <row r="20" spans="4:4" x14ac:dyDescent="0.25">
      <c r="D20" s="3"/>
    </row>
    <row r="21" spans="4:4" x14ac:dyDescent="0.25">
      <c r="D21" s="3"/>
    </row>
    <row r="22" spans="4:4" x14ac:dyDescent="0.25">
      <c r="D22" s="3"/>
    </row>
    <row r="23" spans="4:4" x14ac:dyDescent="0.25">
      <c r="D23" s="3"/>
    </row>
    <row r="24" spans="4:4" x14ac:dyDescent="0.25">
      <c r="D24" s="3"/>
    </row>
    <row r="25" spans="4:4" x14ac:dyDescent="0.25">
      <c r="D25" s="3"/>
    </row>
    <row r="26" spans="4:4" x14ac:dyDescent="0.25">
      <c r="D26" s="3"/>
    </row>
    <row r="27" spans="4:4" x14ac:dyDescent="0.25">
      <c r="D27" s="3"/>
    </row>
    <row r="28" spans="4:4" x14ac:dyDescent="0.25">
      <c r="D28" s="3"/>
    </row>
    <row r="29" spans="4:4" x14ac:dyDescent="0.25">
      <c r="D29" s="3"/>
    </row>
    <row r="30" spans="4:4" x14ac:dyDescent="0.25">
      <c r="D30" s="3"/>
    </row>
    <row r="31" spans="4:4" x14ac:dyDescent="0.25">
      <c r="D31" s="3"/>
    </row>
    <row r="32" spans="4:4" x14ac:dyDescent="0.25">
      <c r="D32" s="3"/>
    </row>
    <row r="33" spans="4:4" x14ac:dyDescent="0.25">
      <c r="D33" s="3"/>
    </row>
    <row r="34" spans="4:4" x14ac:dyDescent="0.25">
      <c r="D34" s="3"/>
    </row>
    <row r="35" spans="4:4" x14ac:dyDescent="0.25">
      <c r="D35" s="3"/>
    </row>
    <row r="36" spans="4:4" x14ac:dyDescent="0.25">
      <c r="D36" s="3"/>
    </row>
    <row r="37" spans="4:4" x14ac:dyDescent="0.25">
      <c r="D37" s="3"/>
    </row>
    <row r="38" spans="4:4" x14ac:dyDescent="0.25">
      <c r="D38" s="3"/>
    </row>
    <row r="39" spans="4:4" x14ac:dyDescent="0.25">
      <c r="D39" s="3"/>
    </row>
    <row r="40" spans="4:4" x14ac:dyDescent="0.25">
      <c r="D40" s="3"/>
    </row>
    <row r="41" spans="4:4" x14ac:dyDescent="0.25">
      <c r="D41" s="3"/>
    </row>
    <row r="42" spans="4:4" x14ac:dyDescent="0.25">
      <c r="D42" s="3"/>
    </row>
    <row r="43" spans="4:4" x14ac:dyDescent="0.25">
      <c r="D43" s="3"/>
    </row>
    <row r="44" spans="4:4" x14ac:dyDescent="0.25">
      <c r="D44" s="3"/>
    </row>
    <row r="45" spans="4:4" x14ac:dyDescent="0.25">
      <c r="D45" s="3"/>
    </row>
    <row r="46" spans="4:4" x14ac:dyDescent="0.25">
      <c r="D46" s="3"/>
    </row>
    <row r="47" spans="4:4" x14ac:dyDescent="0.25">
      <c r="D47" s="3"/>
    </row>
    <row r="48" spans="4:4" x14ac:dyDescent="0.25">
      <c r="D48" s="3"/>
    </row>
    <row r="49" spans="4:4" x14ac:dyDescent="0.25">
      <c r="D49" s="3"/>
    </row>
    <row r="50" spans="4:4" x14ac:dyDescent="0.25">
      <c r="D50" s="3"/>
    </row>
    <row r="51" spans="4:4" x14ac:dyDescent="0.25">
      <c r="D51" s="3"/>
    </row>
    <row r="52" spans="4:4" x14ac:dyDescent="0.25">
      <c r="D52" s="3"/>
    </row>
    <row r="53" spans="4:4" x14ac:dyDescent="0.25">
      <c r="D53" s="3"/>
    </row>
    <row r="54" spans="4:4" x14ac:dyDescent="0.25">
      <c r="D54" s="3"/>
    </row>
    <row r="55" spans="4:4" x14ac:dyDescent="0.25">
      <c r="D55" s="3"/>
    </row>
    <row r="56" spans="4:4" x14ac:dyDescent="0.25">
      <c r="D56" s="3"/>
    </row>
    <row r="57" spans="4:4" x14ac:dyDescent="0.25">
      <c r="D57" s="3"/>
    </row>
    <row r="58" spans="4:4" x14ac:dyDescent="0.25">
      <c r="D58" s="3"/>
    </row>
    <row r="59" spans="4:4" x14ac:dyDescent="0.25">
      <c r="D59" s="3"/>
    </row>
    <row r="60" spans="4:4" x14ac:dyDescent="0.25">
      <c r="D60" s="3"/>
    </row>
    <row r="61" spans="4:4" x14ac:dyDescent="0.25">
      <c r="D61" s="3"/>
    </row>
    <row r="62" spans="4:4" x14ac:dyDescent="0.25">
      <c r="D62" s="3"/>
    </row>
    <row r="63" spans="4:4" x14ac:dyDescent="0.25">
      <c r="D63" s="3"/>
    </row>
    <row r="64" spans="4:4" x14ac:dyDescent="0.25">
      <c r="D64" s="3"/>
    </row>
    <row r="65" spans="4:4" x14ac:dyDescent="0.25">
      <c r="D65" s="3"/>
    </row>
    <row r="66" spans="4:4" x14ac:dyDescent="0.25">
      <c r="D66" s="3"/>
    </row>
    <row r="67" spans="4:4" x14ac:dyDescent="0.25">
      <c r="D67" s="3"/>
    </row>
    <row r="68" spans="4:4" x14ac:dyDescent="0.25">
      <c r="D68" s="3"/>
    </row>
    <row r="69" spans="4:4" x14ac:dyDescent="0.25">
      <c r="D69" s="3"/>
    </row>
    <row r="70" spans="4:4" x14ac:dyDescent="0.25">
      <c r="D70" s="3"/>
    </row>
    <row r="71" spans="4:4" x14ac:dyDescent="0.25">
      <c r="D71" s="3"/>
    </row>
    <row r="72" spans="4:4" x14ac:dyDescent="0.25">
      <c r="D72" s="3"/>
    </row>
    <row r="73" spans="4:4" x14ac:dyDescent="0.25">
      <c r="D73" s="3"/>
    </row>
    <row r="74" spans="4:4" x14ac:dyDescent="0.25">
      <c r="D74" s="3"/>
    </row>
    <row r="75" spans="4:4" x14ac:dyDescent="0.25">
      <c r="D75" s="3"/>
    </row>
    <row r="76" spans="4:4" x14ac:dyDescent="0.25">
      <c r="D76" s="3"/>
    </row>
    <row r="77" spans="4:4" x14ac:dyDescent="0.25">
      <c r="D77" s="3"/>
    </row>
    <row r="78" spans="4:4" x14ac:dyDescent="0.25">
      <c r="D78" s="3"/>
    </row>
    <row r="79" spans="4:4" x14ac:dyDescent="0.25">
      <c r="D79" s="3"/>
    </row>
    <row r="80" spans="4:4" x14ac:dyDescent="0.25">
      <c r="D80" s="3"/>
    </row>
    <row r="81" spans="4:4" x14ac:dyDescent="0.25">
      <c r="D81" s="3"/>
    </row>
    <row r="82" spans="4:4" x14ac:dyDescent="0.25">
      <c r="D82" s="3"/>
    </row>
    <row r="83" spans="4:4" x14ac:dyDescent="0.25">
      <c r="D83" s="3"/>
    </row>
    <row r="84" spans="4:4" x14ac:dyDescent="0.25">
      <c r="D84" s="3"/>
    </row>
    <row r="85" spans="4:4" x14ac:dyDescent="0.25">
      <c r="D85" s="3"/>
    </row>
    <row r="86" spans="4:4" x14ac:dyDescent="0.25">
      <c r="D86" s="3"/>
    </row>
    <row r="87" spans="4:4" x14ac:dyDescent="0.25">
      <c r="D87" s="3"/>
    </row>
    <row r="88" spans="4:4" x14ac:dyDescent="0.25">
      <c r="D88" s="3"/>
    </row>
    <row r="89" spans="4:4" x14ac:dyDescent="0.25">
      <c r="D89" s="3"/>
    </row>
    <row r="90" spans="4:4" x14ac:dyDescent="0.25">
      <c r="D90" s="3"/>
    </row>
    <row r="91" spans="4:4" x14ac:dyDescent="0.25">
      <c r="D91" s="3"/>
    </row>
    <row r="92" spans="4:4" x14ac:dyDescent="0.25">
      <c r="D92" s="3"/>
    </row>
    <row r="93" spans="4:4" x14ac:dyDescent="0.25">
      <c r="D93" s="3"/>
    </row>
    <row r="94" spans="4:4" x14ac:dyDescent="0.25">
      <c r="D94" s="3"/>
    </row>
    <row r="95" spans="4:4" x14ac:dyDescent="0.25">
      <c r="D95" s="3"/>
    </row>
    <row r="96" spans="4:4" x14ac:dyDescent="0.25">
      <c r="D96" s="3"/>
    </row>
    <row r="97" spans="4:4" x14ac:dyDescent="0.25">
      <c r="D97" s="3"/>
    </row>
    <row r="98" spans="4:4" x14ac:dyDescent="0.25">
      <c r="D98" s="3"/>
    </row>
    <row r="99" spans="4:4" x14ac:dyDescent="0.25">
      <c r="D99" s="3"/>
    </row>
    <row r="100" spans="4:4" x14ac:dyDescent="0.25">
      <c r="D100" s="3"/>
    </row>
    <row r="101" spans="4:4" x14ac:dyDescent="0.25">
      <c r="D101" s="3"/>
    </row>
    <row r="102" spans="4:4" x14ac:dyDescent="0.25">
      <c r="D102" s="3"/>
    </row>
    <row r="103" spans="4:4" x14ac:dyDescent="0.25">
      <c r="D103" s="3"/>
    </row>
    <row r="104" spans="4:4" x14ac:dyDescent="0.25">
      <c r="D104" s="3"/>
    </row>
    <row r="105" spans="4:4" x14ac:dyDescent="0.25">
      <c r="D105" s="3"/>
    </row>
    <row r="106" spans="4:4" x14ac:dyDescent="0.25">
      <c r="D106" s="3"/>
    </row>
    <row r="107" spans="4:4" x14ac:dyDescent="0.25">
      <c r="D107" s="3"/>
    </row>
    <row r="108" spans="4:4" x14ac:dyDescent="0.25">
      <c r="D108" s="3"/>
    </row>
    <row r="109" spans="4:4" x14ac:dyDescent="0.25">
      <c r="D109" s="3"/>
    </row>
    <row r="110" spans="4:4" x14ac:dyDescent="0.25">
      <c r="D110" s="3"/>
    </row>
    <row r="111" spans="4:4" x14ac:dyDescent="0.25">
      <c r="D111" s="3"/>
    </row>
    <row r="112" spans="4:4" x14ac:dyDescent="0.25">
      <c r="D112" s="3"/>
    </row>
    <row r="113" spans="4:4" x14ac:dyDescent="0.25">
      <c r="D113" s="3"/>
    </row>
    <row r="114" spans="4:4" x14ac:dyDescent="0.25">
      <c r="D114" s="3"/>
    </row>
    <row r="115" spans="4:4" x14ac:dyDescent="0.25">
      <c r="D115" s="3"/>
    </row>
    <row r="116" spans="4:4" x14ac:dyDescent="0.25">
      <c r="D116" s="3"/>
    </row>
    <row r="117" spans="4:4" x14ac:dyDescent="0.25">
      <c r="D117" s="3"/>
    </row>
    <row r="118" spans="4:4" x14ac:dyDescent="0.25">
      <c r="D118" s="3"/>
    </row>
    <row r="119" spans="4:4" x14ac:dyDescent="0.25">
      <c r="D119" s="3"/>
    </row>
    <row r="120" spans="4:4" x14ac:dyDescent="0.25">
      <c r="D120" s="3"/>
    </row>
    <row r="121" spans="4:4" x14ac:dyDescent="0.25">
      <c r="D121" s="3"/>
    </row>
    <row r="122" spans="4:4" x14ac:dyDescent="0.25">
      <c r="D122" s="3"/>
    </row>
    <row r="123" spans="4:4" x14ac:dyDescent="0.25">
      <c r="D123" s="3"/>
    </row>
    <row r="124" spans="4:4" x14ac:dyDescent="0.25">
      <c r="D124" s="3"/>
    </row>
    <row r="125" spans="4:4" x14ac:dyDescent="0.25">
      <c r="D125" s="3"/>
    </row>
    <row r="126" spans="4:4" x14ac:dyDescent="0.25">
      <c r="D126" s="3"/>
    </row>
    <row r="127" spans="4:4" x14ac:dyDescent="0.25">
      <c r="D127" s="3"/>
    </row>
    <row r="128" spans="4:4" x14ac:dyDescent="0.25">
      <c r="D128" s="3"/>
    </row>
    <row r="129" spans="4:4" x14ac:dyDescent="0.25">
      <c r="D129" s="3"/>
    </row>
    <row r="130" spans="4:4" x14ac:dyDescent="0.25">
      <c r="D130" s="3"/>
    </row>
    <row r="131" spans="4:4" x14ac:dyDescent="0.25">
      <c r="D131" s="3"/>
    </row>
    <row r="132" spans="4:4" x14ac:dyDescent="0.25">
      <c r="D132" s="3"/>
    </row>
    <row r="133" spans="4:4" x14ac:dyDescent="0.25">
      <c r="D133" s="3"/>
    </row>
    <row r="134" spans="4:4" x14ac:dyDescent="0.25">
      <c r="D134" s="3"/>
    </row>
    <row r="135" spans="4:4" x14ac:dyDescent="0.25">
      <c r="D135" s="3"/>
    </row>
    <row r="136" spans="4:4" x14ac:dyDescent="0.25">
      <c r="D136" s="3"/>
    </row>
    <row r="137" spans="4:4" x14ac:dyDescent="0.25">
      <c r="D137" s="3"/>
    </row>
    <row r="138" spans="4:4" x14ac:dyDescent="0.25">
      <c r="D138" s="3"/>
    </row>
    <row r="139" spans="4:4" x14ac:dyDescent="0.25">
      <c r="D139" s="3"/>
    </row>
    <row r="140" spans="4:4" x14ac:dyDescent="0.25">
      <c r="D140" s="3"/>
    </row>
    <row r="141" spans="4:4" x14ac:dyDescent="0.25">
      <c r="D141" s="3"/>
    </row>
    <row r="142" spans="4:4" x14ac:dyDescent="0.25">
      <c r="D142" s="3"/>
    </row>
    <row r="143" spans="4:4" x14ac:dyDescent="0.25">
      <c r="D143" s="3"/>
    </row>
    <row r="144" spans="4:4" x14ac:dyDescent="0.25">
      <c r="D144" s="3"/>
    </row>
    <row r="145" spans="4:4" x14ac:dyDescent="0.25">
      <c r="D145" s="3"/>
    </row>
    <row r="146" spans="4:4" x14ac:dyDescent="0.25">
      <c r="D146" s="3"/>
    </row>
    <row r="147" spans="4:4" x14ac:dyDescent="0.25">
      <c r="D147" s="3"/>
    </row>
    <row r="148" spans="4:4" x14ac:dyDescent="0.25">
      <c r="D148" s="3"/>
    </row>
    <row r="149" spans="4:4" x14ac:dyDescent="0.25">
      <c r="D149" s="3"/>
    </row>
    <row r="150" spans="4:4" x14ac:dyDescent="0.25">
      <c r="D150" s="3"/>
    </row>
    <row r="151" spans="4:4" x14ac:dyDescent="0.25">
      <c r="D151" s="3"/>
    </row>
    <row r="152" spans="4:4" x14ac:dyDescent="0.25">
      <c r="D152" s="3"/>
    </row>
    <row r="153" spans="4:4" x14ac:dyDescent="0.25">
      <c r="D153" s="3"/>
    </row>
    <row r="154" spans="4:4" x14ac:dyDescent="0.25">
      <c r="D154" s="3"/>
    </row>
    <row r="155" spans="4:4" x14ac:dyDescent="0.25">
      <c r="D155" s="3"/>
    </row>
    <row r="156" spans="4:4" x14ac:dyDescent="0.25">
      <c r="D156" s="3"/>
    </row>
    <row r="157" spans="4:4" x14ac:dyDescent="0.25">
      <c r="D157" s="3"/>
    </row>
    <row r="158" spans="4:4" x14ac:dyDescent="0.25">
      <c r="D158" s="3"/>
    </row>
    <row r="159" spans="4:4" x14ac:dyDescent="0.25">
      <c r="D159" s="3"/>
    </row>
    <row r="160" spans="4:4" x14ac:dyDescent="0.25">
      <c r="D160" s="3"/>
    </row>
    <row r="161" spans="4:4" x14ac:dyDescent="0.25">
      <c r="D161" s="3"/>
    </row>
    <row r="162" spans="4:4" x14ac:dyDescent="0.25">
      <c r="D162" s="3"/>
    </row>
    <row r="163" spans="4:4" x14ac:dyDescent="0.25">
      <c r="D163" s="3"/>
    </row>
    <row r="164" spans="4:4" x14ac:dyDescent="0.25">
      <c r="D164" s="3"/>
    </row>
    <row r="165" spans="4:4" x14ac:dyDescent="0.25">
      <c r="D165" s="3"/>
    </row>
    <row r="166" spans="4:4" x14ac:dyDescent="0.25">
      <c r="D166" s="3"/>
    </row>
    <row r="167" spans="4:4" x14ac:dyDescent="0.25">
      <c r="D167" s="3"/>
    </row>
    <row r="168" spans="4:4" x14ac:dyDescent="0.25">
      <c r="D168" s="3"/>
    </row>
    <row r="169" spans="4:4" x14ac:dyDescent="0.25">
      <c r="D169" s="3"/>
    </row>
    <row r="170" spans="4:4" x14ac:dyDescent="0.25">
      <c r="D170" s="3"/>
    </row>
    <row r="171" spans="4:4" x14ac:dyDescent="0.25">
      <c r="D171" s="3"/>
    </row>
    <row r="172" spans="4:4" x14ac:dyDescent="0.25">
      <c r="D172" s="3"/>
    </row>
    <row r="173" spans="4:4" x14ac:dyDescent="0.25">
      <c r="D173" s="3"/>
    </row>
    <row r="174" spans="4:4" x14ac:dyDescent="0.25">
      <c r="D174" s="3"/>
    </row>
    <row r="175" spans="4:4" x14ac:dyDescent="0.25">
      <c r="D175" s="3"/>
    </row>
    <row r="176" spans="4:4" x14ac:dyDescent="0.25">
      <c r="D176" s="3"/>
    </row>
    <row r="177" spans="4:4" x14ac:dyDescent="0.25">
      <c r="D177" s="3"/>
    </row>
    <row r="178" spans="4:4" x14ac:dyDescent="0.25">
      <c r="D178" s="3"/>
    </row>
    <row r="179" spans="4:4" x14ac:dyDescent="0.25">
      <c r="D179" s="3"/>
    </row>
    <row r="180" spans="4:4" x14ac:dyDescent="0.25">
      <c r="D180" s="3"/>
    </row>
    <row r="181" spans="4:4" x14ac:dyDescent="0.25">
      <c r="D181" s="3"/>
    </row>
    <row r="182" spans="4:4" x14ac:dyDescent="0.25">
      <c r="D182" s="3"/>
    </row>
    <row r="183" spans="4:4" x14ac:dyDescent="0.25">
      <c r="D183" s="3"/>
    </row>
    <row r="184" spans="4:4" x14ac:dyDescent="0.25">
      <c r="D184" s="3"/>
    </row>
    <row r="185" spans="4:4" x14ac:dyDescent="0.25">
      <c r="D185" s="3"/>
    </row>
    <row r="186" spans="4:4" x14ac:dyDescent="0.25">
      <c r="D186" s="3"/>
    </row>
    <row r="187" spans="4:4" x14ac:dyDescent="0.25">
      <c r="D187" s="3"/>
    </row>
    <row r="188" spans="4:4" x14ac:dyDescent="0.25">
      <c r="D188" s="3"/>
    </row>
    <row r="189" spans="4:4" x14ac:dyDescent="0.25">
      <c r="D189" s="3"/>
    </row>
    <row r="190" spans="4:4" x14ac:dyDescent="0.25">
      <c r="D190" s="3"/>
    </row>
    <row r="191" spans="4:4" x14ac:dyDescent="0.25">
      <c r="D191" s="3"/>
    </row>
    <row r="192" spans="4:4" x14ac:dyDescent="0.25">
      <c r="D192" s="3"/>
    </row>
    <row r="193" spans="4:4" x14ac:dyDescent="0.25">
      <c r="D193" s="3"/>
    </row>
    <row r="194" spans="4:4" x14ac:dyDescent="0.25">
      <c r="D194" s="3"/>
    </row>
    <row r="195" spans="4:4" x14ac:dyDescent="0.25">
      <c r="D195" s="3"/>
    </row>
    <row r="196" spans="4:4" x14ac:dyDescent="0.25">
      <c r="D196" s="3"/>
    </row>
    <row r="197" spans="4:4" x14ac:dyDescent="0.25">
      <c r="D197" s="3"/>
    </row>
    <row r="198" spans="4:4" x14ac:dyDescent="0.25">
      <c r="D198" s="3"/>
    </row>
    <row r="199" spans="4:4" x14ac:dyDescent="0.25">
      <c r="D199" s="3"/>
    </row>
    <row r="200" spans="4:4" x14ac:dyDescent="0.25">
      <c r="D200" s="3"/>
    </row>
    <row r="201" spans="4:4" x14ac:dyDescent="0.25">
      <c r="D201" s="3"/>
    </row>
    <row r="202" spans="4:4" x14ac:dyDescent="0.25">
      <c r="D202" s="3"/>
    </row>
    <row r="203" spans="4:4" x14ac:dyDescent="0.25">
      <c r="D203" s="3"/>
    </row>
    <row r="204" spans="4:4" x14ac:dyDescent="0.25">
      <c r="D204" s="3"/>
    </row>
    <row r="205" spans="4:4" x14ac:dyDescent="0.25">
      <c r="D205" s="3"/>
    </row>
    <row r="206" spans="4:4" x14ac:dyDescent="0.25">
      <c r="D206" s="3"/>
    </row>
    <row r="207" spans="4:4" x14ac:dyDescent="0.25">
      <c r="D207" s="3"/>
    </row>
    <row r="208" spans="4:4" x14ac:dyDescent="0.25">
      <c r="D208" s="3"/>
    </row>
    <row r="209" spans="4:4" x14ac:dyDescent="0.25">
      <c r="D209" s="3"/>
    </row>
    <row r="210" spans="4:4" x14ac:dyDescent="0.25">
      <c r="D210" s="3"/>
    </row>
    <row r="211" spans="4:4" x14ac:dyDescent="0.25">
      <c r="D211" s="3"/>
    </row>
    <row r="212" spans="4:4" x14ac:dyDescent="0.25">
      <c r="D212" s="3"/>
    </row>
    <row r="213" spans="4:4" x14ac:dyDescent="0.25">
      <c r="D213" s="3"/>
    </row>
    <row r="214" spans="4:4" x14ac:dyDescent="0.25">
      <c r="D214" s="3"/>
    </row>
    <row r="215" spans="4:4" x14ac:dyDescent="0.25">
      <c r="D215" s="3"/>
    </row>
    <row r="216" spans="4:4" x14ac:dyDescent="0.25">
      <c r="D216" s="3"/>
    </row>
    <row r="217" spans="4:4" x14ac:dyDescent="0.25">
      <c r="D217" s="3"/>
    </row>
    <row r="218" spans="4:4" x14ac:dyDescent="0.25">
      <c r="D218" s="3"/>
    </row>
    <row r="219" spans="4:4" x14ac:dyDescent="0.25">
      <c r="D219" s="3"/>
    </row>
    <row r="220" spans="4:4" x14ac:dyDescent="0.25">
      <c r="D220" s="3"/>
    </row>
    <row r="221" spans="4:4" x14ac:dyDescent="0.25">
      <c r="D221" s="3"/>
    </row>
    <row r="222" spans="4:4" x14ac:dyDescent="0.25">
      <c r="D222" s="3"/>
    </row>
    <row r="223" spans="4:4" x14ac:dyDescent="0.25">
      <c r="D223" s="3"/>
    </row>
    <row r="224" spans="4:4" x14ac:dyDescent="0.25">
      <c r="D224" s="3"/>
    </row>
    <row r="225" spans="4:4" x14ac:dyDescent="0.25">
      <c r="D225" s="3"/>
    </row>
    <row r="226" spans="4:4" x14ac:dyDescent="0.25">
      <c r="D226" s="3"/>
    </row>
    <row r="227" spans="4:4" x14ac:dyDescent="0.25">
      <c r="D227" s="3"/>
    </row>
    <row r="228" spans="4:4" x14ac:dyDescent="0.25">
      <c r="D228" s="3"/>
    </row>
    <row r="229" spans="4:4" x14ac:dyDescent="0.25">
      <c r="D229" s="3"/>
    </row>
    <row r="230" spans="4:4" x14ac:dyDescent="0.25">
      <c r="D230" s="3"/>
    </row>
    <row r="231" spans="4:4" x14ac:dyDescent="0.25">
      <c r="D231" s="3"/>
    </row>
    <row r="232" spans="4:4" x14ac:dyDescent="0.25">
      <c r="D232" s="3"/>
    </row>
    <row r="233" spans="4:4" x14ac:dyDescent="0.25">
      <c r="D233" s="3"/>
    </row>
    <row r="234" spans="4:4" x14ac:dyDescent="0.25">
      <c r="D234" s="3"/>
    </row>
    <row r="235" spans="4:4" x14ac:dyDescent="0.25">
      <c r="D235" s="3"/>
    </row>
    <row r="236" spans="4:4" x14ac:dyDescent="0.25">
      <c r="D236" s="3"/>
    </row>
    <row r="237" spans="4:4" x14ac:dyDescent="0.25">
      <c r="D237" s="3"/>
    </row>
    <row r="238" spans="4:4" x14ac:dyDescent="0.25">
      <c r="D238" s="3"/>
    </row>
    <row r="239" spans="4:4" x14ac:dyDescent="0.25">
      <c r="D239" s="3"/>
    </row>
    <row r="240" spans="4:4" x14ac:dyDescent="0.25">
      <c r="D240" s="3"/>
    </row>
    <row r="241" spans="4:4" x14ac:dyDescent="0.25">
      <c r="D241" s="3"/>
    </row>
    <row r="242" spans="4:4" x14ac:dyDescent="0.25">
      <c r="D242" s="3"/>
    </row>
    <row r="243" spans="4:4" x14ac:dyDescent="0.25">
      <c r="D243" s="3"/>
    </row>
    <row r="244" spans="4:4" x14ac:dyDescent="0.25">
      <c r="D244" s="3"/>
    </row>
    <row r="245" spans="4:4" x14ac:dyDescent="0.25">
      <c r="D245" s="3"/>
    </row>
    <row r="246" spans="4:4" x14ac:dyDescent="0.25">
      <c r="D246" s="3"/>
    </row>
    <row r="247" spans="4:4" x14ac:dyDescent="0.25">
      <c r="D247" s="3"/>
    </row>
    <row r="248" spans="4:4" x14ac:dyDescent="0.25">
      <c r="D248" s="3"/>
    </row>
    <row r="249" spans="4:4" x14ac:dyDescent="0.25">
      <c r="D249" s="3"/>
    </row>
    <row r="250" spans="4:4" x14ac:dyDescent="0.25">
      <c r="D250" s="3"/>
    </row>
    <row r="251" spans="4:4" x14ac:dyDescent="0.25">
      <c r="D251" s="3"/>
    </row>
    <row r="252" spans="4:4" x14ac:dyDescent="0.25">
      <c r="D252" s="3"/>
    </row>
    <row r="253" spans="4:4" x14ac:dyDescent="0.25">
      <c r="D253" s="3"/>
    </row>
    <row r="254" spans="4:4" x14ac:dyDescent="0.25">
      <c r="D254" s="3"/>
    </row>
    <row r="255" spans="4:4" x14ac:dyDescent="0.25">
      <c r="D255" s="3"/>
    </row>
    <row r="256" spans="4:4" x14ac:dyDescent="0.25">
      <c r="D256" s="3"/>
    </row>
    <row r="257" spans="4:4" x14ac:dyDescent="0.25">
      <c r="D257" s="3"/>
    </row>
    <row r="258" spans="4:4" x14ac:dyDescent="0.25">
      <c r="D258" s="3"/>
    </row>
    <row r="259" spans="4:4" x14ac:dyDescent="0.25">
      <c r="D259" s="3"/>
    </row>
    <row r="260" spans="4:4" x14ac:dyDescent="0.25">
      <c r="D260" s="3"/>
    </row>
    <row r="261" spans="4:4" x14ac:dyDescent="0.25">
      <c r="D261" s="3"/>
    </row>
    <row r="262" spans="4:4" x14ac:dyDescent="0.25">
      <c r="D262" s="3"/>
    </row>
    <row r="263" spans="4:4" x14ac:dyDescent="0.25">
      <c r="D263" s="3"/>
    </row>
    <row r="264" spans="4:4" x14ac:dyDescent="0.25">
      <c r="D264" s="3"/>
    </row>
    <row r="265" spans="4:4" x14ac:dyDescent="0.25">
      <c r="D265" s="3"/>
    </row>
    <row r="266" spans="4:4" x14ac:dyDescent="0.25">
      <c r="D266" s="3"/>
    </row>
    <row r="267" spans="4:4" x14ac:dyDescent="0.25">
      <c r="D267" s="3"/>
    </row>
    <row r="268" spans="4:4" x14ac:dyDescent="0.25">
      <c r="D268" s="3"/>
    </row>
    <row r="269" spans="4:4" x14ac:dyDescent="0.25">
      <c r="D269" s="3"/>
    </row>
    <row r="270" spans="4:4" x14ac:dyDescent="0.25">
      <c r="D270" s="3"/>
    </row>
    <row r="271" spans="4:4" x14ac:dyDescent="0.25">
      <c r="D271" s="3"/>
    </row>
    <row r="272" spans="4:4" x14ac:dyDescent="0.25">
      <c r="D272" s="3"/>
    </row>
    <row r="273" spans="4:4" x14ac:dyDescent="0.25">
      <c r="D273" s="3"/>
    </row>
    <row r="274" spans="4:4" x14ac:dyDescent="0.25">
      <c r="D274" s="3"/>
    </row>
    <row r="275" spans="4:4" x14ac:dyDescent="0.25">
      <c r="D275" s="3"/>
    </row>
    <row r="276" spans="4:4" x14ac:dyDescent="0.25">
      <c r="D276" s="3"/>
    </row>
    <row r="277" spans="4:4" x14ac:dyDescent="0.25">
      <c r="D277" s="3"/>
    </row>
    <row r="278" spans="4:4" x14ac:dyDescent="0.25">
      <c r="D278" s="3"/>
    </row>
    <row r="279" spans="4:4" x14ac:dyDescent="0.25">
      <c r="D279" s="3"/>
    </row>
    <row r="280" spans="4:4" x14ac:dyDescent="0.25">
      <c r="D280" s="3"/>
    </row>
    <row r="281" spans="4:4" x14ac:dyDescent="0.25">
      <c r="D281" s="3"/>
    </row>
    <row r="282" spans="4:4" x14ac:dyDescent="0.25">
      <c r="D282" s="3"/>
    </row>
    <row r="283" spans="4:4" x14ac:dyDescent="0.25">
      <c r="D283" s="3"/>
    </row>
    <row r="284" spans="4:4" x14ac:dyDescent="0.25">
      <c r="D284" s="3"/>
    </row>
    <row r="285" spans="4:4" x14ac:dyDescent="0.25">
      <c r="D285" s="3"/>
    </row>
    <row r="286" spans="4:4" x14ac:dyDescent="0.25">
      <c r="D286" s="3"/>
    </row>
    <row r="287" spans="4:4" x14ac:dyDescent="0.25">
      <c r="D287" s="3"/>
    </row>
    <row r="288" spans="4:4" x14ac:dyDescent="0.25">
      <c r="D288" s="3"/>
    </row>
    <row r="289" spans="4:4" x14ac:dyDescent="0.25">
      <c r="D289" s="3"/>
    </row>
    <row r="290" spans="4:4" x14ac:dyDescent="0.25">
      <c r="D290" s="3"/>
    </row>
    <row r="291" spans="4:4" x14ac:dyDescent="0.25">
      <c r="D291" s="3"/>
    </row>
    <row r="292" spans="4:4" x14ac:dyDescent="0.25">
      <c r="D292" s="3"/>
    </row>
    <row r="293" spans="4:4" x14ac:dyDescent="0.25">
      <c r="D293" s="3"/>
    </row>
    <row r="294" spans="4:4" x14ac:dyDescent="0.25">
      <c r="D294" s="3"/>
    </row>
    <row r="295" spans="4:4" x14ac:dyDescent="0.25">
      <c r="D295" s="3"/>
    </row>
    <row r="296" spans="4:4" x14ac:dyDescent="0.25">
      <c r="D296" s="3"/>
    </row>
    <row r="297" spans="4:4" x14ac:dyDescent="0.25">
      <c r="D297" s="3"/>
    </row>
    <row r="298" spans="4:4" x14ac:dyDescent="0.25">
      <c r="D298" s="3"/>
    </row>
    <row r="299" spans="4:4" x14ac:dyDescent="0.25">
      <c r="D299" s="3"/>
    </row>
    <row r="300" spans="4:4" x14ac:dyDescent="0.25">
      <c r="D300" s="3"/>
    </row>
    <row r="301" spans="4:4" x14ac:dyDescent="0.25">
      <c r="D301" s="3"/>
    </row>
    <row r="302" spans="4:4" x14ac:dyDescent="0.25">
      <c r="D302" s="3"/>
    </row>
    <row r="303" spans="4:4" x14ac:dyDescent="0.25">
      <c r="D303" s="3"/>
    </row>
    <row r="304" spans="4:4" x14ac:dyDescent="0.25">
      <c r="D304" s="3"/>
    </row>
    <row r="305" spans="4:4" x14ac:dyDescent="0.25">
      <c r="D305" s="3"/>
    </row>
    <row r="306" spans="4:4" x14ac:dyDescent="0.25">
      <c r="D306" s="3"/>
    </row>
    <row r="307" spans="4:4" x14ac:dyDescent="0.25">
      <c r="D307" s="3"/>
    </row>
    <row r="308" spans="4:4" x14ac:dyDescent="0.25">
      <c r="D308" s="3"/>
    </row>
    <row r="309" spans="4:4" x14ac:dyDescent="0.25">
      <c r="D309" s="3"/>
    </row>
    <row r="310" spans="4:4" x14ac:dyDescent="0.25">
      <c r="D310" s="3"/>
    </row>
    <row r="311" spans="4:4" x14ac:dyDescent="0.25">
      <c r="D311" s="3"/>
    </row>
    <row r="312" spans="4:4" x14ac:dyDescent="0.25">
      <c r="D312" s="3"/>
    </row>
    <row r="313" spans="4:4" x14ac:dyDescent="0.25">
      <c r="D313" s="3"/>
    </row>
    <row r="314" spans="4:4" x14ac:dyDescent="0.25">
      <c r="D314" s="3"/>
    </row>
    <row r="315" spans="4:4" x14ac:dyDescent="0.25">
      <c r="D315" s="3"/>
    </row>
    <row r="316" spans="4:4" x14ac:dyDescent="0.25">
      <c r="D316" s="3"/>
    </row>
    <row r="317" spans="4:4" x14ac:dyDescent="0.25">
      <c r="D317" s="3"/>
    </row>
    <row r="318" spans="4:4" x14ac:dyDescent="0.25">
      <c r="D318" s="3"/>
    </row>
    <row r="319" spans="4:4" x14ac:dyDescent="0.25">
      <c r="D319" s="3"/>
    </row>
    <row r="320" spans="4:4" x14ac:dyDescent="0.25">
      <c r="D320" s="3"/>
    </row>
    <row r="321" spans="4:4" x14ac:dyDescent="0.25">
      <c r="D321" s="3"/>
    </row>
    <row r="322" spans="4:4" x14ac:dyDescent="0.25">
      <c r="D322" s="3"/>
    </row>
    <row r="323" spans="4:4" x14ac:dyDescent="0.25">
      <c r="D323" s="3"/>
    </row>
    <row r="324" spans="4:4" x14ac:dyDescent="0.25">
      <c r="D324" s="3"/>
    </row>
    <row r="325" spans="4:4" x14ac:dyDescent="0.25">
      <c r="D325" s="3"/>
    </row>
    <row r="326" spans="4:4" x14ac:dyDescent="0.25">
      <c r="D326" s="3"/>
    </row>
    <row r="327" spans="4:4" x14ac:dyDescent="0.25">
      <c r="D327" s="3"/>
    </row>
    <row r="328" spans="4:4" x14ac:dyDescent="0.25">
      <c r="D328" s="3"/>
    </row>
    <row r="329" spans="4:4" x14ac:dyDescent="0.25">
      <c r="D329" s="3"/>
    </row>
    <row r="330" spans="4:4" x14ac:dyDescent="0.25">
      <c r="D330" s="3"/>
    </row>
    <row r="331" spans="4:4" x14ac:dyDescent="0.25">
      <c r="D331" s="3"/>
    </row>
    <row r="332" spans="4:4" x14ac:dyDescent="0.25">
      <c r="D332" s="3"/>
    </row>
    <row r="333" spans="4:4" x14ac:dyDescent="0.25">
      <c r="D333" s="3"/>
    </row>
    <row r="334" spans="4:4" x14ac:dyDescent="0.25">
      <c r="D334" s="3"/>
    </row>
    <row r="335" spans="4:4" x14ac:dyDescent="0.25">
      <c r="D335" s="3"/>
    </row>
    <row r="336" spans="4:4" x14ac:dyDescent="0.25">
      <c r="D336" s="3"/>
    </row>
    <row r="337" spans="4:4" x14ac:dyDescent="0.25">
      <c r="D337" s="3"/>
    </row>
    <row r="338" spans="4:4" x14ac:dyDescent="0.25">
      <c r="D338" s="3"/>
    </row>
    <row r="339" spans="4:4" x14ac:dyDescent="0.25">
      <c r="D339" s="3"/>
    </row>
    <row r="340" spans="4:4" x14ac:dyDescent="0.25">
      <c r="D340" s="3"/>
    </row>
    <row r="341" spans="4:4" x14ac:dyDescent="0.25">
      <c r="D341" s="3"/>
    </row>
    <row r="342" spans="4:4" x14ac:dyDescent="0.25">
      <c r="D342" s="3"/>
    </row>
    <row r="343" spans="4:4" x14ac:dyDescent="0.25">
      <c r="D343" s="3"/>
    </row>
    <row r="344" spans="4:4" x14ac:dyDescent="0.25">
      <c r="D344" s="3"/>
    </row>
    <row r="345" spans="4:4" x14ac:dyDescent="0.25">
      <c r="D345" s="3"/>
    </row>
    <row r="346" spans="4:4" x14ac:dyDescent="0.25">
      <c r="D346" s="3"/>
    </row>
    <row r="347" spans="4:4" x14ac:dyDescent="0.25">
      <c r="D347" s="3"/>
    </row>
    <row r="348" spans="4:4" x14ac:dyDescent="0.25">
      <c r="D348" s="3"/>
    </row>
    <row r="349" spans="4:4" x14ac:dyDescent="0.25">
      <c r="D349" s="3"/>
    </row>
    <row r="350" spans="4:4" x14ac:dyDescent="0.25">
      <c r="D350" s="3"/>
    </row>
    <row r="351" spans="4:4" x14ac:dyDescent="0.25">
      <c r="D351" s="3"/>
    </row>
    <row r="352" spans="4:4" x14ac:dyDescent="0.25">
      <c r="D352" s="3"/>
    </row>
    <row r="353" spans="4:4" x14ac:dyDescent="0.25">
      <c r="D353" s="3"/>
    </row>
    <row r="354" spans="4:4" x14ac:dyDescent="0.25">
      <c r="D354" s="3"/>
    </row>
    <row r="355" spans="4:4" x14ac:dyDescent="0.25">
      <c r="D355" s="3"/>
    </row>
    <row r="356" spans="4:4" x14ac:dyDescent="0.25">
      <c r="D356" s="3"/>
    </row>
    <row r="357" spans="4:4" x14ac:dyDescent="0.25">
      <c r="D357" s="3"/>
    </row>
    <row r="358" spans="4:4" x14ac:dyDescent="0.25">
      <c r="D358" s="3"/>
    </row>
    <row r="359" spans="4:4" x14ac:dyDescent="0.25">
      <c r="D359" s="3"/>
    </row>
    <row r="360" spans="4:4" x14ac:dyDescent="0.25">
      <c r="D360" s="3"/>
    </row>
    <row r="361" spans="4:4" x14ac:dyDescent="0.25">
      <c r="D361" s="3"/>
    </row>
    <row r="362" spans="4:4" x14ac:dyDescent="0.25">
      <c r="D362" s="3"/>
    </row>
    <row r="363" spans="4:4" x14ac:dyDescent="0.25">
      <c r="D363" s="3"/>
    </row>
    <row r="364" spans="4:4" x14ac:dyDescent="0.25">
      <c r="D364" s="3"/>
    </row>
    <row r="365" spans="4:4" x14ac:dyDescent="0.25">
      <c r="D365" s="3"/>
    </row>
    <row r="366" spans="4:4" x14ac:dyDescent="0.25">
      <c r="D366" s="3"/>
    </row>
    <row r="367" spans="4:4" x14ac:dyDescent="0.25">
      <c r="D367" s="3"/>
    </row>
    <row r="368" spans="4:4" x14ac:dyDescent="0.25">
      <c r="D368" s="3"/>
    </row>
    <row r="369" spans="4:4" x14ac:dyDescent="0.25">
      <c r="D369" s="3"/>
    </row>
    <row r="370" spans="4:4" x14ac:dyDescent="0.25">
      <c r="D370" s="3"/>
    </row>
    <row r="371" spans="4:4" x14ac:dyDescent="0.25">
      <c r="D371" s="3"/>
    </row>
    <row r="372" spans="4:4" x14ac:dyDescent="0.25">
      <c r="D372" s="3"/>
    </row>
    <row r="373" spans="4:4" x14ac:dyDescent="0.25">
      <c r="D373" s="3"/>
    </row>
    <row r="374" spans="4:4" x14ac:dyDescent="0.25">
      <c r="D374" s="3"/>
    </row>
    <row r="375" spans="4:4" x14ac:dyDescent="0.25">
      <c r="D375" s="3"/>
    </row>
    <row r="376" spans="4:4" x14ac:dyDescent="0.25">
      <c r="D376" s="3"/>
    </row>
    <row r="377" spans="4:4" x14ac:dyDescent="0.25">
      <c r="D377" s="3"/>
    </row>
    <row r="378" spans="4:4" x14ac:dyDescent="0.25">
      <c r="D378" s="3"/>
    </row>
    <row r="379" spans="4:4" x14ac:dyDescent="0.25">
      <c r="D379" s="3"/>
    </row>
    <row r="380" spans="4:4" x14ac:dyDescent="0.25">
      <c r="D380" s="3"/>
    </row>
    <row r="381" spans="4:4" x14ac:dyDescent="0.25">
      <c r="D381" s="3"/>
    </row>
    <row r="382" spans="4:4" x14ac:dyDescent="0.25">
      <c r="D382" s="3"/>
    </row>
    <row r="383" spans="4:4" x14ac:dyDescent="0.25">
      <c r="D383" s="3"/>
    </row>
    <row r="384" spans="4:4" x14ac:dyDescent="0.25">
      <c r="D384" s="3"/>
    </row>
    <row r="385" spans="4:4" x14ac:dyDescent="0.25">
      <c r="D385" s="3"/>
    </row>
    <row r="386" spans="4:4" x14ac:dyDescent="0.25">
      <c r="D386" s="3"/>
    </row>
    <row r="387" spans="4:4" x14ac:dyDescent="0.25">
      <c r="D387" s="3"/>
    </row>
    <row r="388" spans="4:4" x14ac:dyDescent="0.25">
      <c r="D388" s="3"/>
    </row>
    <row r="389" spans="4:4" x14ac:dyDescent="0.25">
      <c r="D389" s="3"/>
    </row>
    <row r="390" spans="4:4" x14ac:dyDescent="0.25">
      <c r="D390" s="3"/>
    </row>
    <row r="391" spans="4:4" x14ac:dyDescent="0.25">
      <c r="D391" s="3"/>
    </row>
    <row r="392" spans="4:4" x14ac:dyDescent="0.25">
      <c r="D392" s="3"/>
    </row>
    <row r="393" spans="4:4" x14ac:dyDescent="0.25">
      <c r="D393" s="3"/>
    </row>
    <row r="394" spans="4:4" x14ac:dyDescent="0.25">
      <c r="D394" s="3"/>
    </row>
    <row r="395" spans="4:4" x14ac:dyDescent="0.25">
      <c r="D395" s="3"/>
    </row>
    <row r="396" spans="4:4" x14ac:dyDescent="0.25">
      <c r="D396" s="3"/>
    </row>
    <row r="397" spans="4:4" x14ac:dyDescent="0.25">
      <c r="D397" s="3"/>
    </row>
    <row r="398" spans="4:4" x14ac:dyDescent="0.25">
      <c r="D398" s="3"/>
    </row>
    <row r="399" spans="4:4" x14ac:dyDescent="0.25">
      <c r="D399" s="3"/>
    </row>
    <row r="400" spans="4:4" x14ac:dyDescent="0.25">
      <c r="D400" s="3"/>
    </row>
    <row r="401" spans="4:4" x14ac:dyDescent="0.25">
      <c r="D401" s="3"/>
    </row>
    <row r="402" spans="4:4" x14ac:dyDescent="0.25">
      <c r="D402" s="3"/>
    </row>
    <row r="403" spans="4:4" x14ac:dyDescent="0.25">
      <c r="D403" s="3"/>
    </row>
    <row r="404" spans="4:4" x14ac:dyDescent="0.25">
      <c r="D404" s="3"/>
    </row>
    <row r="405" spans="4:4" x14ac:dyDescent="0.25">
      <c r="D405" s="3"/>
    </row>
    <row r="406" spans="4:4" x14ac:dyDescent="0.25">
      <c r="D406" s="3"/>
    </row>
    <row r="407" spans="4:4" x14ac:dyDescent="0.25">
      <c r="D407" s="3"/>
    </row>
    <row r="408" spans="4:4" x14ac:dyDescent="0.25">
      <c r="D408" s="3"/>
    </row>
    <row r="409" spans="4:4" x14ac:dyDescent="0.25">
      <c r="D409" s="3"/>
    </row>
    <row r="410" spans="4:4" x14ac:dyDescent="0.25">
      <c r="D410" s="3"/>
    </row>
    <row r="411" spans="4:4" x14ac:dyDescent="0.25">
      <c r="D411" s="3"/>
    </row>
    <row r="412" spans="4:4" x14ac:dyDescent="0.25">
      <c r="D412" s="3"/>
    </row>
    <row r="413" spans="4:4" x14ac:dyDescent="0.25">
      <c r="D413" s="3"/>
    </row>
    <row r="414" spans="4:4" x14ac:dyDescent="0.25">
      <c r="D414" s="3"/>
    </row>
    <row r="415" spans="4:4" x14ac:dyDescent="0.25">
      <c r="D415" s="3"/>
    </row>
    <row r="416" spans="4:4" x14ac:dyDescent="0.25">
      <c r="D416" s="3"/>
    </row>
    <row r="417" spans="4:4" x14ac:dyDescent="0.25">
      <c r="D417" s="3"/>
    </row>
    <row r="418" spans="4:4" x14ac:dyDescent="0.25">
      <c r="D418" s="3"/>
    </row>
    <row r="419" spans="4:4" x14ac:dyDescent="0.25">
      <c r="D419" s="3"/>
    </row>
    <row r="420" spans="4:4" x14ac:dyDescent="0.25">
      <c r="D420" s="3"/>
    </row>
    <row r="421" spans="4:4" x14ac:dyDescent="0.25">
      <c r="D421" s="3"/>
    </row>
    <row r="422" spans="4:4" x14ac:dyDescent="0.25">
      <c r="D422" s="3"/>
    </row>
    <row r="423" spans="4:4" x14ac:dyDescent="0.25">
      <c r="D423" s="3"/>
    </row>
    <row r="424" spans="4:4" x14ac:dyDescent="0.25">
      <c r="D424" s="3"/>
    </row>
    <row r="425" spans="4:4" x14ac:dyDescent="0.25">
      <c r="D425" s="3"/>
    </row>
    <row r="426" spans="4:4" x14ac:dyDescent="0.25">
      <c r="D426" s="3"/>
    </row>
    <row r="427" spans="4:4" x14ac:dyDescent="0.25">
      <c r="D427" s="3"/>
    </row>
    <row r="428" spans="4:4" x14ac:dyDescent="0.25">
      <c r="D428" s="3"/>
    </row>
    <row r="429" spans="4:4" x14ac:dyDescent="0.25">
      <c r="D429" s="3"/>
    </row>
    <row r="430" spans="4:4" x14ac:dyDescent="0.25">
      <c r="D430" s="3"/>
    </row>
    <row r="431" spans="4:4" x14ac:dyDescent="0.25">
      <c r="D431" s="3"/>
    </row>
    <row r="432" spans="4:4" x14ac:dyDescent="0.25">
      <c r="D432" s="3"/>
    </row>
    <row r="433" spans="4:4" x14ac:dyDescent="0.25">
      <c r="D433" s="3"/>
    </row>
    <row r="434" spans="4:4" x14ac:dyDescent="0.25">
      <c r="D434" s="3"/>
    </row>
    <row r="435" spans="4:4" x14ac:dyDescent="0.25">
      <c r="D435" s="3"/>
    </row>
    <row r="436" spans="4:4" x14ac:dyDescent="0.25">
      <c r="D436" s="3"/>
    </row>
    <row r="437" spans="4:4" x14ac:dyDescent="0.25">
      <c r="D437" s="3"/>
    </row>
    <row r="438" spans="4:4" x14ac:dyDescent="0.25">
      <c r="D438" s="3"/>
    </row>
    <row r="439" spans="4:4" x14ac:dyDescent="0.25">
      <c r="D439" s="3"/>
    </row>
    <row r="440" spans="4:4" x14ac:dyDescent="0.25">
      <c r="D440" s="3"/>
    </row>
    <row r="441" spans="4:4" x14ac:dyDescent="0.25">
      <c r="D441" s="3"/>
    </row>
    <row r="442" spans="4:4" x14ac:dyDescent="0.25">
      <c r="D442" s="3"/>
    </row>
    <row r="443" spans="4:4" x14ac:dyDescent="0.25">
      <c r="D443" s="3"/>
    </row>
    <row r="444" spans="4:4" x14ac:dyDescent="0.25">
      <c r="D444" s="3"/>
    </row>
    <row r="445" spans="4:4" x14ac:dyDescent="0.25">
      <c r="D445" s="3"/>
    </row>
    <row r="446" spans="4:4" x14ac:dyDescent="0.25">
      <c r="D446" s="3"/>
    </row>
    <row r="447" spans="4:4" x14ac:dyDescent="0.25">
      <c r="D447" s="3"/>
    </row>
    <row r="448" spans="4:4" x14ac:dyDescent="0.25">
      <c r="D448" s="3"/>
    </row>
    <row r="449" spans="4:4" x14ac:dyDescent="0.25">
      <c r="D449" s="3"/>
    </row>
    <row r="450" spans="4:4" x14ac:dyDescent="0.25">
      <c r="D450" s="3"/>
    </row>
    <row r="451" spans="4:4" x14ac:dyDescent="0.25">
      <c r="D451" s="3"/>
    </row>
    <row r="452" spans="4:4" x14ac:dyDescent="0.25">
      <c r="D452" s="3"/>
    </row>
    <row r="453" spans="4:4" x14ac:dyDescent="0.25">
      <c r="D453" s="3"/>
    </row>
    <row r="454" spans="4:4" x14ac:dyDescent="0.25">
      <c r="D454" s="3"/>
    </row>
    <row r="455" spans="4:4" x14ac:dyDescent="0.25">
      <c r="D455" s="3"/>
    </row>
    <row r="456" spans="4:4" x14ac:dyDescent="0.25">
      <c r="D456" s="3"/>
    </row>
    <row r="457" spans="4:4" x14ac:dyDescent="0.25">
      <c r="D457" s="3"/>
    </row>
    <row r="458" spans="4:4" x14ac:dyDescent="0.25">
      <c r="D458" s="3"/>
    </row>
    <row r="459" spans="4:4" x14ac:dyDescent="0.25">
      <c r="D459" s="3"/>
    </row>
    <row r="460" spans="4:4" x14ac:dyDescent="0.25">
      <c r="D460" s="3"/>
    </row>
    <row r="461" spans="4:4" x14ac:dyDescent="0.25">
      <c r="D461" s="3"/>
    </row>
    <row r="462" spans="4:4" x14ac:dyDescent="0.25">
      <c r="D462" s="3"/>
    </row>
    <row r="463" spans="4:4" x14ac:dyDescent="0.25">
      <c r="D463" s="3"/>
    </row>
    <row r="464" spans="4:4" x14ac:dyDescent="0.25">
      <c r="D464" s="3"/>
    </row>
    <row r="465" spans="4:4" x14ac:dyDescent="0.25">
      <c r="D465" s="3"/>
    </row>
    <row r="466" spans="4:4" x14ac:dyDescent="0.25">
      <c r="D466" s="3"/>
    </row>
    <row r="467" spans="4:4" x14ac:dyDescent="0.25">
      <c r="D467" s="3"/>
    </row>
    <row r="468" spans="4:4" x14ac:dyDescent="0.25">
      <c r="D468" s="3"/>
    </row>
    <row r="469" spans="4:4" x14ac:dyDescent="0.25">
      <c r="D469" s="3"/>
    </row>
    <row r="470" spans="4:4" x14ac:dyDescent="0.25">
      <c r="D470" s="3"/>
    </row>
    <row r="471" spans="4:4" x14ac:dyDescent="0.25">
      <c r="D471" s="3"/>
    </row>
    <row r="472" spans="4:4" x14ac:dyDescent="0.25">
      <c r="D472" s="3"/>
    </row>
    <row r="473" spans="4:4" x14ac:dyDescent="0.25">
      <c r="D473" s="3"/>
    </row>
    <row r="474" spans="4:4" x14ac:dyDescent="0.25">
      <c r="D474" s="3"/>
    </row>
    <row r="475" spans="4:4" x14ac:dyDescent="0.25">
      <c r="D475" s="3"/>
    </row>
    <row r="476" spans="4:4" x14ac:dyDescent="0.25">
      <c r="D476" s="3"/>
    </row>
    <row r="477" spans="4:4" x14ac:dyDescent="0.25">
      <c r="D477" s="3"/>
    </row>
    <row r="478" spans="4:4" x14ac:dyDescent="0.25">
      <c r="D478" s="3"/>
    </row>
    <row r="479" spans="4:4" x14ac:dyDescent="0.25">
      <c r="D479" s="3"/>
    </row>
    <row r="480" spans="4:4" x14ac:dyDescent="0.25">
      <c r="D480" s="3"/>
    </row>
    <row r="481" spans="4:4" x14ac:dyDescent="0.25">
      <c r="D481" s="3"/>
    </row>
    <row r="482" spans="4:4" x14ac:dyDescent="0.25">
      <c r="D482" s="3"/>
    </row>
    <row r="483" spans="4:4" x14ac:dyDescent="0.25">
      <c r="D483" s="3"/>
    </row>
    <row r="484" spans="4:4" x14ac:dyDescent="0.25">
      <c r="D484" s="3"/>
    </row>
    <row r="485" spans="4:4" x14ac:dyDescent="0.25">
      <c r="D485" s="3"/>
    </row>
    <row r="486" spans="4:4" x14ac:dyDescent="0.25">
      <c r="D486" s="3"/>
    </row>
    <row r="487" spans="4:4" x14ac:dyDescent="0.25">
      <c r="D487" s="3"/>
    </row>
    <row r="488" spans="4:4" x14ac:dyDescent="0.25">
      <c r="D488" s="3"/>
    </row>
    <row r="489" spans="4:4" x14ac:dyDescent="0.25">
      <c r="D489" s="3"/>
    </row>
    <row r="490" spans="4:4" x14ac:dyDescent="0.25">
      <c r="D490" s="3"/>
    </row>
    <row r="491" spans="4:4" x14ac:dyDescent="0.25">
      <c r="D491" s="3"/>
    </row>
    <row r="492" spans="4:4" x14ac:dyDescent="0.25">
      <c r="D492" s="3"/>
    </row>
    <row r="493" spans="4:4" x14ac:dyDescent="0.25">
      <c r="D493" s="3"/>
    </row>
    <row r="494" spans="4:4" x14ac:dyDescent="0.25">
      <c r="D494" s="3"/>
    </row>
    <row r="495" spans="4:4" x14ac:dyDescent="0.25">
      <c r="D495" s="3"/>
    </row>
    <row r="496" spans="4:4" x14ac:dyDescent="0.25">
      <c r="D496" s="3"/>
    </row>
    <row r="497" spans="4:4" x14ac:dyDescent="0.25">
      <c r="D497" s="3"/>
    </row>
    <row r="498" spans="4:4" x14ac:dyDescent="0.25">
      <c r="D498" s="3"/>
    </row>
    <row r="499" spans="4:4" x14ac:dyDescent="0.25">
      <c r="D499" s="3"/>
    </row>
    <row r="500" spans="4:4" x14ac:dyDescent="0.25">
      <c r="D500" s="3"/>
    </row>
    <row r="501" spans="4:4" x14ac:dyDescent="0.25">
      <c r="D501" s="3"/>
    </row>
    <row r="502" spans="4:4" x14ac:dyDescent="0.25">
      <c r="D502" s="3"/>
    </row>
    <row r="503" spans="4:4" x14ac:dyDescent="0.25">
      <c r="D503" s="3"/>
    </row>
    <row r="504" spans="4:4" x14ac:dyDescent="0.25">
      <c r="D504" s="3"/>
    </row>
    <row r="505" spans="4:4" x14ac:dyDescent="0.25">
      <c r="D505" s="3"/>
    </row>
    <row r="506" spans="4:4" x14ac:dyDescent="0.25">
      <c r="D506" s="3"/>
    </row>
    <row r="507" spans="4:4" x14ac:dyDescent="0.25">
      <c r="D507" s="3"/>
    </row>
    <row r="508" spans="4:4" x14ac:dyDescent="0.25">
      <c r="D508" s="3"/>
    </row>
    <row r="509" spans="4:4" x14ac:dyDescent="0.25">
      <c r="D509" s="3"/>
    </row>
    <row r="510" spans="4:4" x14ac:dyDescent="0.25">
      <c r="D510" s="3"/>
    </row>
    <row r="511" spans="4:4" x14ac:dyDescent="0.25">
      <c r="D511" s="3"/>
    </row>
    <row r="512" spans="4:4" x14ac:dyDescent="0.25">
      <c r="D512" s="3"/>
    </row>
    <row r="513" spans="4:4" x14ac:dyDescent="0.25">
      <c r="D513" s="3"/>
    </row>
    <row r="514" spans="4:4" x14ac:dyDescent="0.25">
      <c r="D514" s="3"/>
    </row>
    <row r="515" spans="4:4" x14ac:dyDescent="0.25">
      <c r="D515" s="3"/>
    </row>
    <row r="516" spans="4:4" x14ac:dyDescent="0.25">
      <c r="D516" s="3"/>
    </row>
    <row r="517" spans="4:4" x14ac:dyDescent="0.25">
      <c r="D517" s="3"/>
    </row>
    <row r="518" spans="4:4" x14ac:dyDescent="0.25">
      <c r="D518" s="3"/>
    </row>
    <row r="519" spans="4:4" x14ac:dyDescent="0.25">
      <c r="D519" s="3"/>
    </row>
    <row r="520" spans="4:4" x14ac:dyDescent="0.25">
      <c r="D520" s="3"/>
    </row>
    <row r="521" spans="4:4" x14ac:dyDescent="0.25">
      <c r="D521" s="3"/>
    </row>
    <row r="522" spans="4:4" x14ac:dyDescent="0.25">
      <c r="D522" s="3"/>
    </row>
    <row r="523" spans="4:4" x14ac:dyDescent="0.25">
      <c r="D523" s="3"/>
    </row>
    <row r="524" spans="4:4" x14ac:dyDescent="0.25">
      <c r="D524" s="3"/>
    </row>
    <row r="525" spans="4:4" x14ac:dyDescent="0.25">
      <c r="D525" s="3"/>
    </row>
    <row r="526" spans="4:4" x14ac:dyDescent="0.25">
      <c r="D526" s="3"/>
    </row>
    <row r="527" spans="4:4" x14ac:dyDescent="0.25">
      <c r="D527" s="3"/>
    </row>
    <row r="528" spans="4:4" x14ac:dyDescent="0.25">
      <c r="D528" s="3"/>
    </row>
    <row r="529" spans="4:4" x14ac:dyDescent="0.25">
      <c r="D529" s="3"/>
    </row>
    <row r="530" spans="4:4" x14ac:dyDescent="0.25">
      <c r="D530" s="3"/>
    </row>
    <row r="531" spans="4:4" x14ac:dyDescent="0.25">
      <c r="D531" s="3"/>
    </row>
    <row r="532" spans="4:4" x14ac:dyDescent="0.25">
      <c r="D532" s="3"/>
    </row>
    <row r="533" spans="4:4" x14ac:dyDescent="0.25">
      <c r="D533" s="3"/>
    </row>
    <row r="534" spans="4:4" x14ac:dyDescent="0.25">
      <c r="D534" s="3"/>
    </row>
    <row r="535" spans="4:4" x14ac:dyDescent="0.25">
      <c r="D535" s="3"/>
    </row>
    <row r="536" spans="4:4" x14ac:dyDescent="0.25">
      <c r="D536" s="3"/>
    </row>
    <row r="537" spans="4:4" x14ac:dyDescent="0.25">
      <c r="D537" s="3"/>
    </row>
    <row r="538" spans="4:4" x14ac:dyDescent="0.25">
      <c r="D538" s="3"/>
    </row>
    <row r="539" spans="4:4" x14ac:dyDescent="0.25">
      <c r="D539" s="3"/>
    </row>
    <row r="540" spans="4:4" x14ac:dyDescent="0.25">
      <c r="D540" s="3"/>
    </row>
    <row r="541" spans="4:4" x14ac:dyDescent="0.25">
      <c r="D541" s="3"/>
    </row>
    <row r="542" spans="4:4" x14ac:dyDescent="0.25">
      <c r="D542" s="3"/>
    </row>
    <row r="543" spans="4:4" x14ac:dyDescent="0.25">
      <c r="D543" s="3"/>
    </row>
    <row r="544" spans="4:4" x14ac:dyDescent="0.25">
      <c r="D544" s="3"/>
    </row>
    <row r="545" spans="4:4" x14ac:dyDescent="0.25">
      <c r="D545" s="3"/>
    </row>
    <row r="546" spans="4:4" x14ac:dyDescent="0.25">
      <c r="D546" s="3"/>
    </row>
    <row r="547" spans="4:4" x14ac:dyDescent="0.25">
      <c r="D547" s="3"/>
    </row>
    <row r="548" spans="4:4" x14ac:dyDescent="0.25">
      <c r="D548" s="3"/>
    </row>
    <row r="549" spans="4:4" x14ac:dyDescent="0.25">
      <c r="D549" s="3"/>
    </row>
    <row r="550" spans="4:4" x14ac:dyDescent="0.25">
      <c r="D550" s="3"/>
    </row>
    <row r="551" spans="4:4" x14ac:dyDescent="0.25">
      <c r="D551" s="3"/>
    </row>
    <row r="552" spans="4:4" x14ac:dyDescent="0.25">
      <c r="D552" s="3"/>
    </row>
    <row r="553" spans="4:4" x14ac:dyDescent="0.25">
      <c r="D553" s="3"/>
    </row>
    <row r="554" spans="4:4" x14ac:dyDescent="0.25">
      <c r="D554" s="3"/>
    </row>
    <row r="555" spans="4:4" x14ac:dyDescent="0.25">
      <c r="D555" s="3"/>
    </row>
    <row r="556" spans="4:4" x14ac:dyDescent="0.25">
      <c r="D556" s="3"/>
    </row>
    <row r="557" spans="4:4" x14ac:dyDescent="0.25">
      <c r="D557" s="3"/>
    </row>
    <row r="558" spans="4:4" x14ac:dyDescent="0.25">
      <c r="D558" s="3"/>
    </row>
    <row r="559" spans="4:4" x14ac:dyDescent="0.25">
      <c r="D559" s="3"/>
    </row>
    <row r="560" spans="4:4" x14ac:dyDescent="0.25">
      <c r="D560" s="3"/>
    </row>
    <row r="561" spans="4:4" x14ac:dyDescent="0.25">
      <c r="D561" s="3"/>
    </row>
    <row r="562" spans="4:4" x14ac:dyDescent="0.25">
      <c r="D562" s="3"/>
    </row>
    <row r="563" spans="4:4" x14ac:dyDescent="0.25">
      <c r="D563" s="3"/>
    </row>
    <row r="564" spans="4:4" x14ac:dyDescent="0.25">
      <c r="D564" s="3"/>
    </row>
    <row r="565" spans="4:4" x14ac:dyDescent="0.25">
      <c r="D565" s="3"/>
    </row>
    <row r="566" spans="4:4" x14ac:dyDescent="0.25">
      <c r="D566" s="3"/>
    </row>
    <row r="567" spans="4:4" x14ac:dyDescent="0.25">
      <c r="D567" s="3"/>
    </row>
    <row r="568" spans="4:4" x14ac:dyDescent="0.25">
      <c r="D568" s="3"/>
    </row>
    <row r="569" spans="4:4" x14ac:dyDescent="0.25">
      <c r="D569" s="3"/>
    </row>
    <row r="570" spans="4:4" x14ac:dyDescent="0.25">
      <c r="D570" s="3"/>
    </row>
    <row r="571" spans="4:4" x14ac:dyDescent="0.25">
      <c r="D571" s="3"/>
    </row>
    <row r="572" spans="4:4" x14ac:dyDescent="0.25">
      <c r="D572" s="3"/>
    </row>
    <row r="573" spans="4:4" x14ac:dyDescent="0.25">
      <c r="D573" s="3"/>
    </row>
    <row r="574" spans="4:4" x14ac:dyDescent="0.25">
      <c r="D574" s="3"/>
    </row>
    <row r="575" spans="4:4" x14ac:dyDescent="0.25">
      <c r="D575" s="3"/>
    </row>
    <row r="576" spans="4:4" x14ac:dyDescent="0.25">
      <c r="D576" s="3"/>
    </row>
    <row r="577" spans="4:4" x14ac:dyDescent="0.25">
      <c r="D577" s="3"/>
    </row>
    <row r="578" spans="4:4" x14ac:dyDescent="0.25">
      <c r="D578" s="3"/>
    </row>
    <row r="579" spans="4:4" x14ac:dyDescent="0.25">
      <c r="D579" s="3"/>
    </row>
    <row r="580" spans="4:4" x14ac:dyDescent="0.25">
      <c r="D580" s="3"/>
    </row>
    <row r="581" spans="4:4" x14ac:dyDescent="0.25">
      <c r="D581" s="3"/>
    </row>
    <row r="582" spans="4:4" x14ac:dyDescent="0.25">
      <c r="D582" s="3"/>
    </row>
    <row r="583" spans="4:4" x14ac:dyDescent="0.25">
      <c r="D583" s="3"/>
    </row>
    <row r="584" spans="4:4" x14ac:dyDescent="0.25">
      <c r="D584" s="3"/>
    </row>
    <row r="585" spans="4:4" x14ac:dyDescent="0.25">
      <c r="D585" s="3"/>
    </row>
    <row r="586" spans="4:4" x14ac:dyDescent="0.25">
      <c r="D586" s="3"/>
    </row>
    <row r="587" spans="4:4" x14ac:dyDescent="0.25">
      <c r="D587" s="3"/>
    </row>
    <row r="588" spans="4:4" x14ac:dyDescent="0.25">
      <c r="D588" s="3"/>
    </row>
    <row r="589" spans="4:4" x14ac:dyDescent="0.25">
      <c r="D589" s="3"/>
    </row>
    <row r="590" spans="4:4" x14ac:dyDescent="0.25">
      <c r="D590" s="3"/>
    </row>
    <row r="591" spans="4:4" x14ac:dyDescent="0.25">
      <c r="D591" s="3"/>
    </row>
    <row r="592" spans="4:4" x14ac:dyDescent="0.25">
      <c r="D592" s="3"/>
    </row>
    <row r="593" spans="4:4" x14ac:dyDescent="0.25">
      <c r="D593" s="3"/>
    </row>
    <row r="594" spans="4:4" x14ac:dyDescent="0.25">
      <c r="D594" s="3"/>
    </row>
    <row r="595" spans="4:4" x14ac:dyDescent="0.25">
      <c r="D595" s="3"/>
    </row>
    <row r="596" spans="4:4" x14ac:dyDescent="0.25">
      <c r="D596" s="3"/>
    </row>
    <row r="597" spans="4:4" x14ac:dyDescent="0.25">
      <c r="D597" s="3"/>
    </row>
    <row r="598" spans="4:4" x14ac:dyDescent="0.25">
      <c r="D598" s="3"/>
    </row>
    <row r="599" spans="4:4" x14ac:dyDescent="0.25">
      <c r="D599" s="3"/>
    </row>
    <row r="600" spans="4:4" x14ac:dyDescent="0.25">
      <c r="D600" s="3"/>
    </row>
    <row r="601" spans="4:4" x14ac:dyDescent="0.25">
      <c r="D601" s="3"/>
    </row>
    <row r="602" spans="4:4" x14ac:dyDescent="0.25">
      <c r="D602" s="3"/>
    </row>
    <row r="603" spans="4:4" x14ac:dyDescent="0.25">
      <c r="D603" s="3"/>
    </row>
    <row r="604" spans="4:4" x14ac:dyDescent="0.25">
      <c r="D604" s="3"/>
    </row>
    <row r="605" spans="4:4" x14ac:dyDescent="0.25">
      <c r="D605" s="3"/>
    </row>
    <row r="606" spans="4:4" x14ac:dyDescent="0.25">
      <c r="D606" s="3"/>
    </row>
    <row r="607" spans="4:4" x14ac:dyDescent="0.25">
      <c r="D607" s="3"/>
    </row>
    <row r="608" spans="4:4" x14ac:dyDescent="0.25">
      <c r="D608" s="3"/>
    </row>
    <row r="609" spans="4:4" x14ac:dyDescent="0.25">
      <c r="D609" s="3"/>
    </row>
    <row r="610" spans="4:4" x14ac:dyDescent="0.25">
      <c r="D610" s="3"/>
    </row>
    <row r="611" spans="4:4" x14ac:dyDescent="0.25">
      <c r="D611" s="3"/>
    </row>
    <row r="612" spans="4:4" x14ac:dyDescent="0.25">
      <c r="D612" s="3"/>
    </row>
    <row r="613" spans="4:4" x14ac:dyDescent="0.25">
      <c r="D613" s="3"/>
    </row>
    <row r="614" spans="4:4" x14ac:dyDescent="0.25">
      <c r="D614" s="3"/>
    </row>
    <row r="615" spans="4:4" x14ac:dyDescent="0.25">
      <c r="D615" s="3"/>
    </row>
    <row r="616" spans="4:4" x14ac:dyDescent="0.25">
      <c r="D616" s="3"/>
    </row>
    <row r="617" spans="4:4" x14ac:dyDescent="0.25">
      <c r="D617" s="3"/>
    </row>
    <row r="618" spans="4:4" x14ac:dyDescent="0.25">
      <c r="D618" s="3"/>
    </row>
    <row r="619" spans="4:4" x14ac:dyDescent="0.25">
      <c r="D619" s="3"/>
    </row>
    <row r="620" spans="4:4" x14ac:dyDescent="0.25">
      <c r="D620" s="3"/>
    </row>
    <row r="621" spans="4:4" x14ac:dyDescent="0.25">
      <c r="D621" s="3"/>
    </row>
    <row r="622" spans="4:4" x14ac:dyDescent="0.25">
      <c r="D622" s="3"/>
    </row>
    <row r="623" spans="4:4" x14ac:dyDescent="0.25">
      <c r="D623" s="3"/>
    </row>
    <row r="624" spans="4:4" x14ac:dyDescent="0.25">
      <c r="D624" s="3"/>
    </row>
    <row r="625" spans="4:4" x14ac:dyDescent="0.25">
      <c r="D625" s="3"/>
    </row>
    <row r="626" spans="4:4" x14ac:dyDescent="0.25">
      <c r="D626" s="3"/>
    </row>
    <row r="627" spans="4:4" x14ac:dyDescent="0.25">
      <c r="D627" s="3"/>
    </row>
    <row r="628" spans="4:4" x14ac:dyDescent="0.25">
      <c r="D628" s="3"/>
    </row>
    <row r="629" spans="4:4" x14ac:dyDescent="0.25">
      <c r="D629" s="3"/>
    </row>
    <row r="630" spans="4:4" x14ac:dyDescent="0.25">
      <c r="D630" s="3"/>
    </row>
    <row r="631" spans="4:4" x14ac:dyDescent="0.25">
      <c r="D631" s="3"/>
    </row>
    <row r="632" spans="4:4" x14ac:dyDescent="0.25">
      <c r="D632" s="3"/>
    </row>
    <row r="633" spans="4:4" x14ac:dyDescent="0.25">
      <c r="D633" s="3"/>
    </row>
    <row r="634" spans="4:4" x14ac:dyDescent="0.25">
      <c r="D634" s="3"/>
    </row>
    <row r="635" spans="4:4" x14ac:dyDescent="0.25">
      <c r="D635" s="3"/>
    </row>
    <row r="636" spans="4:4" x14ac:dyDescent="0.25">
      <c r="D636" s="3"/>
    </row>
    <row r="637" spans="4:4" x14ac:dyDescent="0.25">
      <c r="D637" s="3"/>
    </row>
    <row r="638" spans="4:4" x14ac:dyDescent="0.25">
      <c r="D638" s="3"/>
    </row>
    <row r="639" spans="4:4" x14ac:dyDescent="0.25">
      <c r="D639" s="3"/>
    </row>
    <row r="640" spans="4:4" x14ac:dyDescent="0.25">
      <c r="D640" s="3"/>
    </row>
    <row r="641" spans="4:4" x14ac:dyDescent="0.25">
      <c r="D641" s="3"/>
    </row>
    <row r="642" spans="4:4" x14ac:dyDescent="0.25">
      <c r="D642" s="3"/>
    </row>
    <row r="643" spans="4:4" x14ac:dyDescent="0.25">
      <c r="D643" s="3"/>
    </row>
    <row r="644" spans="4:4" x14ac:dyDescent="0.25">
      <c r="D644" s="3"/>
    </row>
    <row r="645" spans="4:4" x14ac:dyDescent="0.25">
      <c r="D645" s="3"/>
    </row>
    <row r="646" spans="4:4" x14ac:dyDescent="0.25">
      <c r="D646" s="3"/>
    </row>
    <row r="647" spans="4:4" x14ac:dyDescent="0.25">
      <c r="D647" s="3"/>
    </row>
    <row r="648" spans="4:4" x14ac:dyDescent="0.25">
      <c r="D648" s="3"/>
    </row>
    <row r="649" spans="4:4" x14ac:dyDescent="0.25">
      <c r="D649" s="3"/>
    </row>
    <row r="650" spans="4:4" x14ac:dyDescent="0.25">
      <c r="D650" s="3"/>
    </row>
    <row r="651" spans="4:4" x14ac:dyDescent="0.25">
      <c r="D651" s="3"/>
    </row>
    <row r="652" spans="4:4" x14ac:dyDescent="0.25">
      <c r="D652" s="3"/>
    </row>
    <row r="653" spans="4:4" x14ac:dyDescent="0.25">
      <c r="D653" s="3"/>
    </row>
    <row r="654" spans="4:4" x14ac:dyDescent="0.25">
      <c r="D654" s="3"/>
    </row>
    <row r="655" spans="4:4" x14ac:dyDescent="0.25">
      <c r="D655" s="3"/>
    </row>
    <row r="656" spans="4:4" x14ac:dyDescent="0.25">
      <c r="D656" s="3"/>
    </row>
    <row r="657" spans="4:4" x14ac:dyDescent="0.25">
      <c r="D657" s="3"/>
    </row>
    <row r="658" spans="4:4" x14ac:dyDescent="0.25">
      <c r="D658" s="3"/>
    </row>
    <row r="659" spans="4:4" x14ac:dyDescent="0.25">
      <c r="D659" s="3"/>
    </row>
    <row r="660" spans="4:4" x14ac:dyDescent="0.25">
      <c r="D660" s="3"/>
    </row>
    <row r="661" spans="4:4" x14ac:dyDescent="0.25">
      <c r="D661" s="3"/>
    </row>
    <row r="662" spans="4:4" x14ac:dyDescent="0.25">
      <c r="D662" s="3"/>
    </row>
    <row r="663" spans="4:4" x14ac:dyDescent="0.25">
      <c r="D663" s="3"/>
    </row>
    <row r="664" spans="4:4" x14ac:dyDescent="0.25">
      <c r="D664" s="3"/>
    </row>
    <row r="665" spans="4:4" x14ac:dyDescent="0.25">
      <c r="D665" s="3"/>
    </row>
    <row r="666" spans="4:4" x14ac:dyDescent="0.25">
      <c r="D666" s="3"/>
    </row>
    <row r="667" spans="4:4" x14ac:dyDescent="0.25">
      <c r="D667" s="3"/>
    </row>
    <row r="668" spans="4:4" x14ac:dyDescent="0.25">
      <c r="D668" s="3"/>
    </row>
    <row r="669" spans="4:4" x14ac:dyDescent="0.25">
      <c r="D669" s="3"/>
    </row>
    <row r="670" spans="4:4" x14ac:dyDescent="0.25">
      <c r="D670" s="3"/>
    </row>
    <row r="671" spans="4:4" x14ac:dyDescent="0.25">
      <c r="D671" s="3"/>
    </row>
    <row r="672" spans="4:4" x14ac:dyDescent="0.25">
      <c r="D672" s="3"/>
    </row>
    <row r="673" spans="4:4" x14ac:dyDescent="0.25">
      <c r="D673" s="3"/>
    </row>
    <row r="674" spans="4:4" x14ac:dyDescent="0.25">
      <c r="D674" s="3"/>
    </row>
    <row r="675" spans="4:4" x14ac:dyDescent="0.25">
      <c r="D675" s="3"/>
    </row>
    <row r="676" spans="4:4" x14ac:dyDescent="0.25">
      <c r="D676" s="3"/>
    </row>
    <row r="677" spans="4:4" x14ac:dyDescent="0.25">
      <c r="D677" s="3"/>
    </row>
    <row r="678" spans="4:4" x14ac:dyDescent="0.25">
      <c r="D678" s="3"/>
    </row>
    <row r="679" spans="4:4" x14ac:dyDescent="0.25">
      <c r="D679" s="3"/>
    </row>
    <row r="680" spans="4:4" x14ac:dyDescent="0.25">
      <c r="D680" s="3"/>
    </row>
    <row r="681" spans="4:4" x14ac:dyDescent="0.25">
      <c r="D681" s="3"/>
    </row>
    <row r="682" spans="4:4" x14ac:dyDescent="0.25">
      <c r="D682" s="3"/>
    </row>
    <row r="683" spans="4:4" x14ac:dyDescent="0.25">
      <c r="D683" s="3"/>
    </row>
    <row r="684" spans="4:4" x14ac:dyDescent="0.25">
      <c r="D684" s="3"/>
    </row>
    <row r="685" spans="4:4" x14ac:dyDescent="0.25">
      <c r="D685" s="3"/>
    </row>
    <row r="686" spans="4:4" x14ac:dyDescent="0.25">
      <c r="D686" s="3"/>
    </row>
    <row r="687" spans="4:4" x14ac:dyDescent="0.25">
      <c r="D687" s="3"/>
    </row>
    <row r="688" spans="4:4" x14ac:dyDescent="0.25">
      <c r="D688" s="3"/>
    </row>
    <row r="689" spans="4:4" x14ac:dyDescent="0.25">
      <c r="D689" s="3"/>
    </row>
    <row r="690" spans="4:4" x14ac:dyDescent="0.25">
      <c r="D690" s="3"/>
    </row>
    <row r="691" spans="4:4" x14ac:dyDescent="0.25">
      <c r="D691" s="3"/>
    </row>
    <row r="692" spans="4:4" x14ac:dyDescent="0.25">
      <c r="D692" s="3"/>
    </row>
    <row r="693" spans="4:4" x14ac:dyDescent="0.25">
      <c r="D693" s="3"/>
    </row>
    <row r="694" spans="4:4" x14ac:dyDescent="0.25">
      <c r="D694" s="3"/>
    </row>
    <row r="695" spans="4:4" x14ac:dyDescent="0.25">
      <c r="D695" s="3"/>
    </row>
    <row r="696" spans="4:4" x14ac:dyDescent="0.25">
      <c r="D696" s="3"/>
    </row>
    <row r="697" spans="4:4" x14ac:dyDescent="0.25">
      <c r="D697" s="3"/>
    </row>
    <row r="698" spans="4:4" x14ac:dyDescent="0.25">
      <c r="D698" s="3"/>
    </row>
    <row r="699" spans="4:4" x14ac:dyDescent="0.25">
      <c r="D699" s="3"/>
    </row>
    <row r="700" spans="4:4" x14ac:dyDescent="0.25">
      <c r="D700" s="3"/>
    </row>
    <row r="701" spans="4:4" x14ac:dyDescent="0.25">
      <c r="D701" s="3"/>
    </row>
    <row r="702" spans="4:4" x14ac:dyDescent="0.25">
      <c r="D702" s="3"/>
    </row>
    <row r="703" spans="4:4" x14ac:dyDescent="0.25">
      <c r="D703" s="3"/>
    </row>
    <row r="704" spans="4:4" x14ac:dyDescent="0.25">
      <c r="D704" s="3"/>
    </row>
    <row r="705" spans="4:4" x14ac:dyDescent="0.25">
      <c r="D705" s="3"/>
    </row>
    <row r="706" spans="4:4" x14ac:dyDescent="0.25">
      <c r="D706" s="3"/>
    </row>
    <row r="707" spans="4:4" x14ac:dyDescent="0.25">
      <c r="D707" s="3"/>
    </row>
    <row r="708" spans="4:4" x14ac:dyDescent="0.25">
      <c r="D708" s="3"/>
    </row>
    <row r="709" spans="4:4" x14ac:dyDescent="0.25">
      <c r="D709" s="3"/>
    </row>
    <row r="710" spans="4:4" x14ac:dyDescent="0.25">
      <c r="D710" s="3"/>
    </row>
    <row r="711" spans="4:4" x14ac:dyDescent="0.25">
      <c r="D711" s="3"/>
    </row>
    <row r="712" spans="4:4" x14ac:dyDescent="0.25">
      <c r="D712" s="3"/>
    </row>
    <row r="713" spans="4:4" x14ac:dyDescent="0.25">
      <c r="D713" s="3"/>
    </row>
    <row r="714" spans="4:4" x14ac:dyDescent="0.25">
      <c r="D714" s="3"/>
    </row>
    <row r="715" spans="4:4" x14ac:dyDescent="0.25">
      <c r="D715" s="3"/>
    </row>
    <row r="716" spans="4:4" x14ac:dyDescent="0.25">
      <c r="D716" s="3"/>
    </row>
  </sheetData>
  <mergeCells count="2">
    <mergeCell ref="D5:D9"/>
    <mergeCell ref="D11:D15"/>
  </mergeCells>
  <pageMargins left="0.7" right="0.7" top="0.75" bottom="0.75" header="0.3" footer="0.3"/>
  <pageSetup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8">
    <tabColor rgb="FF7030A0"/>
  </sheetPr>
  <dimension ref="A1:Z66"/>
  <sheetViews>
    <sheetView zoomScale="70" zoomScaleNormal="70" workbookViewId="0">
      <selection activeCell="O45" sqref="O45"/>
    </sheetView>
  </sheetViews>
  <sheetFormatPr defaultRowHeight="13.8" outlineLevelRow="1" x14ac:dyDescent="0.25"/>
  <cols>
    <col min="1" max="1" width="28.5" customWidth="1"/>
    <col min="2" max="2" width="30.69921875" style="2" customWidth="1"/>
    <col min="3" max="8" width="11.5" customWidth="1"/>
    <col min="9" max="9" width="13.5" customWidth="1"/>
    <col min="10" max="16" width="11.5" customWidth="1"/>
    <col min="17" max="19" width="13.59765625" customWidth="1"/>
    <col min="20" max="23" width="13.59765625" hidden="1" customWidth="1"/>
    <col min="24" max="24" width="44.5" hidden="1" customWidth="1"/>
  </cols>
  <sheetData>
    <row r="1" spans="1:25" ht="57" customHeight="1" outlineLevel="1" x14ac:dyDescent="0.25">
      <c r="B1" s="7"/>
    </row>
    <row r="2" spans="1:25" ht="17.25" customHeight="1" outlineLevel="1" thickBot="1" x14ac:dyDescent="0.3">
      <c r="B2" s="344" t="s">
        <v>7</v>
      </c>
      <c r="C2" s="345" t="s">
        <v>456</v>
      </c>
      <c r="D2" s="345"/>
      <c r="E2" s="345"/>
      <c r="F2" s="345"/>
      <c r="G2" s="345"/>
      <c r="H2" s="345"/>
      <c r="I2" s="345"/>
      <c r="J2" s="345"/>
      <c r="K2" s="346"/>
      <c r="L2" s="347"/>
      <c r="M2" s="347"/>
      <c r="N2" s="347"/>
      <c r="O2" s="347"/>
      <c r="P2" s="347"/>
      <c r="Q2" s="173"/>
      <c r="R2" s="173"/>
      <c r="S2" s="173"/>
      <c r="T2" s="141"/>
      <c r="U2" s="141"/>
      <c r="V2" s="141"/>
      <c r="W2" s="141"/>
      <c r="X2" s="141"/>
      <c r="Y2" s="141"/>
    </row>
    <row r="3" spans="1:25" s="28" customFormat="1" ht="42" x14ac:dyDescent="0.3">
      <c r="A3" s="352" t="s">
        <v>457</v>
      </c>
      <c r="B3" s="353" t="s">
        <v>356</v>
      </c>
      <c r="C3" s="354">
        <v>2021</v>
      </c>
      <c r="D3" s="354">
        <v>2022</v>
      </c>
      <c r="E3" s="354">
        <v>2023</v>
      </c>
      <c r="F3" s="354">
        <v>2024</v>
      </c>
      <c r="G3" s="354">
        <v>2025</v>
      </c>
      <c r="H3" s="354">
        <v>2026</v>
      </c>
      <c r="I3" s="354">
        <v>2027</v>
      </c>
      <c r="J3" s="354">
        <v>2028</v>
      </c>
      <c r="K3" s="354">
        <v>2029</v>
      </c>
      <c r="L3" s="354">
        <v>2030</v>
      </c>
      <c r="M3" s="354">
        <v>2031</v>
      </c>
      <c r="N3" s="354">
        <v>2032</v>
      </c>
      <c r="O3" s="354">
        <v>2033</v>
      </c>
      <c r="P3" s="354">
        <v>2034</v>
      </c>
      <c r="Q3" s="354">
        <v>2035</v>
      </c>
      <c r="R3" s="354">
        <v>2036</v>
      </c>
      <c r="S3" s="355">
        <v>2037</v>
      </c>
      <c r="T3" s="343" t="s">
        <v>26</v>
      </c>
      <c r="U3" s="136" t="s">
        <v>458</v>
      </c>
      <c r="W3" s="28" t="s">
        <v>134</v>
      </c>
    </row>
    <row r="4" spans="1:25" x14ac:dyDescent="0.25">
      <c r="A4" s="356" t="s">
        <v>276</v>
      </c>
      <c r="B4" s="342" t="s">
        <v>44</v>
      </c>
      <c r="C4" s="342">
        <v>3</v>
      </c>
      <c r="D4" s="342">
        <v>3</v>
      </c>
      <c r="E4" s="342">
        <v>3</v>
      </c>
      <c r="F4" s="342">
        <v>3</v>
      </c>
      <c r="G4" s="342">
        <v>3</v>
      </c>
      <c r="H4" s="342">
        <v>3</v>
      </c>
      <c r="I4" s="342">
        <v>3</v>
      </c>
      <c r="J4" s="342">
        <v>3</v>
      </c>
      <c r="K4" s="342">
        <v>3</v>
      </c>
      <c r="L4" s="342">
        <v>3</v>
      </c>
      <c r="M4" s="342">
        <v>3</v>
      </c>
      <c r="N4" s="342">
        <v>3</v>
      </c>
      <c r="O4" s="342">
        <v>3</v>
      </c>
      <c r="P4" s="342">
        <v>3</v>
      </c>
      <c r="Q4" s="342">
        <v>3</v>
      </c>
      <c r="R4" s="342">
        <v>3</v>
      </c>
      <c r="S4" s="357">
        <v>3</v>
      </c>
      <c r="T4" s="437" t="s">
        <v>459</v>
      </c>
      <c r="U4" s="149">
        <f>((S4/C4)^(1/($S$3-$C$3)))-1</f>
        <v>0</v>
      </c>
      <c r="W4" t="str">
        <f>IF(B4="Residential",_xlfn.CONCAT(B4,A4),B4)</f>
        <v>Interruptible Rider</v>
      </c>
    </row>
    <row r="5" spans="1:25" x14ac:dyDescent="0.25">
      <c r="A5" s="356" t="s">
        <v>276</v>
      </c>
      <c r="B5" s="342" t="s">
        <v>43</v>
      </c>
      <c r="C5" s="342">
        <v>12</v>
      </c>
      <c r="D5" s="342">
        <v>12</v>
      </c>
      <c r="E5" s="342">
        <v>12</v>
      </c>
      <c r="F5" s="342">
        <v>12</v>
      </c>
      <c r="G5" s="342">
        <v>12</v>
      </c>
      <c r="H5" s="342">
        <v>12</v>
      </c>
      <c r="I5" s="342">
        <v>12</v>
      </c>
      <c r="J5" s="342">
        <v>12</v>
      </c>
      <c r="K5" s="342">
        <v>12</v>
      </c>
      <c r="L5" s="342">
        <v>12</v>
      </c>
      <c r="M5" s="342">
        <v>12</v>
      </c>
      <c r="N5" s="342">
        <v>12</v>
      </c>
      <c r="O5" s="342">
        <v>12</v>
      </c>
      <c r="P5" s="342">
        <v>12</v>
      </c>
      <c r="Q5" s="342">
        <v>12</v>
      </c>
      <c r="R5" s="342">
        <v>12</v>
      </c>
      <c r="S5" s="357">
        <v>12</v>
      </c>
      <c r="T5" s="438"/>
      <c r="U5" s="149">
        <f t="shared" ref="U5:U26" si="0">((S5/C5)^(1/($S$3-$C$3)))-1</f>
        <v>0</v>
      </c>
      <c r="W5" t="str">
        <f t="shared" ref="W5:W26" si="1">IF(B5="Residential",_xlfn.CONCAT(B5,A5),B5)</f>
        <v>Large Industrial</v>
      </c>
    </row>
    <row r="6" spans="1:25" x14ac:dyDescent="0.25">
      <c r="A6" s="356" t="s">
        <v>276</v>
      </c>
      <c r="B6" s="342" t="s">
        <v>40</v>
      </c>
      <c r="C6" s="342">
        <v>1472.1475727646643</v>
      </c>
      <c r="D6" s="342">
        <v>1474.0833355164914</v>
      </c>
      <c r="E6" s="342">
        <v>1478.9227423960597</v>
      </c>
      <c r="F6" s="342">
        <v>1483.7621492756277</v>
      </c>
      <c r="G6" s="342">
        <v>1484.7300306515415</v>
      </c>
      <c r="H6" s="342">
        <v>1481.8263865238007</v>
      </c>
      <c r="I6" s="342">
        <v>1478.9227423960594</v>
      </c>
      <c r="J6" s="342">
        <v>1476.0190982683184</v>
      </c>
      <c r="K6" s="342">
        <v>1474.0833355164914</v>
      </c>
      <c r="L6" s="342">
        <v>1472.1475727646639</v>
      </c>
      <c r="M6" s="342">
        <v>1471.1796913887506</v>
      </c>
      <c r="N6" s="342">
        <v>1469.2439286369229</v>
      </c>
      <c r="O6" s="342">
        <v>1468.2760472610096</v>
      </c>
      <c r="P6" s="342">
        <v>1466.3402845091821</v>
      </c>
      <c r="Q6" s="342">
        <v>1466.3402845091819</v>
      </c>
      <c r="R6" s="342">
        <v>1466.3402845091819</v>
      </c>
      <c r="S6" s="357">
        <v>1466.3402845091819</v>
      </c>
      <c r="T6" s="438"/>
      <c r="U6" s="149">
        <f t="shared" si="0"/>
        <v>-2.4700538388477966E-4</v>
      </c>
      <c r="W6" t="str">
        <f t="shared" si="1"/>
        <v>Small Commercial</v>
      </c>
    </row>
    <row r="7" spans="1:25" x14ac:dyDescent="0.25">
      <c r="A7" s="356" t="s">
        <v>276</v>
      </c>
      <c r="B7" s="342" t="s">
        <v>42</v>
      </c>
      <c r="C7" s="342">
        <v>88</v>
      </c>
      <c r="D7" s="342">
        <v>88</v>
      </c>
      <c r="E7" s="342">
        <v>88</v>
      </c>
      <c r="F7" s="342">
        <v>88</v>
      </c>
      <c r="G7" s="342">
        <v>88</v>
      </c>
      <c r="H7" s="342">
        <v>88</v>
      </c>
      <c r="I7" s="342">
        <v>88</v>
      </c>
      <c r="J7" s="342">
        <v>88</v>
      </c>
      <c r="K7" s="342">
        <v>88</v>
      </c>
      <c r="L7" s="342">
        <v>88</v>
      </c>
      <c r="M7" s="342">
        <v>88</v>
      </c>
      <c r="N7" s="342">
        <v>88</v>
      </c>
      <c r="O7" s="342">
        <v>88</v>
      </c>
      <c r="P7" s="342">
        <v>88</v>
      </c>
      <c r="Q7" s="342">
        <v>88</v>
      </c>
      <c r="R7" s="342">
        <v>88</v>
      </c>
      <c r="S7" s="357">
        <v>88</v>
      </c>
      <c r="T7" s="438"/>
      <c r="U7" s="149">
        <f t="shared" si="0"/>
        <v>0</v>
      </c>
      <c r="W7" t="str">
        <f t="shared" si="1"/>
        <v>Small Industrial</v>
      </c>
    </row>
    <row r="8" spans="1:25" x14ac:dyDescent="0.25">
      <c r="A8" s="356" t="s">
        <v>279</v>
      </c>
      <c r="B8" s="342" t="s">
        <v>44</v>
      </c>
      <c r="C8" s="342">
        <v>8</v>
      </c>
      <c r="D8" s="342">
        <v>8</v>
      </c>
      <c r="E8" s="342">
        <v>8</v>
      </c>
      <c r="F8" s="342">
        <v>8</v>
      </c>
      <c r="G8" s="342">
        <v>8</v>
      </c>
      <c r="H8" s="342">
        <v>8</v>
      </c>
      <c r="I8" s="342">
        <v>8</v>
      </c>
      <c r="J8" s="342">
        <v>8</v>
      </c>
      <c r="K8" s="342">
        <v>8</v>
      </c>
      <c r="L8" s="342">
        <v>8</v>
      </c>
      <c r="M8" s="342">
        <v>8</v>
      </c>
      <c r="N8" s="342">
        <v>8</v>
      </c>
      <c r="O8" s="342">
        <v>8</v>
      </c>
      <c r="P8" s="342">
        <v>8</v>
      </c>
      <c r="Q8" s="342">
        <v>8</v>
      </c>
      <c r="R8" s="342">
        <v>8</v>
      </c>
      <c r="S8" s="357">
        <v>8</v>
      </c>
      <c r="T8" s="438"/>
      <c r="U8" s="149">
        <f t="shared" si="0"/>
        <v>0</v>
      </c>
      <c r="W8" t="str">
        <f t="shared" si="1"/>
        <v>Interruptible Rider</v>
      </c>
    </row>
    <row r="9" spans="1:25" x14ac:dyDescent="0.25">
      <c r="A9" s="356" t="s">
        <v>279</v>
      </c>
      <c r="B9" s="342" t="s">
        <v>43</v>
      </c>
      <c r="C9" s="342">
        <v>59</v>
      </c>
      <c r="D9" s="342">
        <v>59</v>
      </c>
      <c r="E9" s="342">
        <v>59</v>
      </c>
      <c r="F9" s="342">
        <v>59</v>
      </c>
      <c r="G9" s="342">
        <v>59</v>
      </c>
      <c r="H9" s="342">
        <v>59</v>
      </c>
      <c r="I9" s="342">
        <v>59</v>
      </c>
      <c r="J9" s="342">
        <v>59</v>
      </c>
      <c r="K9" s="342">
        <v>59</v>
      </c>
      <c r="L9" s="342">
        <v>59</v>
      </c>
      <c r="M9" s="342">
        <v>59</v>
      </c>
      <c r="N9" s="342">
        <v>59</v>
      </c>
      <c r="O9" s="342">
        <v>59</v>
      </c>
      <c r="P9" s="342">
        <v>59</v>
      </c>
      <c r="Q9" s="342">
        <v>59</v>
      </c>
      <c r="R9" s="342">
        <v>59</v>
      </c>
      <c r="S9" s="357">
        <v>59</v>
      </c>
      <c r="T9" s="438"/>
      <c r="U9" s="149">
        <f t="shared" si="0"/>
        <v>0</v>
      </c>
      <c r="W9" t="str">
        <f t="shared" si="1"/>
        <v>Large Industrial</v>
      </c>
    </row>
    <row r="10" spans="1:25" x14ac:dyDescent="0.25">
      <c r="A10" s="356" t="s">
        <v>279</v>
      </c>
      <c r="B10" s="342" t="s">
        <v>40</v>
      </c>
      <c r="C10" s="342">
        <v>10848.982342616122</v>
      </c>
      <c r="D10" s="342">
        <v>10880.922428021271</v>
      </c>
      <c r="E10" s="342">
        <v>10918.669801681905</v>
      </c>
      <c r="F10" s="342">
        <v>10956.417175342536</v>
      </c>
      <c r="G10" s="342">
        <v>10966.095989101672</v>
      </c>
      <c r="H10" s="342">
        <v>10953.513531214796</v>
      </c>
      <c r="I10" s="342">
        <v>10941.898954703829</v>
      </c>
      <c r="J10" s="342">
        <v>10931.252259568779</v>
      </c>
      <c r="K10" s="342">
        <v>10924.477089937385</v>
      </c>
      <c r="L10" s="342">
        <v>10917.70192030599</v>
      </c>
      <c r="M10" s="342">
        <v>10911.894632050509</v>
      </c>
      <c r="N10" s="342">
        <v>10906.087343795025</v>
      </c>
      <c r="O10" s="342">
        <v>10905.119462419114</v>
      </c>
      <c r="P10" s="342">
        <v>10904.151581043197</v>
      </c>
      <c r="Q10" s="342">
        <v>10898.344292787715</v>
      </c>
      <c r="R10" s="342">
        <v>10898.344292787715</v>
      </c>
      <c r="S10" s="357">
        <v>10898.344292787715</v>
      </c>
      <c r="T10" s="438"/>
      <c r="U10" s="149">
        <f t="shared" si="0"/>
        <v>2.8376498320459298E-4</v>
      </c>
      <c r="W10" t="str">
        <f t="shared" si="1"/>
        <v>Small Commercial</v>
      </c>
    </row>
    <row r="11" spans="1:25" x14ac:dyDescent="0.25">
      <c r="A11" s="356" t="s">
        <v>279</v>
      </c>
      <c r="B11" s="342" t="s">
        <v>42</v>
      </c>
      <c r="C11" s="342">
        <v>572</v>
      </c>
      <c r="D11" s="342">
        <v>572</v>
      </c>
      <c r="E11" s="342">
        <v>572</v>
      </c>
      <c r="F11" s="342">
        <v>572</v>
      </c>
      <c r="G11" s="342">
        <v>572</v>
      </c>
      <c r="H11" s="342">
        <v>572</v>
      </c>
      <c r="I11" s="342">
        <v>572</v>
      </c>
      <c r="J11" s="342">
        <v>572</v>
      </c>
      <c r="K11" s="342">
        <v>572</v>
      </c>
      <c r="L11" s="342">
        <v>572</v>
      </c>
      <c r="M11" s="342">
        <v>572</v>
      </c>
      <c r="N11" s="342">
        <v>572</v>
      </c>
      <c r="O11" s="342">
        <v>572</v>
      </c>
      <c r="P11" s="342">
        <v>572</v>
      </c>
      <c r="Q11" s="342">
        <v>572</v>
      </c>
      <c r="R11" s="342">
        <v>572</v>
      </c>
      <c r="S11" s="357">
        <v>572</v>
      </c>
      <c r="T11" s="438"/>
      <c r="U11" s="149">
        <f t="shared" si="0"/>
        <v>0</v>
      </c>
      <c r="W11" t="str">
        <f t="shared" si="1"/>
        <v>Small Industrial</v>
      </c>
    </row>
    <row r="12" spans="1:25" x14ac:dyDescent="0.25">
      <c r="A12" s="356" t="s">
        <v>280</v>
      </c>
      <c r="B12" s="342" t="s">
        <v>41</v>
      </c>
      <c r="C12" s="342">
        <v>186.89999999999998</v>
      </c>
      <c r="D12" s="342">
        <v>187.33841921877865</v>
      </c>
      <c r="E12" s="342">
        <v>187.93582562678466</v>
      </c>
      <c r="F12" s="342">
        <v>188.5380498284037</v>
      </c>
      <c r="G12" s="342">
        <v>188.61513452621097</v>
      </c>
      <c r="H12" s="342">
        <v>188.30679573498202</v>
      </c>
      <c r="I12" s="342">
        <v>188.02254591181782</v>
      </c>
      <c r="J12" s="342">
        <v>187.72384270781481</v>
      </c>
      <c r="K12" s="342">
        <v>187.51667758245787</v>
      </c>
      <c r="L12" s="342">
        <v>187.31914804432682</v>
      </c>
      <c r="M12" s="342">
        <v>187.1408896806476</v>
      </c>
      <c r="N12" s="342">
        <v>186.9915380786461</v>
      </c>
      <c r="O12" s="342">
        <v>186.90481779361295</v>
      </c>
      <c r="P12" s="342">
        <v>186.81327971496682</v>
      </c>
      <c r="Q12" s="342">
        <v>186.69765266825601</v>
      </c>
      <c r="R12" s="342">
        <v>186.69765266825601</v>
      </c>
      <c r="S12" s="357">
        <v>186.69765266825601</v>
      </c>
      <c r="T12" s="438"/>
      <c r="U12" s="149">
        <f t="shared" si="0"/>
        <v>-6.770000445310842E-5</v>
      </c>
      <c r="W12" t="str">
        <f t="shared" si="1"/>
        <v>Large Commercial</v>
      </c>
    </row>
    <row r="13" spans="1:25" x14ac:dyDescent="0.25">
      <c r="A13" s="356" t="s">
        <v>280</v>
      </c>
      <c r="B13" s="342" t="s">
        <v>43</v>
      </c>
      <c r="C13" s="342">
        <v>7</v>
      </c>
      <c r="D13" s="342">
        <v>7</v>
      </c>
      <c r="E13" s="342">
        <v>7</v>
      </c>
      <c r="F13" s="342">
        <v>7</v>
      </c>
      <c r="G13" s="342">
        <v>7</v>
      </c>
      <c r="H13" s="342">
        <v>7</v>
      </c>
      <c r="I13" s="342">
        <v>7</v>
      </c>
      <c r="J13" s="342">
        <v>7</v>
      </c>
      <c r="K13" s="342">
        <v>7</v>
      </c>
      <c r="L13" s="342">
        <v>7</v>
      </c>
      <c r="M13" s="342">
        <v>7</v>
      </c>
      <c r="N13" s="342">
        <v>7</v>
      </c>
      <c r="O13" s="342">
        <v>7</v>
      </c>
      <c r="P13" s="342">
        <v>7</v>
      </c>
      <c r="Q13" s="342">
        <v>7</v>
      </c>
      <c r="R13" s="342">
        <v>7</v>
      </c>
      <c r="S13" s="357">
        <v>7</v>
      </c>
      <c r="T13" s="438"/>
      <c r="U13" s="149">
        <f t="shared" si="0"/>
        <v>0</v>
      </c>
      <c r="W13" t="str">
        <f t="shared" si="1"/>
        <v>Large Industrial</v>
      </c>
    </row>
    <row r="14" spans="1:25" x14ac:dyDescent="0.25">
      <c r="A14" s="356" t="s">
        <v>280</v>
      </c>
      <c r="B14" s="342" t="s">
        <v>40</v>
      </c>
      <c r="C14" s="342">
        <v>3763.1227895522779</v>
      </c>
      <c r="D14" s="342">
        <v>3770.865840559587</v>
      </c>
      <c r="E14" s="342">
        <v>3782.4804170705506</v>
      </c>
      <c r="F14" s="342">
        <v>3794.0949935815138</v>
      </c>
      <c r="G14" s="342">
        <v>3795.0628749574275</v>
      </c>
      <c r="H14" s="342">
        <v>3788.2877053260327</v>
      </c>
      <c r="I14" s="342">
        <v>3782.4804170705497</v>
      </c>
      <c r="J14" s="342">
        <v>3775.7052474391544</v>
      </c>
      <c r="K14" s="342">
        <v>3770.8658405595866</v>
      </c>
      <c r="L14" s="342">
        <v>3765.0585523041045</v>
      </c>
      <c r="M14" s="342">
        <v>3760.2191454245367</v>
      </c>
      <c r="N14" s="342">
        <v>3758.2833826727083</v>
      </c>
      <c r="O14" s="342">
        <v>3755.3797385449684</v>
      </c>
      <c r="P14" s="342">
        <v>3752.4760944172272</v>
      </c>
      <c r="Q14" s="342">
        <v>3749.5724502894855</v>
      </c>
      <c r="R14" s="342">
        <v>3749.5724502894855</v>
      </c>
      <c r="S14" s="357">
        <v>3749.5724502894855</v>
      </c>
      <c r="T14" s="438"/>
      <c r="U14" s="149">
        <f t="shared" si="0"/>
        <v>-2.2543218718185098E-4</v>
      </c>
      <c r="W14" t="str">
        <f t="shared" si="1"/>
        <v>Small Commercial</v>
      </c>
    </row>
    <row r="15" spans="1:25" x14ac:dyDescent="0.25">
      <c r="A15" s="356" t="s">
        <v>280</v>
      </c>
      <c r="B15" s="342" t="s">
        <v>42</v>
      </c>
      <c r="C15" s="342">
        <v>225</v>
      </c>
      <c r="D15" s="342">
        <v>225</v>
      </c>
      <c r="E15" s="342">
        <v>225</v>
      </c>
      <c r="F15" s="342">
        <v>225</v>
      </c>
      <c r="G15" s="342">
        <v>225</v>
      </c>
      <c r="H15" s="342">
        <v>225</v>
      </c>
      <c r="I15" s="342">
        <v>225</v>
      </c>
      <c r="J15" s="342">
        <v>225</v>
      </c>
      <c r="K15" s="342">
        <v>225</v>
      </c>
      <c r="L15" s="342">
        <v>225</v>
      </c>
      <c r="M15" s="342">
        <v>225</v>
      </c>
      <c r="N15" s="342">
        <v>225</v>
      </c>
      <c r="O15" s="342">
        <v>225</v>
      </c>
      <c r="P15" s="342">
        <v>225</v>
      </c>
      <c r="Q15" s="342">
        <v>225</v>
      </c>
      <c r="R15" s="342">
        <v>225</v>
      </c>
      <c r="S15" s="357">
        <v>225</v>
      </c>
      <c r="T15" s="438"/>
      <c r="U15" s="149">
        <f t="shared" si="0"/>
        <v>0</v>
      </c>
      <c r="W15" t="str">
        <f t="shared" si="1"/>
        <v>Small Industrial</v>
      </c>
    </row>
    <row r="16" spans="1:25" x14ac:dyDescent="0.25">
      <c r="A16" s="356" t="s">
        <v>269</v>
      </c>
      <c r="B16" s="342" t="s">
        <v>45</v>
      </c>
      <c r="C16" s="342">
        <v>66292</v>
      </c>
      <c r="D16" s="342">
        <v>66760</v>
      </c>
      <c r="E16" s="342">
        <v>67184</v>
      </c>
      <c r="F16" s="342">
        <v>67568</v>
      </c>
      <c r="G16" s="342">
        <v>67932</v>
      </c>
      <c r="H16" s="342">
        <v>68276</v>
      </c>
      <c r="I16" s="342">
        <v>68601</v>
      </c>
      <c r="J16" s="342">
        <v>68906</v>
      </c>
      <c r="K16" s="342">
        <v>69191</v>
      </c>
      <c r="L16" s="342">
        <v>69458</v>
      </c>
      <c r="M16" s="342">
        <v>69705</v>
      </c>
      <c r="N16" s="342">
        <v>69932</v>
      </c>
      <c r="O16" s="342">
        <v>70140</v>
      </c>
      <c r="P16" s="342">
        <v>70329</v>
      </c>
      <c r="Q16" s="342">
        <v>70498</v>
      </c>
      <c r="R16" s="342">
        <v>70498</v>
      </c>
      <c r="S16" s="357">
        <v>70498</v>
      </c>
      <c r="T16" s="438"/>
      <c r="U16" s="149">
        <f t="shared" si="0"/>
        <v>3.8520949669287319E-3</v>
      </c>
      <c r="W16" t="str">
        <f t="shared" si="1"/>
        <v>ResidentialResidential LI</v>
      </c>
    </row>
    <row r="17" spans="1:26" x14ac:dyDescent="0.25">
      <c r="A17" s="356" t="s">
        <v>272</v>
      </c>
      <c r="B17" s="342" t="s">
        <v>45</v>
      </c>
      <c r="C17" s="342">
        <v>412698</v>
      </c>
      <c r="D17" s="342">
        <v>415608</v>
      </c>
      <c r="E17" s="342">
        <v>418247</v>
      </c>
      <c r="F17" s="342">
        <v>420640</v>
      </c>
      <c r="G17" s="342">
        <v>422905</v>
      </c>
      <c r="H17" s="342">
        <v>425049</v>
      </c>
      <c r="I17" s="342">
        <v>427069</v>
      </c>
      <c r="J17" s="342">
        <v>428968</v>
      </c>
      <c r="K17" s="342">
        <v>430747</v>
      </c>
      <c r="L17" s="342">
        <v>432405</v>
      </c>
      <c r="M17" s="342">
        <v>433942</v>
      </c>
      <c r="N17" s="342">
        <v>435358</v>
      </c>
      <c r="O17" s="342">
        <v>436653</v>
      </c>
      <c r="P17" s="342">
        <v>437828</v>
      </c>
      <c r="Q17" s="342">
        <v>438882</v>
      </c>
      <c r="R17" s="342">
        <v>438882</v>
      </c>
      <c r="S17" s="357">
        <v>438882</v>
      </c>
      <c r="T17" s="438"/>
      <c r="U17" s="149">
        <f t="shared" si="0"/>
        <v>3.8520560213233246E-3</v>
      </c>
      <c r="W17" t="str">
        <f t="shared" si="1"/>
        <v>ResidentialResidential Market Rate</v>
      </c>
    </row>
    <row r="18" spans="1:26" x14ac:dyDescent="0.25">
      <c r="A18" s="356" t="s">
        <v>281</v>
      </c>
      <c r="B18" s="342" t="s">
        <v>44</v>
      </c>
      <c r="C18" s="342">
        <v>12</v>
      </c>
      <c r="D18" s="342">
        <v>12</v>
      </c>
      <c r="E18" s="342">
        <v>12</v>
      </c>
      <c r="F18" s="342">
        <v>12</v>
      </c>
      <c r="G18" s="342">
        <v>12</v>
      </c>
      <c r="H18" s="342">
        <v>12</v>
      </c>
      <c r="I18" s="342">
        <v>12</v>
      </c>
      <c r="J18" s="342">
        <v>12</v>
      </c>
      <c r="K18" s="342">
        <v>12</v>
      </c>
      <c r="L18" s="342">
        <v>12</v>
      </c>
      <c r="M18" s="342">
        <v>12</v>
      </c>
      <c r="N18" s="342">
        <v>12</v>
      </c>
      <c r="O18" s="342">
        <v>12</v>
      </c>
      <c r="P18" s="342">
        <v>12</v>
      </c>
      <c r="Q18" s="342">
        <v>12</v>
      </c>
      <c r="R18" s="342">
        <v>12</v>
      </c>
      <c r="S18" s="357">
        <v>12</v>
      </c>
      <c r="T18" s="438"/>
      <c r="U18" s="149">
        <f t="shared" si="0"/>
        <v>0</v>
      </c>
      <c r="W18" t="str">
        <f t="shared" si="1"/>
        <v>Interruptible Rider</v>
      </c>
    </row>
    <row r="19" spans="1:26" x14ac:dyDescent="0.25">
      <c r="A19" s="356" t="s">
        <v>281</v>
      </c>
      <c r="B19" s="342" t="s">
        <v>43</v>
      </c>
      <c r="C19" s="342">
        <v>35</v>
      </c>
      <c r="D19" s="342">
        <v>35</v>
      </c>
      <c r="E19" s="342">
        <v>35</v>
      </c>
      <c r="F19" s="342">
        <v>35</v>
      </c>
      <c r="G19" s="342">
        <v>35</v>
      </c>
      <c r="H19" s="342">
        <v>35</v>
      </c>
      <c r="I19" s="342">
        <v>35</v>
      </c>
      <c r="J19" s="342">
        <v>35</v>
      </c>
      <c r="K19" s="342">
        <v>35</v>
      </c>
      <c r="L19" s="342">
        <v>35</v>
      </c>
      <c r="M19" s="342">
        <v>35</v>
      </c>
      <c r="N19" s="342">
        <v>35</v>
      </c>
      <c r="O19" s="342">
        <v>35</v>
      </c>
      <c r="P19" s="342">
        <v>35</v>
      </c>
      <c r="Q19" s="342">
        <v>35</v>
      </c>
      <c r="R19" s="342">
        <v>35</v>
      </c>
      <c r="S19" s="357">
        <v>35</v>
      </c>
      <c r="T19" s="438"/>
      <c r="U19" s="149">
        <f t="shared" si="0"/>
        <v>0</v>
      </c>
      <c r="W19" t="str">
        <f t="shared" si="1"/>
        <v>Large Industrial</v>
      </c>
    </row>
    <row r="20" spans="1:26" x14ac:dyDescent="0.25">
      <c r="A20" s="356" t="s">
        <v>281</v>
      </c>
      <c r="B20" s="342" t="s">
        <v>40</v>
      </c>
      <c r="C20" s="342">
        <v>6566.1072541982139</v>
      </c>
      <c r="D20" s="342">
        <v>6581.5933562128312</v>
      </c>
      <c r="E20" s="342">
        <v>6601.9188651070181</v>
      </c>
      <c r="F20" s="342">
        <v>6623.2122553771178</v>
      </c>
      <c r="G20" s="342">
        <v>6624.1801367530306</v>
      </c>
      <c r="H20" s="342">
        <v>6611.5976788661546</v>
      </c>
      <c r="I20" s="342">
        <v>6599.9831023551887</v>
      </c>
      <c r="J20" s="342">
        <v>6587.4006444683118</v>
      </c>
      <c r="K20" s="342">
        <v>6578.689712085089</v>
      </c>
      <c r="L20" s="342">
        <v>6570.9466610777799</v>
      </c>
      <c r="M20" s="342">
        <v>6563.2036100704718</v>
      </c>
      <c r="N20" s="342">
        <v>6556.4284404390746</v>
      </c>
      <c r="O20" s="342">
        <v>6552.5569149354214</v>
      </c>
      <c r="P20" s="342">
        <v>6548.6853894317665</v>
      </c>
      <c r="Q20" s="342">
        <v>6543.8459825521968</v>
      </c>
      <c r="R20" s="342">
        <v>6543.8459825521968</v>
      </c>
      <c r="S20" s="357">
        <v>6543.8459825521968</v>
      </c>
      <c r="T20" s="438"/>
      <c r="U20" s="149">
        <f t="shared" si="0"/>
        <v>-2.1223312417983919E-4</v>
      </c>
      <c r="W20" t="str">
        <f t="shared" si="1"/>
        <v>Small Commercial</v>
      </c>
    </row>
    <row r="21" spans="1:26" x14ac:dyDescent="0.25">
      <c r="A21" s="356" t="s">
        <v>281</v>
      </c>
      <c r="B21" s="342" t="s">
        <v>42</v>
      </c>
      <c r="C21" s="342">
        <v>394</v>
      </c>
      <c r="D21" s="342">
        <v>394</v>
      </c>
      <c r="E21" s="342">
        <v>394</v>
      </c>
      <c r="F21" s="342">
        <v>394</v>
      </c>
      <c r="G21" s="342">
        <v>394</v>
      </c>
      <c r="H21" s="342">
        <v>394</v>
      </c>
      <c r="I21" s="342">
        <v>394</v>
      </c>
      <c r="J21" s="342">
        <v>394</v>
      </c>
      <c r="K21" s="342">
        <v>394</v>
      </c>
      <c r="L21" s="342">
        <v>394</v>
      </c>
      <c r="M21" s="342">
        <v>394</v>
      </c>
      <c r="N21" s="342">
        <v>394</v>
      </c>
      <c r="O21" s="342">
        <v>394</v>
      </c>
      <c r="P21" s="342">
        <v>394</v>
      </c>
      <c r="Q21" s="342">
        <v>394</v>
      </c>
      <c r="R21" s="342">
        <v>394</v>
      </c>
      <c r="S21" s="357">
        <v>394</v>
      </c>
      <c r="T21" s="438"/>
      <c r="U21" s="149">
        <f t="shared" si="0"/>
        <v>0</v>
      </c>
      <c r="W21" t="str">
        <f t="shared" si="1"/>
        <v>Small Industrial</v>
      </c>
    </row>
    <row r="22" spans="1:26" x14ac:dyDescent="0.25">
      <c r="A22" s="356" t="s">
        <v>282</v>
      </c>
      <c r="B22" s="342" t="s">
        <v>41</v>
      </c>
      <c r="C22" s="342">
        <v>1059.0999999999999</v>
      </c>
      <c r="D22" s="342">
        <v>1061.5843755730789</v>
      </c>
      <c r="E22" s="342">
        <v>1064.9696785517799</v>
      </c>
      <c r="F22" s="342">
        <v>1068.3822823609544</v>
      </c>
      <c r="G22" s="342">
        <v>1068.8190956485287</v>
      </c>
      <c r="H22" s="342">
        <v>1067.0718424982315</v>
      </c>
      <c r="I22" s="342">
        <v>1065.4610935003011</v>
      </c>
      <c r="J22" s="342">
        <v>1063.7684420109506</v>
      </c>
      <c r="K22" s="342">
        <v>1062.5945063005947</v>
      </c>
      <c r="L22" s="342">
        <v>1061.4751722511853</v>
      </c>
      <c r="M22" s="342">
        <v>1060.4650415236697</v>
      </c>
      <c r="N22" s="342">
        <v>1059.6187157789946</v>
      </c>
      <c r="O22" s="342">
        <v>1059.1273008304734</v>
      </c>
      <c r="P22" s="342">
        <v>1058.6085850514787</v>
      </c>
      <c r="Q22" s="342">
        <v>1057.9533651201173</v>
      </c>
      <c r="R22" s="342">
        <v>1057.9533651201173</v>
      </c>
      <c r="S22" s="357">
        <v>1057.9533651201173</v>
      </c>
      <c r="T22" s="438"/>
      <c r="U22" s="149">
        <f t="shared" si="0"/>
        <v>-6.770000445310842E-5</v>
      </c>
      <c r="W22" t="str">
        <f t="shared" si="1"/>
        <v>Large Commercial</v>
      </c>
    </row>
    <row r="23" spans="1:26" x14ac:dyDescent="0.25">
      <c r="A23" s="356" t="s">
        <v>282</v>
      </c>
      <c r="B23" s="342" t="s">
        <v>43</v>
      </c>
      <c r="C23" s="342">
        <v>76</v>
      </c>
      <c r="D23" s="342">
        <v>76</v>
      </c>
      <c r="E23" s="342">
        <v>76</v>
      </c>
      <c r="F23" s="342">
        <v>76</v>
      </c>
      <c r="G23" s="342">
        <v>76</v>
      </c>
      <c r="H23" s="342">
        <v>76</v>
      </c>
      <c r="I23" s="342">
        <v>76</v>
      </c>
      <c r="J23" s="342">
        <v>76</v>
      </c>
      <c r="K23" s="342">
        <v>76</v>
      </c>
      <c r="L23" s="342">
        <v>76</v>
      </c>
      <c r="M23" s="342">
        <v>76</v>
      </c>
      <c r="N23" s="342">
        <v>76</v>
      </c>
      <c r="O23" s="342">
        <v>76</v>
      </c>
      <c r="P23" s="342">
        <v>76</v>
      </c>
      <c r="Q23" s="342">
        <v>76</v>
      </c>
      <c r="R23" s="342">
        <v>76</v>
      </c>
      <c r="S23" s="357">
        <v>76</v>
      </c>
      <c r="T23" s="438"/>
      <c r="U23" s="149">
        <f t="shared" si="0"/>
        <v>0</v>
      </c>
      <c r="W23" t="str">
        <f t="shared" si="1"/>
        <v>Large Industrial</v>
      </c>
    </row>
    <row r="24" spans="1:26" x14ac:dyDescent="0.25">
      <c r="A24" s="356" t="s">
        <v>282</v>
      </c>
      <c r="B24" s="342" t="s">
        <v>40</v>
      </c>
      <c r="C24" s="342">
        <v>14294.640040868722</v>
      </c>
      <c r="D24" s="342">
        <v>14325.612244897959</v>
      </c>
      <c r="E24" s="342">
        <v>14371.1026695659</v>
      </c>
      <c r="F24" s="342">
        <v>14416.59309423384</v>
      </c>
      <c r="G24" s="342">
        <v>14419.49673836158</v>
      </c>
      <c r="H24" s="342">
        <v>14392.396059835999</v>
      </c>
      <c r="I24" s="342">
        <v>14367.231144062242</v>
      </c>
      <c r="J24" s="342">
        <v>14340.13046553666</v>
      </c>
      <c r="K24" s="342">
        <v>14320.772838018389</v>
      </c>
      <c r="L24" s="342">
        <v>14303.350973251941</v>
      </c>
      <c r="M24" s="342">
        <v>14286.896989861412</v>
      </c>
      <c r="N24" s="342">
        <v>14273.346650598618</v>
      </c>
      <c r="O24" s="342">
        <v>14264.635718215399</v>
      </c>
      <c r="P24" s="342">
        <v>14255.924785832174</v>
      </c>
      <c r="Q24" s="342">
        <v>14246.245972073035</v>
      </c>
      <c r="R24" s="342">
        <v>14246.245972073035</v>
      </c>
      <c r="S24" s="357">
        <v>14246.245972073035</v>
      </c>
      <c r="T24" s="438"/>
      <c r="U24" s="149">
        <f t="shared" si="0"/>
        <v>-2.1192836711803054E-4</v>
      </c>
      <c r="W24" t="str">
        <f t="shared" si="1"/>
        <v>Small Commercial</v>
      </c>
    </row>
    <row r="25" spans="1:26" x14ac:dyDescent="0.25">
      <c r="A25" s="356" t="s">
        <v>282</v>
      </c>
      <c r="B25" s="342" t="s">
        <v>42</v>
      </c>
      <c r="C25" s="342">
        <v>857</v>
      </c>
      <c r="D25" s="342">
        <v>857</v>
      </c>
      <c r="E25" s="342">
        <v>857</v>
      </c>
      <c r="F25" s="342">
        <v>857</v>
      </c>
      <c r="G25" s="342">
        <v>857</v>
      </c>
      <c r="H25" s="342">
        <v>857</v>
      </c>
      <c r="I25" s="342">
        <v>857</v>
      </c>
      <c r="J25" s="342">
        <v>857</v>
      </c>
      <c r="K25" s="342">
        <v>857</v>
      </c>
      <c r="L25" s="342">
        <v>857</v>
      </c>
      <c r="M25" s="342">
        <v>857</v>
      </c>
      <c r="N25" s="342">
        <v>857</v>
      </c>
      <c r="O25" s="342">
        <v>857</v>
      </c>
      <c r="P25" s="342">
        <v>857</v>
      </c>
      <c r="Q25" s="342">
        <v>857</v>
      </c>
      <c r="R25" s="342">
        <v>857</v>
      </c>
      <c r="S25" s="357">
        <v>857</v>
      </c>
      <c r="T25" s="439"/>
      <c r="U25" s="149">
        <f t="shared" si="0"/>
        <v>0</v>
      </c>
      <c r="W25" t="str">
        <f t="shared" si="1"/>
        <v>Small Industrial</v>
      </c>
    </row>
    <row r="26" spans="1:26" s="3" customFormat="1" ht="14.4" thickBot="1" x14ac:dyDescent="0.3">
      <c r="A26" s="358" t="s">
        <v>46</v>
      </c>
      <c r="B26" s="359" t="s">
        <v>46</v>
      </c>
      <c r="C26" s="359">
        <v>413</v>
      </c>
      <c r="D26" s="359">
        <v>991</v>
      </c>
      <c r="E26" s="359">
        <v>1807</v>
      </c>
      <c r="F26" s="359">
        <v>2975</v>
      </c>
      <c r="G26" s="359">
        <v>4669</v>
      </c>
      <c r="H26" s="359">
        <v>7157</v>
      </c>
      <c r="I26" s="359">
        <v>10853</v>
      </c>
      <c r="J26" s="359">
        <v>16412</v>
      </c>
      <c r="K26" s="359">
        <v>24873</v>
      </c>
      <c r="L26" s="359">
        <v>37795</v>
      </c>
      <c r="M26" s="359">
        <v>57765</v>
      </c>
      <c r="N26" s="359">
        <v>87738.16992339745</v>
      </c>
      <c r="O26" s="359">
        <v>133264.37175931598</v>
      </c>
      <c r="P26" s="359">
        <v>202414.04991821057</v>
      </c>
      <c r="Q26" s="359">
        <v>307445.39003993646</v>
      </c>
      <c r="R26" s="359">
        <v>466977.33149622072</v>
      </c>
      <c r="S26" s="360">
        <v>709290.152748578</v>
      </c>
      <c r="T26" s="158" t="s">
        <v>460</v>
      </c>
      <c r="U26" s="151">
        <f t="shared" si="0"/>
        <v>0.59286737594826211</v>
      </c>
      <c r="V26" s="158"/>
      <c r="W26" s="3" t="str">
        <f t="shared" si="1"/>
        <v>EV</v>
      </c>
      <c r="X26" s="158"/>
      <c r="Y26" s="150"/>
      <c r="Z26" s="151"/>
    </row>
    <row r="27" spans="1:26" s="157" customFormat="1" x14ac:dyDescent="0.25">
      <c r="A27" s="348"/>
      <c r="B27" s="349"/>
      <c r="C27" s="350"/>
      <c r="D27" s="350"/>
      <c r="E27" s="350"/>
      <c r="F27" s="350"/>
      <c r="G27" s="350"/>
      <c r="H27" s="350"/>
      <c r="I27" s="350"/>
      <c r="J27" s="350"/>
      <c r="K27" s="350"/>
      <c r="L27" s="350"/>
      <c r="M27" s="350"/>
      <c r="N27" s="350"/>
      <c r="O27" s="350"/>
      <c r="P27" s="350"/>
      <c r="Q27" s="351"/>
      <c r="R27" s="351"/>
      <c r="S27" s="351"/>
      <c r="T27" s="339"/>
      <c r="U27" s="339"/>
      <c r="V27" s="339"/>
      <c r="W27" s="339"/>
      <c r="X27" s="295"/>
      <c r="Y27" s="149"/>
    </row>
    <row r="28" spans="1:26" s="157" customFormat="1" x14ac:dyDescent="0.25">
      <c r="A28" s="258"/>
      <c r="B28" s="301"/>
      <c r="C28" s="340"/>
      <c r="D28" s="337"/>
      <c r="E28" s="337"/>
      <c r="F28" s="337"/>
      <c r="G28" s="337"/>
      <c r="H28" s="337"/>
      <c r="I28" s="337"/>
      <c r="J28" s="337"/>
      <c r="K28" s="337"/>
      <c r="L28" s="337"/>
      <c r="M28" s="337"/>
      <c r="N28" s="337"/>
      <c r="O28" s="337"/>
      <c r="P28" s="337"/>
      <c r="Q28" s="338"/>
      <c r="R28" s="338"/>
      <c r="S28" s="338"/>
      <c r="T28" s="339"/>
      <c r="U28" s="339"/>
      <c r="V28" s="339"/>
      <c r="W28" s="339"/>
      <c r="X28" s="295"/>
      <c r="Y28" s="149"/>
    </row>
    <row r="29" spans="1:26" s="157" customFormat="1" x14ac:dyDescent="0.25">
      <c r="A29" s="258"/>
      <c r="B29" s="301"/>
      <c r="C29" s="337"/>
      <c r="D29" s="337"/>
      <c r="E29" s="337"/>
      <c r="F29" s="337"/>
      <c r="G29" s="337"/>
      <c r="H29" s="337"/>
      <c r="I29" s="337"/>
      <c r="J29" s="337"/>
      <c r="K29" s="337"/>
      <c r="L29" s="337"/>
      <c r="M29" s="337"/>
      <c r="N29" s="337"/>
      <c r="O29" s="337"/>
      <c r="P29" s="337"/>
      <c r="Q29" s="338"/>
      <c r="R29" s="338"/>
      <c r="S29" s="338"/>
      <c r="T29" s="339"/>
      <c r="U29" s="339"/>
      <c r="V29" s="339"/>
      <c r="W29" s="339"/>
      <c r="X29" s="295"/>
      <c r="Y29" s="149"/>
    </row>
    <row r="30" spans="1:26" s="157" customFormat="1" x14ac:dyDescent="0.25">
      <c r="A30" s="258"/>
      <c r="B30" s="301"/>
      <c r="C30" s="337"/>
      <c r="D30" s="337"/>
      <c r="E30" s="337"/>
      <c r="F30" s="337"/>
      <c r="G30" s="337"/>
      <c r="H30" s="337"/>
      <c r="I30" s="337"/>
      <c r="J30" s="337"/>
      <c r="K30" s="337"/>
      <c r="L30" s="337"/>
      <c r="M30" s="337"/>
      <c r="N30" s="337"/>
      <c r="O30" s="337"/>
      <c r="P30" s="337"/>
      <c r="Q30" s="338"/>
      <c r="R30" s="338"/>
      <c r="S30" s="338"/>
      <c r="T30" s="339"/>
      <c r="U30" s="339"/>
      <c r="V30" s="339"/>
      <c r="W30" s="339"/>
      <c r="X30" s="295"/>
      <c r="Y30" s="149"/>
    </row>
    <row r="31" spans="1:26" s="157" customFormat="1" x14ac:dyDescent="0.25">
      <c r="A31" s="258"/>
      <c r="B31" s="301"/>
      <c r="C31" s="337"/>
      <c r="D31" s="337"/>
      <c r="E31" s="337"/>
      <c r="F31" s="337"/>
      <c r="G31" s="337"/>
      <c r="H31" s="337"/>
      <c r="I31" s="337"/>
      <c r="J31" s="337"/>
      <c r="K31" s="337"/>
      <c r="L31" s="337"/>
      <c r="M31" s="337"/>
      <c r="N31" s="337"/>
      <c r="O31" s="337"/>
      <c r="P31" s="337"/>
      <c r="Q31" s="338"/>
      <c r="R31" s="338"/>
      <c r="S31" s="338"/>
      <c r="T31" s="339"/>
      <c r="U31" s="339"/>
      <c r="V31" s="339"/>
      <c r="W31" s="339"/>
      <c r="X31" s="295"/>
      <c r="Y31" s="149"/>
    </row>
    <row r="32" spans="1:26" s="157" customFormat="1" x14ac:dyDescent="0.25">
      <c r="A32" s="258"/>
      <c r="B32" s="301"/>
      <c r="C32" s="337"/>
      <c r="D32" s="337"/>
      <c r="E32" s="337"/>
      <c r="F32" s="337"/>
      <c r="G32" s="337"/>
      <c r="H32" s="337"/>
      <c r="I32" s="337"/>
      <c r="J32" s="337"/>
      <c r="K32" s="337"/>
      <c r="L32" s="337"/>
      <c r="M32" s="337"/>
      <c r="N32" s="337"/>
      <c r="O32" s="337"/>
      <c r="P32" s="337"/>
      <c r="Q32" s="338"/>
      <c r="R32" s="338"/>
      <c r="S32" s="338"/>
      <c r="T32" s="339"/>
      <c r="U32" s="339"/>
      <c r="V32" s="339"/>
      <c r="W32" s="339"/>
      <c r="X32" s="295"/>
      <c r="Y32" s="149"/>
    </row>
    <row r="33" spans="1:25" s="157" customFormat="1" x14ac:dyDescent="0.25">
      <c r="A33" s="258"/>
      <c r="B33" s="301"/>
      <c r="C33" s="337"/>
      <c r="D33" s="337"/>
      <c r="E33" s="337"/>
      <c r="F33" s="337"/>
      <c r="G33" s="337"/>
      <c r="H33" s="337"/>
      <c r="I33" s="337"/>
      <c r="J33" s="337"/>
      <c r="K33" s="337"/>
      <c r="L33" s="337"/>
      <c r="M33" s="337"/>
      <c r="N33" s="337"/>
      <c r="O33" s="337"/>
      <c r="P33" s="337"/>
      <c r="Q33" s="338"/>
      <c r="R33" s="338"/>
      <c r="S33" s="338"/>
      <c r="T33" s="339"/>
      <c r="U33" s="339"/>
      <c r="V33" s="339"/>
      <c r="W33" s="339"/>
      <c r="X33" s="295"/>
      <c r="Y33" s="149"/>
    </row>
    <row r="34" spans="1:25" s="157" customFormat="1" x14ac:dyDescent="0.25">
      <c r="A34" s="258"/>
      <c r="B34" s="301"/>
      <c r="C34" s="337"/>
      <c r="D34" s="337"/>
      <c r="E34" s="337"/>
      <c r="F34" s="337"/>
      <c r="G34" s="337"/>
      <c r="H34" s="337"/>
      <c r="I34" s="337"/>
      <c r="J34" s="337"/>
      <c r="K34" s="337"/>
      <c r="L34" s="337"/>
      <c r="M34" s="337"/>
      <c r="N34" s="337"/>
      <c r="O34" s="337"/>
      <c r="P34" s="337"/>
      <c r="Q34" s="338"/>
      <c r="R34" s="338"/>
      <c r="S34" s="338"/>
      <c r="T34" s="339"/>
      <c r="U34" s="339"/>
      <c r="V34" s="339"/>
      <c r="W34" s="339"/>
      <c r="X34" s="295"/>
      <c r="Y34" s="149"/>
    </row>
    <row r="35" spans="1:25" s="157" customFormat="1" x14ac:dyDescent="0.25">
      <c r="A35" s="258"/>
      <c r="B35" s="301"/>
      <c r="C35" s="337"/>
      <c r="D35" s="337"/>
      <c r="E35" s="337"/>
      <c r="F35" s="337"/>
      <c r="G35" s="337"/>
      <c r="H35" s="337"/>
      <c r="I35" s="337"/>
      <c r="J35" s="337"/>
      <c r="K35" s="337"/>
      <c r="L35" s="337"/>
      <c r="M35" s="337"/>
      <c r="N35" s="337"/>
      <c r="O35" s="337"/>
      <c r="P35" s="337"/>
      <c r="Q35" s="338"/>
      <c r="R35" s="338"/>
      <c r="S35" s="338"/>
      <c r="T35" s="339"/>
      <c r="U35" s="339"/>
      <c r="V35" s="339"/>
      <c r="W35" s="339"/>
      <c r="X35" s="295"/>
      <c r="Y35" s="149"/>
    </row>
    <row r="36" spans="1:25" s="157" customFormat="1" x14ac:dyDescent="0.25">
      <c r="A36" s="258"/>
      <c r="B36" s="301"/>
      <c r="C36" s="337"/>
      <c r="D36" s="337"/>
      <c r="E36" s="337"/>
      <c r="F36" s="337"/>
      <c r="G36" s="337"/>
      <c r="H36" s="337"/>
      <c r="I36" s="337"/>
      <c r="J36" s="337"/>
      <c r="K36" s="337"/>
      <c r="L36" s="337"/>
      <c r="M36" s="337"/>
      <c r="N36" s="337"/>
      <c r="O36" s="337"/>
      <c r="P36" s="337"/>
      <c r="Q36" s="338"/>
      <c r="R36" s="338"/>
      <c r="S36" s="338"/>
      <c r="T36" s="339"/>
      <c r="U36" s="339"/>
      <c r="V36" s="339"/>
      <c r="W36" s="339"/>
      <c r="X36" s="295"/>
      <c r="Y36" s="149"/>
    </row>
    <row r="37" spans="1:25" s="157" customFormat="1" x14ac:dyDescent="0.25">
      <c r="A37" s="258"/>
      <c r="B37" s="301"/>
      <c r="C37" s="337"/>
      <c r="D37" s="337"/>
      <c r="E37" s="337"/>
      <c r="F37" s="337"/>
      <c r="G37" s="337"/>
      <c r="H37" s="337"/>
      <c r="I37" s="337"/>
      <c r="J37" s="337"/>
      <c r="K37" s="337"/>
      <c r="L37" s="337"/>
      <c r="M37" s="337"/>
      <c r="N37" s="337"/>
      <c r="O37" s="337"/>
      <c r="P37" s="337"/>
      <c r="Q37" s="338"/>
      <c r="R37" s="338"/>
      <c r="S37" s="338"/>
      <c r="T37" s="339"/>
      <c r="U37" s="339"/>
      <c r="V37" s="339"/>
      <c r="W37" s="339"/>
      <c r="X37" s="295"/>
      <c r="Y37" s="149"/>
    </row>
    <row r="38" spans="1:25" s="157" customFormat="1" x14ac:dyDescent="0.25">
      <c r="A38" s="258"/>
      <c r="B38" s="301"/>
      <c r="C38" s="337"/>
      <c r="D38" s="337"/>
      <c r="E38" s="337"/>
      <c r="F38" s="337"/>
      <c r="G38" s="337"/>
      <c r="H38" s="337"/>
      <c r="I38" s="337"/>
      <c r="J38" s="337"/>
      <c r="K38" s="337"/>
      <c r="L38" s="337"/>
      <c r="M38" s="337"/>
      <c r="N38" s="337"/>
      <c r="O38" s="337"/>
      <c r="P38" s="337"/>
      <c r="Q38" s="338"/>
      <c r="R38" s="338"/>
      <c r="S38" s="338"/>
      <c r="T38" s="339"/>
      <c r="U38" s="339"/>
      <c r="V38" s="339"/>
      <c r="W38" s="339"/>
      <c r="X38" s="295"/>
      <c r="Y38" s="149"/>
    </row>
    <row r="39" spans="1:25" s="157" customFormat="1" x14ac:dyDescent="0.25">
      <c r="A39" s="258"/>
      <c r="B39" s="301"/>
      <c r="C39" s="337"/>
      <c r="D39" s="337"/>
      <c r="E39" s="337"/>
      <c r="F39" s="337"/>
      <c r="G39" s="337"/>
      <c r="H39" s="337"/>
      <c r="I39" s="337"/>
      <c r="J39" s="337"/>
      <c r="K39" s="337"/>
      <c r="L39" s="337"/>
      <c r="M39" s="337"/>
      <c r="N39" s="337"/>
      <c r="O39" s="337"/>
      <c r="P39" s="337"/>
      <c r="Q39" s="338"/>
      <c r="R39" s="338"/>
      <c r="S39" s="338"/>
      <c r="T39" s="339"/>
      <c r="U39" s="339"/>
      <c r="V39" s="339"/>
      <c r="W39" s="339"/>
      <c r="X39" s="295"/>
      <c r="Y39" s="149"/>
    </row>
    <row r="40" spans="1:25" s="157" customFormat="1" x14ac:dyDescent="0.25">
      <c r="A40" s="258"/>
      <c r="B40" s="301"/>
      <c r="C40" s="337"/>
      <c r="D40" s="337"/>
      <c r="E40" s="337"/>
      <c r="F40" s="337"/>
      <c r="G40" s="337"/>
      <c r="H40" s="337"/>
      <c r="I40" s="337"/>
      <c r="J40" s="337"/>
      <c r="K40" s="337"/>
      <c r="L40" s="337"/>
      <c r="M40" s="337"/>
      <c r="N40" s="337"/>
      <c r="O40" s="337"/>
      <c r="P40" s="337"/>
      <c r="Q40" s="338"/>
      <c r="R40" s="338"/>
      <c r="S40" s="338"/>
      <c r="T40" s="339"/>
      <c r="U40" s="339"/>
      <c r="V40" s="339"/>
      <c r="W40" s="339"/>
      <c r="X40" s="295"/>
      <c r="Y40" s="149"/>
    </row>
    <row r="41" spans="1:25" s="157" customFormat="1" x14ac:dyDescent="0.25">
      <c r="A41" s="258"/>
      <c r="B41" s="301"/>
      <c r="C41" s="337"/>
      <c r="D41" s="337"/>
      <c r="E41" s="337"/>
      <c r="F41" s="337"/>
      <c r="G41" s="337"/>
      <c r="H41" s="337"/>
      <c r="I41" s="337"/>
      <c r="J41" s="337"/>
      <c r="K41" s="337"/>
      <c r="L41" s="337"/>
      <c r="M41" s="337"/>
      <c r="N41" s="337"/>
      <c r="O41" s="337"/>
      <c r="P41" s="337"/>
      <c r="Q41" s="338"/>
      <c r="R41" s="338"/>
      <c r="S41" s="338"/>
      <c r="T41" s="339"/>
      <c r="U41" s="339"/>
      <c r="V41" s="339"/>
      <c r="W41" s="339"/>
      <c r="X41" s="295"/>
      <c r="Y41" s="149"/>
    </row>
    <row r="42" spans="1:25" s="157" customFormat="1" x14ac:dyDescent="0.25">
      <c r="A42" s="258"/>
      <c r="B42" s="301"/>
      <c r="C42" s="337"/>
      <c r="D42" s="337"/>
      <c r="E42" s="337"/>
      <c r="F42" s="337"/>
      <c r="G42" s="337"/>
      <c r="H42" s="337"/>
      <c r="I42" s="337"/>
      <c r="J42" s="337"/>
      <c r="K42" s="337"/>
      <c r="L42" s="337"/>
      <c r="M42" s="337"/>
      <c r="N42" s="337"/>
      <c r="O42" s="337"/>
      <c r="P42" s="337"/>
      <c r="Q42" s="338"/>
      <c r="R42" s="338"/>
      <c r="S42" s="338"/>
      <c r="T42" s="339"/>
      <c r="U42" s="339"/>
      <c r="V42" s="339"/>
      <c r="W42" s="339"/>
      <c r="X42" s="295"/>
      <c r="Y42" s="149"/>
    </row>
    <row r="43" spans="1:25" s="157" customFormat="1" x14ac:dyDescent="0.25">
      <c r="A43" s="258"/>
      <c r="B43" s="301"/>
      <c r="C43" s="337"/>
      <c r="D43" s="337"/>
      <c r="E43" s="337"/>
      <c r="F43" s="337"/>
      <c r="G43" s="337"/>
      <c r="H43" s="337"/>
      <c r="I43" s="337"/>
      <c r="J43" s="337"/>
      <c r="K43" s="337"/>
      <c r="L43" s="337"/>
      <c r="M43" s="337"/>
      <c r="N43" s="337"/>
      <c r="O43" s="337"/>
      <c r="P43" s="337"/>
      <c r="Q43" s="338"/>
      <c r="R43" s="338"/>
      <c r="S43" s="338"/>
      <c r="T43" s="339"/>
      <c r="U43" s="339"/>
      <c r="V43" s="339"/>
      <c r="W43" s="339"/>
      <c r="X43" s="295"/>
      <c r="Y43" s="149"/>
    </row>
    <row r="44" spans="1:25" s="157" customFormat="1" x14ac:dyDescent="0.25">
      <c r="A44" s="258"/>
      <c r="B44" s="301"/>
      <c r="C44" s="337"/>
      <c r="D44" s="337"/>
      <c r="E44" s="337"/>
      <c r="F44" s="337"/>
      <c r="G44" s="337"/>
      <c r="H44" s="337"/>
      <c r="I44" s="337"/>
      <c r="J44" s="337"/>
      <c r="K44" s="337"/>
      <c r="L44" s="337"/>
      <c r="M44" s="337"/>
      <c r="N44" s="337"/>
      <c r="O44" s="337"/>
      <c r="P44" s="337"/>
      <c r="Q44" s="338"/>
      <c r="R44" s="338"/>
      <c r="S44" s="338"/>
      <c r="T44" s="339"/>
      <c r="U44" s="339"/>
      <c r="V44" s="339"/>
      <c r="W44" s="339"/>
      <c r="X44" s="295"/>
      <c r="Y44" s="149"/>
    </row>
    <row r="45" spans="1:25" s="157" customFormat="1" x14ac:dyDescent="0.25">
      <c r="A45" s="258"/>
      <c r="B45" s="301"/>
      <c r="C45" s="337"/>
      <c r="D45" s="337"/>
      <c r="E45" s="337"/>
      <c r="F45" s="337"/>
      <c r="G45" s="337"/>
      <c r="H45" s="337"/>
      <c r="I45" s="337"/>
      <c r="J45" s="337"/>
      <c r="K45" s="337"/>
      <c r="L45" s="337"/>
      <c r="M45" s="337"/>
      <c r="N45" s="337"/>
      <c r="O45" s="337"/>
      <c r="P45" s="337"/>
      <c r="Q45" s="338"/>
      <c r="R45" s="338"/>
      <c r="S45" s="338"/>
      <c r="T45" s="339"/>
      <c r="U45" s="339"/>
      <c r="V45" s="339"/>
      <c r="W45" s="339"/>
      <c r="X45" s="295"/>
      <c r="Y45" s="149"/>
    </row>
    <row r="46" spans="1:25" s="157" customFormat="1" x14ac:dyDescent="0.25">
      <c r="A46" s="258"/>
      <c r="B46" s="301"/>
      <c r="C46" s="337"/>
      <c r="D46" s="337"/>
      <c r="E46" s="337"/>
      <c r="F46" s="337"/>
      <c r="G46" s="337"/>
      <c r="H46" s="337"/>
      <c r="I46" s="337"/>
      <c r="J46" s="337"/>
      <c r="K46" s="337"/>
      <c r="L46" s="337"/>
      <c r="M46" s="337"/>
      <c r="N46" s="337"/>
      <c r="O46" s="337"/>
      <c r="P46" s="337"/>
      <c r="Q46" s="338"/>
      <c r="R46" s="338"/>
      <c r="S46" s="338"/>
      <c r="T46" s="339"/>
      <c r="U46" s="339"/>
      <c r="V46" s="339"/>
      <c r="W46" s="339"/>
      <c r="X46" s="295"/>
      <c r="Y46" s="149"/>
    </row>
    <row r="47" spans="1:25" s="157" customFormat="1" x14ac:dyDescent="0.25">
      <c r="A47" s="258"/>
      <c r="B47" s="301"/>
      <c r="C47" s="337"/>
      <c r="D47" s="337"/>
      <c r="E47" s="337"/>
      <c r="F47" s="337"/>
      <c r="G47" s="337"/>
      <c r="H47" s="337"/>
      <c r="I47" s="337"/>
      <c r="J47" s="337"/>
      <c r="K47" s="337"/>
      <c r="L47" s="337"/>
      <c r="M47" s="337"/>
      <c r="N47" s="337"/>
      <c r="O47" s="337"/>
      <c r="P47" s="337"/>
      <c r="Q47" s="338"/>
      <c r="R47" s="338"/>
      <c r="S47" s="338"/>
      <c r="T47" s="339"/>
      <c r="U47" s="339"/>
      <c r="V47" s="339"/>
      <c r="W47" s="339"/>
      <c r="X47" s="295"/>
      <c r="Y47" s="149"/>
    </row>
    <row r="48" spans="1:25" s="157" customFormat="1" x14ac:dyDescent="0.25">
      <c r="A48" s="258"/>
      <c r="B48" s="301"/>
      <c r="C48" s="337"/>
      <c r="D48" s="337"/>
      <c r="E48" s="337"/>
      <c r="F48" s="337"/>
      <c r="G48" s="337"/>
      <c r="H48" s="337"/>
      <c r="I48" s="337"/>
      <c r="J48" s="337"/>
      <c r="K48" s="337"/>
      <c r="L48" s="337"/>
      <c r="M48" s="337"/>
      <c r="N48" s="337"/>
      <c r="O48" s="337"/>
      <c r="P48" s="337"/>
      <c r="Q48" s="338"/>
      <c r="R48" s="338"/>
      <c r="S48" s="338"/>
      <c r="T48" s="339"/>
      <c r="U48" s="339"/>
      <c r="V48" s="339"/>
      <c r="W48" s="339"/>
      <c r="X48" s="295"/>
      <c r="Y48" s="149"/>
    </row>
    <row r="49" spans="1:25" s="157" customFormat="1" x14ac:dyDescent="0.25">
      <c r="A49" s="258"/>
      <c r="B49" s="301"/>
      <c r="C49" s="337"/>
      <c r="D49" s="337"/>
      <c r="E49" s="337"/>
      <c r="F49" s="337"/>
      <c r="G49" s="337"/>
      <c r="H49" s="337"/>
      <c r="I49" s="337"/>
      <c r="J49" s="337"/>
      <c r="K49" s="337"/>
      <c r="L49" s="337"/>
      <c r="M49" s="337"/>
      <c r="N49" s="337"/>
      <c r="O49" s="337"/>
      <c r="P49" s="337"/>
      <c r="Q49" s="338"/>
      <c r="R49" s="338"/>
      <c r="S49" s="338"/>
      <c r="T49" s="339"/>
      <c r="U49" s="339"/>
      <c r="V49" s="339"/>
      <c r="W49" s="339"/>
      <c r="X49" s="295"/>
      <c r="Y49" s="149"/>
    </row>
    <row r="50" spans="1:25" s="157" customFormat="1" x14ac:dyDescent="0.25">
      <c r="A50" s="258"/>
      <c r="B50" s="301"/>
      <c r="C50" s="337"/>
      <c r="D50" s="337"/>
      <c r="E50" s="337"/>
      <c r="F50" s="337"/>
      <c r="G50" s="337"/>
      <c r="H50" s="337"/>
      <c r="I50" s="337"/>
      <c r="J50" s="337"/>
      <c r="K50" s="337"/>
      <c r="L50" s="337"/>
      <c r="M50" s="337"/>
      <c r="N50" s="337"/>
      <c r="O50" s="337"/>
      <c r="P50" s="337"/>
      <c r="Q50" s="338"/>
      <c r="R50" s="338"/>
      <c r="S50" s="338"/>
      <c r="T50" s="339"/>
      <c r="U50" s="339"/>
      <c r="V50" s="339"/>
      <c r="W50" s="339"/>
      <c r="X50" s="295"/>
      <c r="Y50" s="149"/>
    </row>
    <row r="51" spans="1:25" s="157" customFormat="1" x14ac:dyDescent="0.25">
      <c r="A51" s="258"/>
      <c r="B51" s="301"/>
      <c r="C51" s="337"/>
      <c r="D51" s="337"/>
      <c r="E51" s="337"/>
      <c r="F51" s="337"/>
      <c r="G51" s="337"/>
      <c r="H51" s="337"/>
      <c r="I51" s="337"/>
      <c r="J51" s="337"/>
      <c r="K51" s="337"/>
      <c r="L51" s="337"/>
      <c r="M51" s="337"/>
      <c r="N51" s="337"/>
      <c r="O51" s="337"/>
      <c r="P51" s="337"/>
      <c r="Q51" s="338"/>
      <c r="R51" s="338"/>
      <c r="S51" s="338"/>
      <c r="T51" s="339"/>
      <c r="U51" s="339"/>
      <c r="V51" s="339"/>
      <c r="W51" s="339"/>
      <c r="X51" s="295"/>
      <c r="Y51" s="149"/>
    </row>
    <row r="52" spans="1:25" s="157" customFormat="1" x14ac:dyDescent="0.25">
      <c r="A52" s="258"/>
      <c r="B52" s="301"/>
      <c r="C52" s="337"/>
      <c r="D52" s="337"/>
      <c r="E52" s="337"/>
      <c r="F52" s="337"/>
      <c r="G52" s="337"/>
      <c r="H52" s="337"/>
      <c r="I52" s="337"/>
      <c r="J52" s="337"/>
      <c r="K52" s="337"/>
      <c r="L52" s="337"/>
      <c r="M52" s="337"/>
      <c r="N52" s="337"/>
      <c r="O52" s="337"/>
      <c r="P52" s="337"/>
      <c r="Q52" s="338"/>
      <c r="R52" s="338"/>
      <c r="S52" s="338"/>
      <c r="T52" s="339"/>
      <c r="U52" s="339"/>
      <c r="V52" s="339"/>
      <c r="W52" s="339"/>
      <c r="X52" s="295"/>
      <c r="Y52" s="149"/>
    </row>
    <row r="53" spans="1:25" s="157" customFormat="1" x14ac:dyDescent="0.25">
      <c r="A53" s="258"/>
      <c r="B53" s="301"/>
      <c r="C53" s="337"/>
      <c r="D53" s="337"/>
      <c r="E53" s="337"/>
      <c r="F53" s="337"/>
      <c r="G53" s="337"/>
      <c r="H53" s="337"/>
      <c r="I53" s="337"/>
      <c r="J53" s="337"/>
      <c r="K53" s="337"/>
      <c r="L53" s="337"/>
      <c r="M53" s="337"/>
      <c r="N53" s="337"/>
      <c r="O53" s="337"/>
      <c r="P53" s="337"/>
      <c r="Q53" s="338"/>
      <c r="R53" s="338"/>
      <c r="S53" s="338"/>
      <c r="T53" s="339"/>
      <c r="U53" s="339"/>
      <c r="V53" s="339"/>
      <c r="W53" s="339"/>
      <c r="X53" s="295"/>
      <c r="Y53" s="149"/>
    </row>
    <row r="54" spans="1:25" s="157" customFormat="1" x14ac:dyDescent="0.25">
      <c r="A54" s="258"/>
      <c r="B54" s="301"/>
      <c r="C54" s="337"/>
      <c r="D54" s="337"/>
      <c r="E54" s="337"/>
      <c r="F54" s="337"/>
      <c r="G54" s="337"/>
      <c r="H54" s="337"/>
      <c r="I54" s="337"/>
      <c r="J54" s="337"/>
      <c r="K54" s="337"/>
      <c r="L54" s="337"/>
      <c r="M54" s="337"/>
      <c r="N54" s="337"/>
      <c r="O54" s="337"/>
      <c r="P54" s="337"/>
      <c r="Q54" s="338"/>
      <c r="R54" s="338"/>
      <c r="S54" s="338"/>
      <c r="T54" s="339"/>
      <c r="U54" s="339"/>
      <c r="V54" s="339"/>
      <c r="W54" s="339"/>
      <c r="X54" s="295"/>
      <c r="Y54" s="149"/>
    </row>
    <row r="55" spans="1:25" s="157" customFormat="1" x14ac:dyDescent="0.25">
      <c r="A55" s="258"/>
      <c r="B55" s="301"/>
      <c r="C55" s="337"/>
      <c r="D55" s="337"/>
      <c r="E55" s="337"/>
      <c r="F55" s="337"/>
      <c r="G55" s="337"/>
      <c r="H55" s="337"/>
      <c r="I55" s="337"/>
      <c r="J55" s="337"/>
      <c r="K55" s="337"/>
      <c r="L55" s="337"/>
      <c r="M55" s="337"/>
      <c r="N55" s="337"/>
      <c r="O55" s="337"/>
      <c r="P55" s="337"/>
      <c r="Q55" s="338"/>
      <c r="R55" s="338"/>
      <c r="S55" s="338"/>
      <c r="T55" s="339"/>
      <c r="U55" s="339"/>
      <c r="V55" s="339"/>
      <c r="W55" s="339"/>
      <c r="X55" s="295"/>
      <c r="Y55" s="149"/>
    </row>
    <row r="56" spans="1:25" s="157" customFormat="1" x14ac:dyDescent="0.25">
      <c r="A56" s="258"/>
      <c r="B56" s="301"/>
      <c r="C56" s="337"/>
      <c r="D56" s="337"/>
      <c r="E56" s="337"/>
      <c r="F56" s="337"/>
      <c r="G56" s="337"/>
      <c r="H56" s="337"/>
      <c r="I56" s="337"/>
      <c r="J56" s="337"/>
      <c r="K56" s="337"/>
      <c r="L56" s="337"/>
      <c r="M56" s="337"/>
      <c r="N56" s="337"/>
      <c r="O56" s="337"/>
      <c r="P56" s="337"/>
      <c r="Q56" s="338"/>
      <c r="R56" s="338"/>
      <c r="S56" s="338"/>
      <c r="T56" s="339"/>
      <c r="U56" s="339"/>
      <c r="V56" s="339"/>
      <c r="W56" s="339"/>
      <c r="X56" s="295"/>
      <c r="Y56" s="149"/>
    </row>
    <row r="57" spans="1:25" s="157" customFormat="1" x14ac:dyDescent="0.25">
      <c r="A57" s="258"/>
      <c r="B57" s="301"/>
      <c r="C57" s="337"/>
      <c r="D57" s="337"/>
      <c r="E57" s="337"/>
      <c r="F57" s="337"/>
      <c r="G57" s="337"/>
      <c r="H57" s="337"/>
      <c r="I57" s="337"/>
      <c r="J57" s="337"/>
      <c r="K57" s="337"/>
      <c r="L57" s="337"/>
      <c r="M57" s="337"/>
      <c r="N57" s="337"/>
      <c r="O57" s="337"/>
      <c r="P57" s="337"/>
      <c r="Q57" s="338"/>
      <c r="R57" s="338"/>
      <c r="S57" s="338"/>
      <c r="T57" s="339"/>
      <c r="U57" s="339"/>
      <c r="V57" s="339"/>
      <c r="W57" s="339"/>
      <c r="X57" s="295"/>
      <c r="Y57" s="149"/>
    </row>
    <row r="58" spans="1:25" s="157" customFormat="1" x14ac:dyDescent="0.25">
      <c r="A58" s="258"/>
      <c r="B58" s="301"/>
      <c r="C58" s="337"/>
      <c r="D58" s="337"/>
      <c r="E58" s="337"/>
      <c r="F58" s="337"/>
      <c r="G58" s="337"/>
      <c r="H58" s="337"/>
      <c r="I58" s="337"/>
      <c r="J58" s="337"/>
      <c r="K58" s="337"/>
      <c r="L58" s="337"/>
      <c r="M58" s="337"/>
      <c r="N58" s="337"/>
      <c r="O58" s="337"/>
      <c r="P58" s="337"/>
      <c r="Q58" s="338"/>
      <c r="R58" s="338"/>
      <c r="S58" s="338"/>
      <c r="T58" s="339"/>
      <c r="U58" s="339"/>
      <c r="V58" s="339"/>
      <c r="W58" s="339"/>
      <c r="X58" s="295"/>
      <c r="Y58" s="149"/>
    </row>
    <row r="59" spans="1:25" s="157" customFormat="1" x14ac:dyDescent="0.25">
      <c r="A59" s="258"/>
      <c r="B59" s="301"/>
      <c r="C59" s="337"/>
      <c r="D59" s="337"/>
      <c r="E59" s="337"/>
      <c r="F59" s="337"/>
      <c r="G59" s="337"/>
      <c r="H59" s="337"/>
      <c r="I59" s="337"/>
      <c r="J59" s="337"/>
      <c r="K59" s="337"/>
      <c r="L59" s="337"/>
      <c r="M59" s="337"/>
      <c r="N59" s="337"/>
      <c r="O59" s="337"/>
      <c r="P59" s="337"/>
      <c r="Q59" s="338"/>
      <c r="R59" s="338"/>
      <c r="S59" s="338"/>
      <c r="T59" s="339"/>
      <c r="U59" s="339"/>
      <c r="V59" s="339"/>
      <c r="W59" s="339"/>
      <c r="X59" s="295"/>
      <c r="Y59" s="149"/>
    </row>
    <row r="60" spans="1:25" s="157" customFormat="1" x14ac:dyDescent="0.25">
      <c r="A60" s="258"/>
      <c r="B60" s="301"/>
      <c r="C60" s="337"/>
      <c r="D60" s="337"/>
      <c r="E60" s="337"/>
      <c r="F60" s="337"/>
      <c r="G60" s="337"/>
      <c r="H60" s="337"/>
      <c r="I60" s="337"/>
      <c r="J60" s="337"/>
      <c r="K60" s="337"/>
      <c r="L60" s="337"/>
      <c r="M60" s="337"/>
      <c r="N60" s="337"/>
      <c r="O60" s="337"/>
      <c r="P60" s="337"/>
      <c r="Q60" s="338"/>
      <c r="R60" s="338"/>
      <c r="S60" s="338"/>
      <c r="T60" s="339"/>
      <c r="U60" s="339"/>
      <c r="V60" s="339"/>
      <c r="W60" s="339"/>
      <c r="X60" s="295"/>
      <c r="Y60" s="149"/>
    </row>
    <row r="61" spans="1:25" s="157" customFormat="1" x14ac:dyDescent="0.25">
      <c r="A61" s="258"/>
      <c r="B61" s="301"/>
      <c r="C61" s="337"/>
      <c r="D61" s="337"/>
      <c r="E61" s="337"/>
      <c r="F61" s="337"/>
      <c r="G61" s="337"/>
      <c r="H61" s="337"/>
      <c r="I61" s="337"/>
      <c r="J61" s="337"/>
      <c r="K61" s="337"/>
      <c r="L61" s="337"/>
      <c r="M61" s="337"/>
      <c r="N61" s="337"/>
      <c r="O61" s="337"/>
      <c r="P61" s="337"/>
      <c r="Q61" s="338"/>
      <c r="R61" s="338"/>
      <c r="S61" s="338"/>
      <c r="T61" s="339"/>
      <c r="U61" s="339"/>
      <c r="V61" s="339"/>
      <c r="W61" s="339"/>
      <c r="X61" s="295"/>
      <c r="Y61" s="149"/>
    </row>
    <row r="62" spans="1:25" s="157" customFormat="1" x14ac:dyDescent="0.25">
      <c r="A62" s="258"/>
      <c r="B62" s="301"/>
      <c r="C62" s="337"/>
      <c r="D62" s="337"/>
      <c r="E62" s="337"/>
      <c r="F62" s="337"/>
      <c r="G62" s="337"/>
      <c r="H62" s="337"/>
      <c r="I62" s="337"/>
      <c r="J62" s="337"/>
      <c r="K62" s="337"/>
      <c r="L62" s="337"/>
      <c r="M62" s="337"/>
      <c r="N62" s="337"/>
      <c r="O62" s="337"/>
      <c r="P62" s="337"/>
      <c r="Q62" s="338"/>
      <c r="R62" s="338"/>
      <c r="S62" s="338"/>
      <c r="T62" s="339"/>
      <c r="U62" s="339"/>
      <c r="V62" s="339"/>
      <c r="W62" s="339"/>
      <c r="X62" s="295"/>
      <c r="Y62" s="149"/>
    </row>
    <row r="63" spans="1:25" s="157" customFormat="1" x14ac:dyDescent="0.25">
      <c r="A63" s="258"/>
      <c r="B63" s="301"/>
      <c r="C63" s="337"/>
      <c r="D63" s="337"/>
      <c r="E63" s="337"/>
      <c r="F63" s="337"/>
      <c r="G63" s="337"/>
      <c r="H63" s="337"/>
      <c r="I63" s="337"/>
      <c r="J63" s="337"/>
      <c r="K63" s="337"/>
      <c r="L63" s="337"/>
      <c r="M63" s="337"/>
      <c r="N63" s="337"/>
      <c r="O63" s="337"/>
      <c r="P63" s="337"/>
      <c r="Q63" s="337"/>
      <c r="R63" s="337"/>
      <c r="S63" s="337"/>
      <c r="T63" s="337"/>
      <c r="U63" s="337"/>
      <c r="V63" s="337"/>
      <c r="W63" s="337"/>
      <c r="X63" s="295"/>
      <c r="Y63" s="149"/>
    </row>
    <row r="64" spans="1:25" s="157" customFormat="1" x14ac:dyDescent="0.25">
      <c r="B64" s="341"/>
    </row>
    <row r="65" spans="2:2" s="157" customFormat="1" x14ac:dyDescent="0.25">
      <c r="B65" s="341"/>
    </row>
    <row r="66" spans="2:2" s="157" customFormat="1" x14ac:dyDescent="0.25">
      <c r="B66" s="341"/>
    </row>
  </sheetData>
  <autoFilter ref="A3:Z26" xr:uid="{C1314D73-5EBD-44B4-8596-4C909934FD65}"/>
  <mergeCells count="1">
    <mergeCell ref="T4:T25"/>
  </mergeCells>
  <pageMargins left="0.7" right="0.7" top="0.75" bottom="0.75" header="0.3" footer="0.3"/>
  <pageSetup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42">
    <tabColor theme="9" tint="-0.499984740745262"/>
  </sheetPr>
  <dimension ref="A1"/>
  <sheetViews>
    <sheetView workbookViewId="0">
      <selection sqref="A1:XFD1048576"/>
    </sheetView>
  </sheetViews>
  <sheetFormatPr defaultColWidth="9.09765625" defaultRowHeight="13.8" x14ac:dyDescent="0.25"/>
  <cols>
    <col min="1" max="1" width="9.09765625" style="405" customWidth="1"/>
    <col min="2" max="16384" width="9.09765625" style="405"/>
  </cols>
  <sheetData/>
  <mergeCells count="1">
    <mergeCell ref="A1:XFD1048576"/>
  </mergeCells>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43">
    <tabColor theme="6" tint="0.59999389629810485"/>
  </sheetPr>
  <dimension ref="A1:O96"/>
  <sheetViews>
    <sheetView zoomScale="70" zoomScaleNormal="70" workbookViewId="0">
      <selection activeCell="E20" sqref="E20"/>
    </sheetView>
  </sheetViews>
  <sheetFormatPr defaultRowHeight="13.8" outlineLevelRow="1" x14ac:dyDescent="0.25"/>
  <cols>
    <col min="1" max="1" width="12.69921875" style="27" customWidth="1"/>
    <col min="2" max="2" width="52.796875" style="27" customWidth="1"/>
    <col min="3" max="3" width="18.09765625" style="27" customWidth="1"/>
    <col min="4" max="4" width="21.296875" style="27" customWidth="1"/>
    <col min="5" max="5" width="21.09765625" style="26" customWidth="1"/>
    <col min="6" max="6" width="15.296875" style="26" customWidth="1"/>
    <col min="7" max="7" width="120.69921875" style="31" customWidth="1"/>
    <col min="8" max="8" width="15.796875" customWidth="1"/>
  </cols>
  <sheetData>
    <row r="1" spans="1:15" outlineLevel="1" x14ac:dyDescent="0.25">
      <c r="A1" s="29"/>
      <c r="B1" s="29"/>
      <c r="C1" s="29"/>
      <c r="D1" s="29"/>
    </row>
    <row r="2" spans="1:15" ht="68.55" customHeight="1" outlineLevel="1" x14ac:dyDescent="0.25">
      <c r="A2" s="363" t="s">
        <v>7</v>
      </c>
      <c r="B2" s="361" t="s">
        <v>31</v>
      </c>
      <c r="C2" s="361"/>
      <c r="D2" s="361"/>
      <c r="E2" s="364"/>
      <c r="F2" s="364"/>
      <c r="G2" s="365"/>
    </row>
    <row r="3" spans="1:15" s="41" customFormat="1" x14ac:dyDescent="0.25">
      <c r="A3" s="205" t="s">
        <v>9</v>
      </c>
      <c r="B3" s="205" t="s">
        <v>174</v>
      </c>
      <c r="C3" s="205" t="s">
        <v>175</v>
      </c>
      <c r="D3" s="205" t="s">
        <v>357</v>
      </c>
      <c r="E3" s="127" t="s">
        <v>551</v>
      </c>
      <c r="F3" s="362" t="str">
        <f>EditableIndexes!Q6</f>
        <v>Scenario 1</v>
      </c>
      <c r="G3" s="366" t="s">
        <v>358</v>
      </c>
    </row>
    <row r="4" spans="1:15" ht="49.5" customHeight="1" x14ac:dyDescent="0.25">
      <c r="A4" s="70" t="s">
        <v>13</v>
      </c>
      <c r="B4" s="73" t="s">
        <v>80</v>
      </c>
      <c r="C4" s="73" t="s">
        <v>45</v>
      </c>
      <c r="D4" s="73" t="s">
        <v>380</v>
      </c>
      <c r="E4" s="367">
        <v>0.5</v>
      </c>
      <c r="F4" s="367">
        <f>E4</f>
        <v>0.5</v>
      </c>
      <c r="G4" s="174" t="s">
        <v>359</v>
      </c>
    </row>
    <row r="5" spans="1:15" ht="27" customHeight="1" x14ac:dyDescent="0.25">
      <c r="A5" s="70" t="s">
        <v>13</v>
      </c>
      <c r="B5" s="73" t="s">
        <v>81</v>
      </c>
      <c r="C5" s="73" t="s">
        <v>45</v>
      </c>
      <c r="D5" s="73" t="s">
        <v>380</v>
      </c>
      <c r="E5" s="367">
        <v>0.5</v>
      </c>
      <c r="F5" s="367">
        <f t="shared" ref="F5" si="0">E5</f>
        <v>0.5</v>
      </c>
      <c r="G5" s="174" t="s">
        <v>360</v>
      </c>
    </row>
    <row r="6" spans="1:15" ht="27" customHeight="1" x14ac:dyDescent="0.25">
      <c r="A6" s="70" t="s">
        <v>13</v>
      </c>
      <c r="B6" s="73" t="s">
        <v>82</v>
      </c>
      <c r="C6" s="73" t="s">
        <v>45</v>
      </c>
      <c r="D6" s="73" t="s">
        <v>380</v>
      </c>
      <c r="E6" s="174">
        <v>1.21</v>
      </c>
      <c r="F6" s="367">
        <f t="shared" ref="F6" si="1">E6</f>
        <v>1.21</v>
      </c>
      <c r="G6" s="442" t="s">
        <v>552</v>
      </c>
    </row>
    <row r="7" spans="1:15" ht="27" customHeight="1" x14ac:dyDescent="0.25">
      <c r="A7" s="70" t="s">
        <v>13</v>
      </c>
      <c r="B7" s="73" t="s">
        <v>83</v>
      </c>
      <c r="C7" s="73" t="s">
        <v>45</v>
      </c>
      <c r="D7" s="73" t="s">
        <v>380</v>
      </c>
      <c r="E7" s="174">
        <v>0</v>
      </c>
      <c r="F7" s="367">
        <f t="shared" ref="F7" si="2">E7</f>
        <v>0</v>
      </c>
      <c r="G7" s="442"/>
    </row>
    <row r="8" spans="1:15" ht="58.5" customHeight="1" x14ac:dyDescent="0.25">
      <c r="A8" s="70" t="s">
        <v>13</v>
      </c>
      <c r="B8" s="73" t="s">
        <v>84</v>
      </c>
      <c r="C8" s="73" t="s">
        <v>45</v>
      </c>
      <c r="D8" s="73" t="s">
        <v>380</v>
      </c>
      <c r="E8" s="174">
        <f t="shared" ref="E8" si="3">1/5*2.5</f>
        <v>0.5</v>
      </c>
      <c r="F8" s="367">
        <f t="shared" ref="F8" si="4">E8</f>
        <v>0.5</v>
      </c>
      <c r="G8" s="174" t="s">
        <v>565</v>
      </c>
      <c r="H8" s="12"/>
      <c r="O8" s="11"/>
    </row>
    <row r="9" spans="1:15" ht="50.25" customHeight="1" x14ac:dyDescent="0.25">
      <c r="A9" s="70" t="s">
        <v>13</v>
      </c>
      <c r="B9" s="73" t="s">
        <v>85</v>
      </c>
      <c r="C9" s="73" t="s">
        <v>45</v>
      </c>
      <c r="D9" s="73" t="s">
        <v>380</v>
      </c>
      <c r="E9" s="174">
        <f>1/5*2.5</f>
        <v>0.5</v>
      </c>
      <c r="F9" s="367">
        <f t="shared" ref="F9" si="5">E9</f>
        <v>0.5</v>
      </c>
      <c r="G9" s="174" t="s">
        <v>565</v>
      </c>
      <c r="H9" s="12"/>
      <c r="O9" s="11"/>
    </row>
    <row r="10" spans="1:15" ht="28.5" customHeight="1" x14ac:dyDescent="0.25">
      <c r="A10" s="70" t="s">
        <v>13</v>
      </c>
      <c r="B10" s="73" t="s">
        <v>86</v>
      </c>
      <c r="C10" s="70" t="s">
        <v>45</v>
      </c>
      <c r="D10" s="73" t="s">
        <v>380</v>
      </c>
      <c r="E10" s="368">
        <f t="shared" ref="E10:E11" si="6">0.2*2.5</f>
        <v>0.5</v>
      </c>
      <c r="F10" s="367">
        <f t="shared" ref="F10" si="7">E10</f>
        <v>0.5</v>
      </c>
      <c r="G10" s="440" t="s">
        <v>553</v>
      </c>
      <c r="H10" s="12"/>
      <c r="O10" s="11"/>
    </row>
    <row r="11" spans="1:15" ht="48" customHeight="1" x14ac:dyDescent="0.25">
      <c r="A11" s="70" t="s">
        <v>13</v>
      </c>
      <c r="B11" s="73" t="s">
        <v>87</v>
      </c>
      <c r="C11" s="70" t="s">
        <v>45</v>
      </c>
      <c r="D11" s="73" t="s">
        <v>380</v>
      </c>
      <c r="E11" s="368">
        <f t="shared" si="6"/>
        <v>0.5</v>
      </c>
      <c r="F11" s="367">
        <f t="shared" ref="F11" si="8">E11</f>
        <v>0.5</v>
      </c>
      <c r="G11" s="441"/>
      <c r="H11" s="12"/>
      <c r="O11" s="11"/>
    </row>
    <row r="12" spans="1:15" s="19" customFormat="1" x14ac:dyDescent="0.25">
      <c r="A12" s="70" t="s">
        <v>13</v>
      </c>
      <c r="B12" s="73" t="s">
        <v>80</v>
      </c>
      <c r="C12" s="73" t="s">
        <v>40</v>
      </c>
      <c r="D12" s="73" t="s">
        <v>380</v>
      </c>
      <c r="E12" s="174">
        <f>0.5*1.08</f>
        <v>0.54</v>
      </c>
      <c r="F12" s="367">
        <f t="shared" ref="F12" si="9">E12</f>
        <v>0.54</v>
      </c>
      <c r="G12" s="440" t="s">
        <v>361</v>
      </c>
      <c r="H12" s="24"/>
      <c r="O12" s="25"/>
    </row>
    <row r="13" spans="1:15" x14ac:dyDescent="0.25">
      <c r="A13" s="70" t="s">
        <v>13</v>
      </c>
      <c r="B13" s="73" t="s">
        <v>80</v>
      </c>
      <c r="C13" s="73" t="s">
        <v>42</v>
      </c>
      <c r="D13" s="73" t="s">
        <v>380</v>
      </c>
      <c r="E13" s="174">
        <f t="shared" ref="E13:E15" si="10">0.5*1.08</f>
        <v>0.54</v>
      </c>
      <c r="F13" s="367">
        <f t="shared" ref="F13" si="11">E13</f>
        <v>0.54</v>
      </c>
      <c r="G13" s="443"/>
      <c r="H13" s="12"/>
      <c r="O13" s="11"/>
    </row>
    <row r="14" spans="1:15" x14ac:dyDescent="0.25">
      <c r="A14" s="70" t="s">
        <v>13</v>
      </c>
      <c r="B14" s="73" t="s">
        <v>81</v>
      </c>
      <c r="C14" s="73" t="s">
        <v>40</v>
      </c>
      <c r="D14" s="73" t="s">
        <v>380</v>
      </c>
      <c r="E14" s="174">
        <f t="shared" si="10"/>
        <v>0.54</v>
      </c>
      <c r="F14" s="367">
        <f t="shared" ref="F14" si="12">E14</f>
        <v>0.54</v>
      </c>
      <c r="G14" s="443"/>
      <c r="H14" s="12"/>
      <c r="O14" s="11"/>
    </row>
    <row r="15" spans="1:15" x14ac:dyDescent="0.25">
      <c r="A15" s="70" t="s">
        <v>13</v>
      </c>
      <c r="B15" s="73" t="s">
        <v>81</v>
      </c>
      <c r="C15" s="73" t="s">
        <v>42</v>
      </c>
      <c r="D15" s="73" t="s">
        <v>380</v>
      </c>
      <c r="E15" s="174">
        <f t="shared" si="10"/>
        <v>0.54</v>
      </c>
      <c r="F15" s="367">
        <f t="shared" ref="F15" si="13">E15</f>
        <v>0.54</v>
      </c>
      <c r="G15" s="441"/>
      <c r="H15" s="12"/>
      <c r="O15" s="11"/>
    </row>
    <row r="16" spans="1:15" x14ac:dyDescent="0.25">
      <c r="A16" s="70" t="s">
        <v>13</v>
      </c>
      <c r="B16" s="73" t="s">
        <v>88</v>
      </c>
      <c r="C16" s="73" t="s">
        <v>40</v>
      </c>
      <c r="D16" s="73" t="s">
        <v>381</v>
      </c>
      <c r="E16" s="133">
        <v>0</v>
      </c>
      <c r="F16" s="367">
        <f t="shared" ref="F16" si="14">E16</f>
        <v>0</v>
      </c>
      <c r="G16" s="160" t="s">
        <v>362</v>
      </c>
      <c r="H16" s="12"/>
      <c r="O16" s="11"/>
    </row>
    <row r="17" spans="1:15" x14ac:dyDescent="0.25">
      <c r="A17" s="70" t="s">
        <v>13</v>
      </c>
      <c r="B17" s="73" t="s">
        <v>88</v>
      </c>
      <c r="C17" s="73" t="s">
        <v>42</v>
      </c>
      <c r="D17" s="73" t="s">
        <v>381</v>
      </c>
      <c r="E17" s="133">
        <v>0</v>
      </c>
      <c r="F17" s="367">
        <f t="shared" ref="F17" si="15">E17</f>
        <v>0</v>
      </c>
      <c r="G17" s="160" t="s">
        <v>362</v>
      </c>
      <c r="H17" s="12"/>
      <c r="O17" s="11"/>
    </row>
    <row r="18" spans="1:15" x14ac:dyDescent="0.25">
      <c r="A18" s="70" t="s">
        <v>13</v>
      </c>
      <c r="B18" s="73" t="s">
        <v>82</v>
      </c>
      <c r="C18" s="73" t="s">
        <v>40</v>
      </c>
      <c r="D18" s="73" t="s">
        <v>380</v>
      </c>
      <c r="E18" s="99">
        <f>E6*2</f>
        <v>2.42</v>
      </c>
      <c r="F18" s="367">
        <f t="shared" ref="F18" si="16">E18</f>
        <v>2.42</v>
      </c>
      <c r="G18" s="444" t="s">
        <v>363</v>
      </c>
      <c r="H18" s="12"/>
      <c r="O18" s="11"/>
    </row>
    <row r="19" spans="1:15" x14ac:dyDescent="0.25">
      <c r="A19" s="70" t="s">
        <v>13</v>
      </c>
      <c r="B19" s="73" t="s">
        <v>83</v>
      </c>
      <c r="C19" s="73" t="s">
        <v>40</v>
      </c>
      <c r="D19" s="73" t="s">
        <v>380</v>
      </c>
      <c r="E19" s="99">
        <v>0</v>
      </c>
      <c r="F19" s="367">
        <f t="shared" ref="F19" si="17">E19</f>
        <v>0</v>
      </c>
      <c r="G19" s="445"/>
      <c r="H19" s="12"/>
      <c r="O19" s="11"/>
    </row>
    <row r="20" spans="1:15" x14ac:dyDescent="0.25">
      <c r="A20" s="70" t="s">
        <v>13</v>
      </c>
      <c r="B20" s="73" t="s">
        <v>84</v>
      </c>
      <c r="C20" s="73" t="s">
        <v>40</v>
      </c>
      <c r="D20" s="73" t="s">
        <v>380</v>
      </c>
      <c r="E20" s="99">
        <f>E8*2</f>
        <v>1</v>
      </c>
      <c r="F20" s="367">
        <f t="shared" ref="F20" si="18">E20</f>
        <v>1</v>
      </c>
      <c r="G20" s="445"/>
      <c r="H20" s="12"/>
      <c r="O20" s="11"/>
    </row>
    <row r="21" spans="1:15" x14ac:dyDescent="0.25">
      <c r="A21" s="70" t="s">
        <v>13</v>
      </c>
      <c r="B21" s="73" t="s">
        <v>85</v>
      </c>
      <c r="C21" s="73" t="s">
        <v>40</v>
      </c>
      <c r="D21" s="73" t="s">
        <v>380</v>
      </c>
      <c r="E21" s="99">
        <v>1</v>
      </c>
      <c r="F21" s="367">
        <f t="shared" ref="F21" si="19">E21</f>
        <v>1</v>
      </c>
      <c r="G21" s="445"/>
      <c r="H21" s="12"/>
      <c r="O21" s="11"/>
    </row>
    <row r="22" spans="1:15" x14ac:dyDescent="0.25">
      <c r="A22" s="70" t="s">
        <v>13</v>
      </c>
      <c r="B22" s="73" t="s">
        <v>86</v>
      </c>
      <c r="C22" s="73" t="s">
        <v>40</v>
      </c>
      <c r="D22" s="73" t="s">
        <v>380</v>
      </c>
      <c r="E22" s="99">
        <f>E10*2</f>
        <v>1</v>
      </c>
      <c r="F22" s="367">
        <f t="shared" ref="F22" si="20">E22</f>
        <v>1</v>
      </c>
      <c r="G22" s="445"/>
      <c r="H22" s="12"/>
      <c r="O22" s="11"/>
    </row>
    <row r="23" spans="1:15" x14ac:dyDescent="0.25">
      <c r="A23" s="70" t="s">
        <v>13</v>
      </c>
      <c r="B23" s="73" t="s">
        <v>87</v>
      </c>
      <c r="C23" s="73" t="s">
        <v>40</v>
      </c>
      <c r="D23" s="73" t="s">
        <v>380</v>
      </c>
      <c r="E23" s="99">
        <v>1</v>
      </c>
      <c r="F23" s="367">
        <f t="shared" ref="F23" si="21">E23</f>
        <v>1</v>
      </c>
      <c r="G23" s="445"/>
      <c r="H23" s="12"/>
      <c r="O23" s="11"/>
    </row>
    <row r="24" spans="1:15" x14ac:dyDescent="0.25">
      <c r="A24" s="70" t="s">
        <v>13</v>
      </c>
      <c r="B24" s="73" t="s">
        <v>82</v>
      </c>
      <c r="C24" s="73" t="s">
        <v>42</v>
      </c>
      <c r="D24" s="73" t="s">
        <v>380</v>
      </c>
      <c r="E24" s="99">
        <v>2.42</v>
      </c>
      <c r="F24" s="367">
        <f t="shared" ref="F24" si="22">E24</f>
        <v>2.42</v>
      </c>
      <c r="G24" s="445"/>
      <c r="H24" s="12"/>
      <c r="O24" s="11"/>
    </row>
    <row r="25" spans="1:15" x14ac:dyDescent="0.25">
      <c r="A25" s="70" t="s">
        <v>13</v>
      </c>
      <c r="B25" s="73" t="s">
        <v>83</v>
      </c>
      <c r="C25" s="73" t="s">
        <v>42</v>
      </c>
      <c r="D25" s="73" t="s">
        <v>380</v>
      </c>
      <c r="E25" s="99">
        <v>0</v>
      </c>
      <c r="F25" s="367">
        <f t="shared" ref="F25" si="23">E25</f>
        <v>0</v>
      </c>
      <c r="G25" s="445"/>
      <c r="H25" s="12"/>
      <c r="O25" s="11"/>
    </row>
    <row r="26" spans="1:15" x14ac:dyDescent="0.25">
      <c r="A26" s="70" t="s">
        <v>13</v>
      </c>
      <c r="B26" s="73" t="s">
        <v>84</v>
      </c>
      <c r="C26" s="73" t="s">
        <v>42</v>
      </c>
      <c r="D26" s="73" t="s">
        <v>380</v>
      </c>
      <c r="E26" s="99">
        <v>1</v>
      </c>
      <c r="F26" s="367">
        <f t="shared" ref="F26" si="24">E26</f>
        <v>1</v>
      </c>
      <c r="G26" s="445"/>
      <c r="H26" s="12"/>
      <c r="O26" s="11"/>
    </row>
    <row r="27" spans="1:15" x14ac:dyDescent="0.25">
      <c r="A27" s="70" t="s">
        <v>13</v>
      </c>
      <c r="B27" s="73" t="s">
        <v>85</v>
      </c>
      <c r="C27" s="73" t="s">
        <v>42</v>
      </c>
      <c r="D27" s="73" t="s">
        <v>380</v>
      </c>
      <c r="E27" s="99">
        <v>1</v>
      </c>
      <c r="F27" s="367">
        <f t="shared" ref="F27" si="25">E27</f>
        <v>1</v>
      </c>
      <c r="G27" s="445"/>
      <c r="H27" s="12"/>
      <c r="O27" s="11"/>
    </row>
    <row r="28" spans="1:15" x14ac:dyDescent="0.25">
      <c r="A28" s="70" t="s">
        <v>13</v>
      </c>
      <c r="B28" s="73" t="s">
        <v>86</v>
      </c>
      <c r="C28" s="73" t="s">
        <v>42</v>
      </c>
      <c r="D28" s="73" t="s">
        <v>380</v>
      </c>
      <c r="E28" s="99">
        <v>1</v>
      </c>
      <c r="F28" s="367">
        <f t="shared" ref="F28" si="26">E28</f>
        <v>1</v>
      </c>
      <c r="G28" s="445"/>
      <c r="H28" s="12"/>
      <c r="O28" s="11"/>
    </row>
    <row r="29" spans="1:15" x14ac:dyDescent="0.25">
      <c r="A29" s="70" t="s">
        <v>13</v>
      </c>
      <c r="B29" s="73" t="s">
        <v>87</v>
      </c>
      <c r="C29" s="73" t="s">
        <v>42</v>
      </c>
      <c r="D29" s="73" t="s">
        <v>380</v>
      </c>
      <c r="E29" s="99">
        <v>1</v>
      </c>
      <c r="F29" s="367">
        <f t="shared" ref="F29" si="27">E29</f>
        <v>1</v>
      </c>
      <c r="G29" s="446"/>
      <c r="H29" s="12"/>
      <c r="O29" s="11"/>
    </row>
    <row r="30" spans="1:15" ht="41.4" x14ac:dyDescent="0.25">
      <c r="A30" s="70" t="s">
        <v>13</v>
      </c>
      <c r="B30" s="73" t="s">
        <v>54</v>
      </c>
      <c r="C30" s="73" t="s">
        <v>40</v>
      </c>
      <c r="D30" s="73" t="s">
        <v>382</v>
      </c>
      <c r="E30" s="133">
        <v>0.85</v>
      </c>
      <c r="F30" s="367">
        <f t="shared" ref="F30" si="28">E30</f>
        <v>0.85</v>
      </c>
      <c r="G30" s="174" t="s">
        <v>364</v>
      </c>
      <c r="H30" s="12"/>
      <c r="I30" s="15"/>
      <c r="J30" s="15"/>
    </row>
    <row r="31" spans="1:15" s="19" customFormat="1" ht="41.4" x14ac:dyDescent="0.25">
      <c r="A31" s="70" t="s">
        <v>13</v>
      </c>
      <c r="B31" s="73" t="s">
        <v>54</v>
      </c>
      <c r="C31" s="73" t="s">
        <v>41</v>
      </c>
      <c r="D31" s="73" t="s">
        <v>382</v>
      </c>
      <c r="E31" s="133">
        <v>0.85</v>
      </c>
      <c r="F31" s="367">
        <f t="shared" ref="F31" si="29">E31</f>
        <v>0.85</v>
      </c>
      <c r="G31" s="174" t="s">
        <v>364</v>
      </c>
      <c r="H31" s="24"/>
      <c r="I31" s="23"/>
      <c r="J31" s="23"/>
    </row>
    <row r="32" spans="1:15" ht="41.4" x14ac:dyDescent="0.25">
      <c r="A32" s="70" t="s">
        <v>13</v>
      </c>
      <c r="B32" s="73" t="s">
        <v>54</v>
      </c>
      <c r="C32" s="73" t="s">
        <v>42</v>
      </c>
      <c r="D32" s="73" t="s">
        <v>382</v>
      </c>
      <c r="E32" s="133">
        <v>0.85</v>
      </c>
      <c r="F32" s="367">
        <f t="shared" ref="F32" si="30">E32</f>
        <v>0.85</v>
      </c>
      <c r="G32" s="174" t="s">
        <v>364</v>
      </c>
      <c r="H32" s="12"/>
      <c r="I32" s="15"/>
      <c r="J32" s="15"/>
    </row>
    <row r="33" spans="1:10" ht="41.4" x14ac:dyDescent="0.25">
      <c r="A33" s="70" t="s">
        <v>13</v>
      </c>
      <c r="B33" s="73" t="s">
        <v>54</v>
      </c>
      <c r="C33" s="73" t="s">
        <v>43</v>
      </c>
      <c r="D33" s="73" t="s">
        <v>382</v>
      </c>
      <c r="E33" s="133">
        <v>0.85</v>
      </c>
      <c r="F33" s="367">
        <f t="shared" ref="F33" si="31">E33</f>
        <v>0.85</v>
      </c>
      <c r="G33" s="174" t="s">
        <v>364</v>
      </c>
      <c r="H33" s="12"/>
      <c r="I33" s="15"/>
      <c r="J33" s="15"/>
    </row>
    <row r="34" spans="1:10" s="19" customFormat="1" ht="55.2" x14ac:dyDescent="0.25">
      <c r="A34" s="70" t="s">
        <v>13</v>
      </c>
      <c r="B34" s="73" t="s">
        <v>54</v>
      </c>
      <c r="C34" s="73" t="s">
        <v>44</v>
      </c>
      <c r="D34" s="73" t="s">
        <v>382</v>
      </c>
      <c r="E34" s="133">
        <f>85%/2</f>
        <v>0.42499999999999999</v>
      </c>
      <c r="F34" s="367">
        <f t="shared" ref="F34" si="32">E34</f>
        <v>0.42499999999999999</v>
      </c>
      <c r="G34" s="174" t="s">
        <v>465</v>
      </c>
      <c r="H34" s="24"/>
      <c r="I34" s="23"/>
      <c r="J34" s="23"/>
    </row>
    <row r="35" spans="1:10" x14ac:dyDescent="0.25">
      <c r="A35" s="70" t="s">
        <v>13</v>
      </c>
      <c r="B35" s="73" t="s">
        <v>89</v>
      </c>
      <c r="C35" s="73" t="s">
        <v>41</v>
      </c>
      <c r="D35" s="73" t="s">
        <v>381</v>
      </c>
      <c r="E35" s="133">
        <v>0.3</v>
      </c>
      <c r="F35" s="367">
        <f t="shared" ref="F35" si="33">E35</f>
        <v>0.3</v>
      </c>
      <c r="G35" s="174" t="s">
        <v>365</v>
      </c>
      <c r="H35" s="12"/>
      <c r="I35" s="15"/>
      <c r="J35" s="15"/>
    </row>
    <row r="36" spans="1:10" ht="41.4" x14ac:dyDescent="0.25">
      <c r="A36" s="70" t="s">
        <v>13</v>
      </c>
      <c r="B36" s="73" t="s">
        <v>90</v>
      </c>
      <c r="C36" s="73" t="s">
        <v>41</v>
      </c>
      <c r="D36" s="73" t="s">
        <v>381</v>
      </c>
      <c r="E36" s="133">
        <v>0.5</v>
      </c>
      <c r="F36" s="367">
        <f t="shared" ref="F36" si="34">E36</f>
        <v>0.5</v>
      </c>
      <c r="G36" s="174" t="s">
        <v>366</v>
      </c>
      <c r="H36" s="15"/>
      <c r="I36" s="15"/>
    </row>
    <row r="37" spans="1:10" x14ac:dyDescent="0.25">
      <c r="A37" s="70" t="s">
        <v>13</v>
      </c>
      <c r="B37" s="73" t="s">
        <v>91</v>
      </c>
      <c r="C37" s="73" t="s">
        <v>41</v>
      </c>
      <c r="D37" s="73" t="s">
        <v>381</v>
      </c>
      <c r="E37" s="133">
        <v>0.22</v>
      </c>
      <c r="F37" s="367">
        <f t="shared" ref="F37" si="35">E37</f>
        <v>0.22</v>
      </c>
      <c r="G37" s="174" t="s">
        <v>367</v>
      </c>
      <c r="H37" s="15"/>
      <c r="I37" s="15"/>
    </row>
    <row r="38" spans="1:10" ht="27.6" x14ac:dyDescent="0.25">
      <c r="A38" s="70" t="s">
        <v>13</v>
      </c>
      <c r="B38" s="73" t="s">
        <v>92</v>
      </c>
      <c r="C38" s="73" t="s">
        <v>41</v>
      </c>
      <c r="D38" s="73" t="s">
        <v>381</v>
      </c>
      <c r="E38" s="133">
        <v>0.44000000000000006</v>
      </c>
      <c r="F38" s="367">
        <f t="shared" ref="F38" si="36">E38</f>
        <v>0.44000000000000006</v>
      </c>
      <c r="G38" s="174" t="s">
        <v>368</v>
      </c>
      <c r="H38" s="15"/>
      <c r="I38" s="15"/>
    </row>
    <row r="39" spans="1:10" ht="27.6" x14ac:dyDescent="0.25">
      <c r="A39" s="70" t="s">
        <v>13</v>
      </c>
      <c r="B39" s="73" t="s">
        <v>93</v>
      </c>
      <c r="C39" s="73" t="s">
        <v>41</v>
      </c>
      <c r="D39" s="73" t="s">
        <v>381</v>
      </c>
      <c r="E39" s="133">
        <v>0.25</v>
      </c>
      <c r="F39" s="367">
        <f t="shared" ref="F39" si="37">E39</f>
        <v>0.25</v>
      </c>
      <c r="G39" s="174" t="s">
        <v>369</v>
      </c>
      <c r="H39" s="15"/>
      <c r="I39" s="15"/>
    </row>
    <row r="40" spans="1:10" x14ac:dyDescent="0.25">
      <c r="A40" s="70" t="s">
        <v>13</v>
      </c>
      <c r="B40" s="73" t="s">
        <v>147</v>
      </c>
      <c r="C40" s="73" t="s">
        <v>41</v>
      </c>
      <c r="D40" s="73" t="s">
        <v>381</v>
      </c>
      <c r="E40" s="133">
        <v>0.05</v>
      </c>
      <c r="F40" s="367">
        <f t="shared" ref="F40" si="38">E40</f>
        <v>0.05</v>
      </c>
      <c r="G40" s="174" t="s">
        <v>370</v>
      </c>
    </row>
    <row r="41" spans="1:10" ht="27.6" x14ac:dyDescent="0.25">
      <c r="A41" s="70" t="s">
        <v>13</v>
      </c>
      <c r="B41" s="73" t="s">
        <v>94</v>
      </c>
      <c r="C41" s="73" t="s">
        <v>41</v>
      </c>
      <c r="D41" s="73" t="s">
        <v>381</v>
      </c>
      <c r="E41" s="133">
        <v>0.1</v>
      </c>
      <c r="F41" s="367">
        <f t="shared" ref="F41" si="39">E41</f>
        <v>0.1</v>
      </c>
      <c r="G41" s="160" t="s">
        <v>371</v>
      </c>
    </row>
    <row r="42" spans="1:10" x14ac:dyDescent="0.25">
      <c r="A42" s="70" t="s">
        <v>13</v>
      </c>
      <c r="B42" s="73" t="s">
        <v>89</v>
      </c>
      <c r="C42" s="73" t="s">
        <v>43</v>
      </c>
      <c r="D42" s="73" t="s">
        <v>381</v>
      </c>
      <c r="E42" s="133">
        <v>0.3</v>
      </c>
      <c r="F42" s="367">
        <f t="shared" ref="F42" si="40">E42</f>
        <v>0.3</v>
      </c>
      <c r="G42" s="174" t="s">
        <v>365</v>
      </c>
    </row>
    <row r="43" spans="1:10" ht="41.4" x14ac:dyDescent="0.25">
      <c r="A43" s="70" t="s">
        <v>13</v>
      </c>
      <c r="B43" s="73" t="s">
        <v>90</v>
      </c>
      <c r="C43" s="73" t="s">
        <v>43</v>
      </c>
      <c r="D43" s="73" t="s">
        <v>381</v>
      </c>
      <c r="E43" s="133">
        <v>0.5</v>
      </c>
      <c r="F43" s="367">
        <f t="shared" ref="F43" si="41">E43</f>
        <v>0.5</v>
      </c>
      <c r="G43" s="174" t="s">
        <v>366</v>
      </c>
    </row>
    <row r="44" spans="1:10" x14ac:dyDescent="0.25">
      <c r="A44" s="70" t="s">
        <v>13</v>
      </c>
      <c r="B44" s="73" t="s">
        <v>91</v>
      </c>
      <c r="C44" s="73" t="s">
        <v>43</v>
      </c>
      <c r="D44" s="73" t="s">
        <v>381</v>
      </c>
      <c r="E44" s="133">
        <v>0.22</v>
      </c>
      <c r="F44" s="367">
        <f t="shared" ref="F44" si="42">E44</f>
        <v>0.22</v>
      </c>
      <c r="G44" s="174" t="s">
        <v>367</v>
      </c>
    </row>
    <row r="45" spans="1:10" s="19" customFormat="1" ht="27.6" x14ac:dyDescent="0.25">
      <c r="A45" s="70" t="s">
        <v>13</v>
      </c>
      <c r="B45" s="73" t="s">
        <v>92</v>
      </c>
      <c r="C45" s="73" t="s">
        <v>43</v>
      </c>
      <c r="D45" s="73" t="s">
        <v>381</v>
      </c>
      <c r="E45" s="133">
        <v>0.44000000000000006</v>
      </c>
      <c r="F45" s="367">
        <f t="shared" ref="F45" si="43">E45</f>
        <v>0.44000000000000006</v>
      </c>
      <c r="G45" s="174" t="s">
        <v>368</v>
      </c>
    </row>
    <row r="46" spans="1:10" ht="27.6" x14ac:dyDescent="0.25">
      <c r="A46" s="70" t="s">
        <v>13</v>
      </c>
      <c r="B46" s="73" t="s">
        <v>93</v>
      </c>
      <c r="C46" s="73" t="s">
        <v>43</v>
      </c>
      <c r="D46" s="73" t="s">
        <v>381</v>
      </c>
      <c r="E46" s="133">
        <v>0.25</v>
      </c>
      <c r="F46" s="367">
        <f t="shared" ref="F46" si="44">E46</f>
        <v>0.25</v>
      </c>
      <c r="G46" s="174" t="s">
        <v>369</v>
      </c>
    </row>
    <row r="47" spans="1:10" x14ac:dyDescent="0.25">
      <c r="A47" s="70" t="s">
        <v>13</v>
      </c>
      <c r="B47" s="73" t="s">
        <v>147</v>
      </c>
      <c r="C47" s="73" t="s">
        <v>43</v>
      </c>
      <c r="D47" s="73" t="s">
        <v>381</v>
      </c>
      <c r="E47" s="133">
        <v>0.05</v>
      </c>
      <c r="F47" s="367">
        <f t="shared" ref="F47" si="45">E47</f>
        <v>0.05</v>
      </c>
      <c r="G47" s="174" t="s">
        <v>370</v>
      </c>
    </row>
    <row r="48" spans="1:10" ht="27.6" x14ac:dyDescent="0.25">
      <c r="A48" s="70" t="s">
        <v>13</v>
      </c>
      <c r="B48" s="73" t="s">
        <v>94</v>
      </c>
      <c r="C48" s="73" t="s">
        <v>43</v>
      </c>
      <c r="D48" s="73" t="s">
        <v>381</v>
      </c>
      <c r="E48" s="133">
        <v>0.1</v>
      </c>
      <c r="F48" s="367">
        <f t="shared" ref="F48" si="46">E48</f>
        <v>0.1</v>
      </c>
      <c r="G48" s="160" t="s">
        <v>371</v>
      </c>
    </row>
    <row r="49" spans="1:7" ht="41.4" x14ac:dyDescent="0.25">
      <c r="A49" s="70" t="s">
        <v>13</v>
      </c>
      <c r="B49" s="73" t="s">
        <v>89</v>
      </c>
      <c r="C49" s="73" t="s">
        <v>44</v>
      </c>
      <c r="D49" s="73" t="s">
        <v>381</v>
      </c>
      <c r="E49" s="133">
        <f>30%/2</f>
        <v>0.15</v>
      </c>
      <c r="F49" s="367">
        <f t="shared" ref="F49" si="47">E49</f>
        <v>0.15</v>
      </c>
      <c r="G49" s="174" t="s">
        <v>554</v>
      </c>
    </row>
    <row r="50" spans="1:7" ht="55.2" x14ac:dyDescent="0.25">
      <c r="A50" s="70" t="s">
        <v>13</v>
      </c>
      <c r="B50" s="73" t="s">
        <v>90</v>
      </c>
      <c r="C50" s="73" t="s">
        <v>44</v>
      </c>
      <c r="D50" s="73" t="s">
        <v>381</v>
      </c>
      <c r="E50" s="133">
        <f>50%/2</f>
        <v>0.25</v>
      </c>
      <c r="F50" s="367">
        <f t="shared" ref="F50" si="48">E50</f>
        <v>0.25</v>
      </c>
      <c r="G50" s="174" t="s">
        <v>555</v>
      </c>
    </row>
    <row r="51" spans="1:7" ht="41.4" x14ac:dyDescent="0.25">
      <c r="A51" s="70" t="s">
        <v>13</v>
      </c>
      <c r="B51" s="73" t="s">
        <v>91</v>
      </c>
      <c r="C51" s="73" t="s">
        <v>44</v>
      </c>
      <c r="D51" s="73" t="s">
        <v>381</v>
      </c>
      <c r="E51" s="133">
        <f>22%/2</f>
        <v>0.11</v>
      </c>
      <c r="F51" s="367">
        <f t="shared" ref="F51" si="49">E51</f>
        <v>0.11</v>
      </c>
      <c r="G51" s="174" t="s">
        <v>556</v>
      </c>
    </row>
    <row r="52" spans="1:7" ht="41.4" x14ac:dyDescent="0.25">
      <c r="A52" s="70" t="s">
        <v>13</v>
      </c>
      <c r="B52" s="73" t="s">
        <v>92</v>
      </c>
      <c r="C52" s="73" t="s">
        <v>44</v>
      </c>
      <c r="D52" s="73" t="s">
        <v>381</v>
      </c>
      <c r="E52" s="133">
        <f>44%/2</f>
        <v>0.22</v>
      </c>
      <c r="F52" s="367">
        <f t="shared" ref="F52" si="50">E52</f>
        <v>0.22</v>
      </c>
      <c r="G52" s="174" t="s">
        <v>557</v>
      </c>
    </row>
    <row r="53" spans="1:7" ht="41.4" x14ac:dyDescent="0.25">
      <c r="A53" s="70" t="s">
        <v>13</v>
      </c>
      <c r="B53" s="73" t="s">
        <v>93</v>
      </c>
      <c r="C53" s="73" t="s">
        <v>44</v>
      </c>
      <c r="D53" s="73" t="s">
        <v>381</v>
      </c>
      <c r="E53" s="133">
        <f>25%/2</f>
        <v>0.125</v>
      </c>
      <c r="F53" s="367">
        <f t="shared" ref="F53" si="51">E53</f>
        <v>0.125</v>
      </c>
      <c r="G53" s="174" t="s">
        <v>466</v>
      </c>
    </row>
    <row r="54" spans="1:7" ht="27.6" x14ac:dyDescent="0.25">
      <c r="A54" s="70" t="s">
        <v>13</v>
      </c>
      <c r="B54" s="73" t="s">
        <v>147</v>
      </c>
      <c r="C54" s="73" t="s">
        <v>44</v>
      </c>
      <c r="D54" s="73" t="s">
        <v>381</v>
      </c>
      <c r="E54" s="133">
        <f>5%/2</f>
        <v>2.5000000000000001E-2</v>
      </c>
      <c r="F54" s="367">
        <f t="shared" ref="F54" si="52">E54</f>
        <v>2.5000000000000001E-2</v>
      </c>
      <c r="G54" s="174" t="s">
        <v>467</v>
      </c>
    </row>
    <row r="55" spans="1:7" ht="55.2" x14ac:dyDescent="0.25">
      <c r="A55" s="70" t="s">
        <v>13</v>
      </c>
      <c r="B55" s="73" t="s">
        <v>94</v>
      </c>
      <c r="C55" s="73" t="s">
        <v>44</v>
      </c>
      <c r="D55" s="73" t="s">
        <v>381</v>
      </c>
      <c r="E55" s="133">
        <f>10%/2</f>
        <v>0.05</v>
      </c>
      <c r="F55" s="367">
        <f t="shared" ref="F55" si="53">E55</f>
        <v>0.05</v>
      </c>
      <c r="G55" s="160" t="s">
        <v>558</v>
      </c>
    </row>
    <row r="56" spans="1:7" x14ac:dyDescent="0.25">
      <c r="A56" s="70" t="s">
        <v>13</v>
      </c>
      <c r="B56" s="73" t="s">
        <v>95</v>
      </c>
      <c r="C56" s="73" t="s">
        <v>41</v>
      </c>
      <c r="D56" s="73" t="s">
        <v>381</v>
      </c>
      <c r="E56" s="369">
        <f>E35</f>
        <v>0.3</v>
      </c>
      <c r="F56" s="367">
        <f t="shared" ref="F56" si="54">E56</f>
        <v>0.3</v>
      </c>
      <c r="G56" s="370" t="str">
        <f>G35</f>
        <v>Based on California Demand Response Potential Study Final Report, Phase 2 Results' Table G-17, HVAC End-use shed filters.</v>
      </c>
    </row>
    <row r="57" spans="1:7" ht="41.4" x14ac:dyDescent="0.25">
      <c r="A57" s="70" t="s">
        <v>13</v>
      </c>
      <c r="B57" s="73" t="s">
        <v>96</v>
      </c>
      <c r="C57" s="73" t="s">
        <v>41</v>
      </c>
      <c r="D57" s="73" t="s">
        <v>381</v>
      </c>
      <c r="E57" s="369">
        <f t="shared" ref="E57:G76" si="55">E36</f>
        <v>0.5</v>
      </c>
      <c r="F57" s="367">
        <f t="shared" ref="F57" si="56">E57</f>
        <v>0.5</v>
      </c>
      <c r="G57" s="370" t="str">
        <f t="shared" si="55"/>
        <v>California Demand Response Potential Study Final Report, Phase 2 Results' Table G-17, HVAC End-use shed filters. This is the average 4-hr. shed fraction from a portion of the HVAC load that can be curtailed through Auto-DR. The shed estimates are based off the Lawrence Berkeley National Lab's extensive Auto-DR field experience.</v>
      </c>
    </row>
    <row r="58" spans="1:7" x14ac:dyDescent="0.25">
      <c r="A58" s="70" t="s">
        <v>13</v>
      </c>
      <c r="B58" s="73" t="s">
        <v>97</v>
      </c>
      <c r="C58" s="73" t="s">
        <v>41</v>
      </c>
      <c r="D58" s="73" t="s">
        <v>381</v>
      </c>
      <c r="E58" s="369">
        <f t="shared" si="55"/>
        <v>0.22</v>
      </c>
      <c r="F58" s="367">
        <f t="shared" ref="F58" si="57">E58</f>
        <v>0.22</v>
      </c>
      <c r="G58" s="370" t="str">
        <f t="shared" si="55"/>
        <v>California Demand Response Potential Study Final Report, Phase 2 Results' Table G-29, Commercial Lighting End-use shed filters.</v>
      </c>
    </row>
    <row r="59" spans="1:7" ht="27.6" x14ac:dyDescent="0.25">
      <c r="A59" s="70" t="s">
        <v>13</v>
      </c>
      <c r="B59" s="73" t="s">
        <v>98</v>
      </c>
      <c r="C59" s="73" t="s">
        <v>41</v>
      </c>
      <c r="D59" s="73" t="s">
        <v>381</v>
      </c>
      <c r="E59" s="369">
        <f t="shared" si="55"/>
        <v>0.44000000000000006</v>
      </c>
      <c r="F59" s="367">
        <f t="shared" ref="F59" si="58">E59</f>
        <v>0.44000000000000006</v>
      </c>
      <c r="G59" s="370" t="str">
        <f t="shared" si="55"/>
        <v>California Demand Response Potential Study Final Report, Phase 2 Results' Table G-29, Commercial Lighting End-use shed filters; advanced lighting controls refer to zonal and luminaire controls.</v>
      </c>
    </row>
    <row r="60" spans="1:7" ht="27.6" x14ac:dyDescent="0.25">
      <c r="A60" s="70" t="s">
        <v>13</v>
      </c>
      <c r="B60" s="73" t="s">
        <v>99</v>
      </c>
      <c r="C60" s="73" t="s">
        <v>41</v>
      </c>
      <c r="D60" s="73" t="s">
        <v>381</v>
      </c>
      <c r="E60" s="369">
        <f t="shared" si="55"/>
        <v>0.25</v>
      </c>
      <c r="F60" s="367">
        <f t="shared" ref="F60" si="59">E60</f>
        <v>0.25</v>
      </c>
      <c r="G60" s="370" t="str">
        <f t="shared" si="55"/>
        <v>Grid Integration of Aggregate Demand Response, Part I: Load Availability Profiles and Constraints for the Western Interconnection; September 2013;</v>
      </c>
    </row>
    <row r="61" spans="1:7" x14ac:dyDescent="0.25">
      <c r="A61" s="70" t="s">
        <v>13</v>
      </c>
      <c r="B61" s="73" t="s">
        <v>129</v>
      </c>
      <c r="C61" s="73" t="s">
        <v>41</v>
      </c>
      <c r="D61" s="73" t="s">
        <v>381</v>
      </c>
      <c r="E61" s="369">
        <f t="shared" si="55"/>
        <v>0.05</v>
      </c>
      <c r="F61" s="367">
        <f t="shared" ref="F61" si="60">E61</f>
        <v>0.05</v>
      </c>
      <c r="G61" s="370" t="str">
        <f t="shared" si="55"/>
        <v xml:space="preserve">Miscellaneous industry types; assumed approximately 5% of the load could be reduced. </v>
      </c>
    </row>
    <row r="62" spans="1:7" ht="27.6" x14ac:dyDescent="0.25">
      <c r="A62" s="70" t="s">
        <v>13</v>
      </c>
      <c r="B62" s="73" t="s">
        <v>100</v>
      </c>
      <c r="C62" s="73" t="s">
        <v>41</v>
      </c>
      <c r="D62" s="73" t="s">
        <v>381</v>
      </c>
      <c r="E62" s="369">
        <f t="shared" si="55"/>
        <v>0.1</v>
      </c>
      <c r="F62" s="367">
        <f t="shared" ref="F62" si="61">E62</f>
        <v>0.1</v>
      </c>
      <c r="G62" s="370" t="str">
        <f t="shared" si="55"/>
        <v>Reference: "Assessment of Industrial Load for Demand Response", Oak Ridge National Lab, 2013. This is primarily thermal load and therefore curtailment capability is highly dependent on the type of process. Assumed relatively conservative 10% load reduction estimate.</v>
      </c>
    </row>
    <row r="63" spans="1:7" x14ac:dyDescent="0.25">
      <c r="A63" s="70" t="s">
        <v>13</v>
      </c>
      <c r="B63" s="73" t="s">
        <v>95</v>
      </c>
      <c r="C63" s="73" t="s">
        <v>43</v>
      </c>
      <c r="D63" s="73" t="s">
        <v>381</v>
      </c>
      <c r="E63" s="369">
        <f t="shared" si="55"/>
        <v>0.3</v>
      </c>
      <c r="F63" s="367">
        <f t="shared" ref="F63" si="62">E63</f>
        <v>0.3</v>
      </c>
      <c r="G63" s="370" t="str">
        <f t="shared" si="55"/>
        <v>Based on California Demand Response Potential Study Final Report, Phase 2 Results' Table G-17, HVAC End-use shed filters.</v>
      </c>
    </row>
    <row r="64" spans="1:7" ht="41.4" x14ac:dyDescent="0.25">
      <c r="A64" s="70" t="s">
        <v>13</v>
      </c>
      <c r="B64" s="73" t="s">
        <v>96</v>
      </c>
      <c r="C64" s="73" t="s">
        <v>43</v>
      </c>
      <c r="D64" s="73" t="s">
        <v>381</v>
      </c>
      <c r="E64" s="369">
        <f t="shared" si="55"/>
        <v>0.5</v>
      </c>
      <c r="F64" s="367">
        <f t="shared" ref="F64" si="63">E64</f>
        <v>0.5</v>
      </c>
      <c r="G64" s="370" t="str">
        <f t="shared" si="55"/>
        <v>California Demand Response Potential Study Final Report, Phase 2 Results' Table G-17, HVAC End-use shed filters. This is the average 4-hr. shed fraction from a portion of the HVAC load that can be curtailed through Auto-DR. The shed estimates are based off the Lawrence Berkeley National Lab's extensive Auto-DR field experience.</v>
      </c>
    </row>
    <row r="65" spans="1:7" x14ac:dyDescent="0.25">
      <c r="A65" s="70" t="s">
        <v>13</v>
      </c>
      <c r="B65" s="73" t="s">
        <v>97</v>
      </c>
      <c r="C65" s="73" t="s">
        <v>43</v>
      </c>
      <c r="D65" s="73" t="s">
        <v>381</v>
      </c>
      <c r="E65" s="369">
        <f t="shared" si="55"/>
        <v>0.22</v>
      </c>
      <c r="F65" s="367">
        <f t="shared" ref="F65" si="64">E65</f>
        <v>0.22</v>
      </c>
      <c r="G65" s="370" t="str">
        <f t="shared" si="55"/>
        <v>California Demand Response Potential Study Final Report, Phase 2 Results' Table G-29, Commercial Lighting End-use shed filters.</v>
      </c>
    </row>
    <row r="66" spans="1:7" ht="27.6" x14ac:dyDescent="0.25">
      <c r="A66" s="70" t="s">
        <v>13</v>
      </c>
      <c r="B66" s="73" t="s">
        <v>98</v>
      </c>
      <c r="C66" s="73" t="s">
        <v>43</v>
      </c>
      <c r="D66" s="73" t="s">
        <v>381</v>
      </c>
      <c r="E66" s="369">
        <f t="shared" si="55"/>
        <v>0.44000000000000006</v>
      </c>
      <c r="F66" s="367">
        <f t="shared" ref="F66" si="65">E66</f>
        <v>0.44000000000000006</v>
      </c>
      <c r="G66" s="370" t="str">
        <f t="shared" si="55"/>
        <v>California Demand Response Potential Study Final Report, Phase 2 Results' Table G-29, Commercial Lighting End-use shed filters; advanced lighting controls refer to zonal and luminaire controls.</v>
      </c>
    </row>
    <row r="67" spans="1:7" ht="27.6" x14ac:dyDescent="0.25">
      <c r="A67" s="70" t="s">
        <v>13</v>
      </c>
      <c r="B67" s="73" t="s">
        <v>99</v>
      </c>
      <c r="C67" s="73" t="s">
        <v>43</v>
      </c>
      <c r="D67" s="73" t="s">
        <v>381</v>
      </c>
      <c r="E67" s="369">
        <f t="shared" si="55"/>
        <v>0.25</v>
      </c>
      <c r="F67" s="367">
        <f t="shared" ref="F67" si="66">E67</f>
        <v>0.25</v>
      </c>
      <c r="G67" s="370" t="str">
        <f t="shared" si="55"/>
        <v>Grid Integration of Aggregate Demand Response, Part I: Load Availability Profiles and Constraints for the Western Interconnection; September 2013;</v>
      </c>
    </row>
    <row r="68" spans="1:7" x14ac:dyDescent="0.25">
      <c r="A68" s="70" t="s">
        <v>13</v>
      </c>
      <c r="B68" s="73" t="s">
        <v>129</v>
      </c>
      <c r="C68" s="73" t="s">
        <v>43</v>
      </c>
      <c r="D68" s="73" t="s">
        <v>381</v>
      </c>
      <c r="E68" s="369">
        <f t="shared" si="55"/>
        <v>0.05</v>
      </c>
      <c r="F68" s="367">
        <f t="shared" ref="F68" si="67">E68</f>
        <v>0.05</v>
      </c>
      <c r="G68" s="370" t="str">
        <f t="shared" si="55"/>
        <v xml:space="preserve">Miscellaneous industry types; assumed approximately 5% of the load could be reduced. </v>
      </c>
    </row>
    <row r="69" spans="1:7" ht="27.6" x14ac:dyDescent="0.25">
      <c r="A69" s="70" t="s">
        <v>13</v>
      </c>
      <c r="B69" s="73" t="s">
        <v>100</v>
      </c>
      <c r="C69" s="73" t="s">
        <v>43</v>
      </c>
      <c r="D69" s="73" t="s">
        <v>381</v>
      </c>
      <c r="E69" s="369">
        <f t="shared" si="55"/>
        <v>0.1</v>
      </c>
      <c r="F69" s="367">
        <f t="shared" ref="F69" si="68">E69</f>
        <v>0.1</v>
      </c>
      <c r="G69" s="370" t="str">
        <f t="shared" si="55"/>
        <v>Reference: "Assessment of Industrial Load for Demand Response", Oak Ridge National Lab, 2013. This is primarily thermal load and therefore curtailment capability is highly dependent on the type of process. Assumed relatively conservative 10% load reduction estimate.</v>
      </c>
    </row>
    <row r="70" spans="1:7" ht="30.75" customHeight="1" x14ac:dyDescent="0.25">
      <c r="A70" s="70" t="s">
        <v>13</v>
      </c>
      <c r="B70" s="73" t="s">
        <v>95</v>
      </c>
      <c r="C70" s="73" t="s">
        <v>44</v>
      </c>
      <c r="D70" s="73" t="s">
        <v>381</v>
      </c>
      <c r="E70" s="369">
        <f t="shared" si="55"/>
        <v>0.15</v>
      </c>
      <c r="F70" s="367">
        <f t="shared" ref="F70" si="69">E70</f>
        <v>0.15</v>
      </c>
      <c r="G70" s="370" t="str">
        <f t="shared" si="55"/>
        <v>Based on California Demand Response Potential Study Final Report, Phase 2 Results' Table G-17, HVAC End-use shed filters. Note that unit impacts from Interruptible Customers are derated by 50% to reflect that a portion of the demand may already be reduced as part of their baseline load on the tariff.</v>
      </c>
    </row>
    <row r="71" spans="1:7" ht="55.2" x14ac:dyDescent="0.25">
      <c r="A71" s="70" t="s">
        <v>13</v>
      </c>
      <c r="B71" s="73" t="s">
        <v>96</v>
      </c>
      <c r="C71" s="73" t="s">
        <v>44</v>
      </c>
      <c r="D71" s="73" t="s">
        <v>381</v>
      </c>
      <c r="E71" s="369">
        <f t="shared" si="55"/>
        <v>0.25</v>
      </c>
      <c r="F71" s="367">
        <f t="shared" ref="F71" si="70">E71</f>
        <v>0.25</v>
      </c>
      <c r="G71" s="370" t="str">
        <f t="shared" si="55"/>
        <v>California Demand Response Potential Study Final Report, Phase 2 Results' Table G-17, HVAC End-use shed filters. This is the average 4-hr. shed fraction from a portion of the HVAC load that can be curtailed through Auto-DR. The shed estimates are based off the Lawrence Berkeley National Lab's extensive Auto-DR field experience. Note that unit impacts from Interruptible Customers are derated by 50% to reflect that a portion of the demand may already be reduced as part of their baseline load on the tariff.</v>
      </c>
    </row>
    <row r="72" spans="1:7" ht="41.4" x14ac:dyDescent="0.25">
      <c r="A72" s="70" t="s">
        <v>13</v>
      </c>
      <c r="B72" s="73" t="s">
        <v>97</v>
      </c>
      <c r="C72" s="73" t="s">
        <v>44</v>
      </c>
      <c r="D72" s="73" t="s">
        <v>381</v>
      </c>
      <c r="E72" s="369">
        <f t="shared" si="55"/>
        <v>0.11</v>
      </c>
      <c r="F72" s="367">
        <f t="shared" ref="F72" si="71">E72</f>
        <v>0.11</v>
      </c>
      <c r="G72" s="370" t="str">
        <f t="shared" si="55"/>
        <v>California Demand Response Potential Study Final Report, Phase 2 Results' Table G-29, Commercial Lighting End-use shed filters. Note that unit impacts from Interruptible Customers are derated by 50% to reflect that a portion of the demand may already be reduced as part of their baseline load on the tariff.</v>
      </c>
    </row>
    <row r="73" spans="1:7" ht="41.4" x14ac:dyDescent="0.25">
      <c r="A73" s="70" t="s">
        <v>13</v>
      </c>
      <c r="B73" s="73" t="s">
        <v>98</v>
      </c>
      <c r="C73" s="73" t="s">
        <v>44</v>
      </c>
      <c r="D73" s="73" t="s">
        <v>381</v>
      </c>
      <c r="E73" s="369">
        <f t="shared" si="55"/>
        <v>0.22</v>
      </c>
      <c r="F73" s="367">
        <f t="shared" ref="F73" si="72">E73</f>
        <v>0.22</v>
      </c>
      <c r="G73" s="370" t="str">
        <f t="shared" si="55"/>
        <v>California Demand Response Potential Study Final Report, Phase 2 Results' Table G-29, Commercial Lighting End-use shed filters; advanced lighting controls refer to zonal and luminaire controls. Note that unit impacts from Interruptible Customers are derated by 50% to reflect that a portion of the demand may already be reduced as part of their baseline load on the tariff.</v>
      </c>
    </row>
    <row r="74" spans="1:7" ht="41.4" x14ac:dyDescent="0.25">
      <c r="A74" s="70" t="s">
        <v>13</v>
      </c>
      <c r="B74" s="73" t="s">
        <v>99</v>
      </c>
      <c r="C74" s="73" t="s">
        <v>44</v>
      </c>
      <c r="D74" s="73" t="s">
        <v>381</v>
      </c>
      <c r="E74" s="369">
        <f t="shared" si="55"/>
        <v>0.125</v>
      </c>
      <c r="F74" s="367">
        <f t="shared" ref="F74" si="73">E74</f>
        <v>0.125</v>
      </c>
      <c r="G74" s="370" t="str">
        <f t="shared" si="55"/>
        <v>Grid Integration of Aggregate Demand Response, Part I: Load Availability Profiles and Constraints for the Western Interconnection; September 2013;Note that unit impacts from Interruptible Customers are derated by 50% to reflect that a portion of the demand may already be reduced as part of their baseline load on the tariff.</v>
      </c>
    </row>
    <row r="75" spans="1:7" ht="27.6" x14ac:dyDescent="0.25">
      <c r="A75" s="70" t="s">
        <v>13</v>
      </c>
      <c r="B75" s="73" t="s">
        <v>129</v>
      </c>
      <c r="C75" s="73" t="s">
        <v>44</v>
      </c>
      <c r="D75" s="73" t="s">
        <v>381</v>
      </c>
      <c r="E75" s="369">
        <f t="shared" si="55"/>
        <v>2.5000000000000001E-2</v>
      </c>
      <c r="F75" s="367">
        <f t="shared" ref="F75" si="74">E75</f>
        <v>2.5000000000000001E-2</v>
      </c>
      <c r="G75" s="370" t="str">
        <f t="shared" si="55"/>
        <v>Miscellaneous industry types; assumed approximately 5% of the load could be reduced. Note that unit impacts from Interruptible Customers are derated by 50% to reflect that a portion of the demand may already be reduced as part of their baseline load on the tariff.</v>
      </c>
    </row>
    <row r="76" spans="1:7" ht="55.2" x14ac:dyDescent="0.25">
      <c r="A76" s="70" t="s">
        <v>13</v>
      </c>
      <c r="B76" s="73" t="s">
        <v>100</v>
      </c>
      <c r="C76" s="73" t="s">
        <v>44</v>
      </c>
      <c r="D76" s="73" t="s">
        <v>381</v>
      </c>
      <c r="E76" s="369">
        <f t="shared" si="55"/>
        <v>0.05</v>
      </c>
      <c r="F76" s="367">
        <f t="shared" ref="F76" si="75">E76</f>
        <v>0.05</v>
      </c>
      <c r="G76" s="370" t="str">
        <f t="shared" si="55"/>
        <v>Reference: "Assessment of Industrial Load for Demand Response", Oak Ridge National Lab, 2013. This is primarily thermal load and therefore curtailment capability is highly dependent on the type of process. Assumed relatively conservative 10% load reduction estimate. Note that unit impacts from Interruptible Customers are derated by 50% to reflect that a portion of the demand may already be reduced as part of their baseline load on the tariff.</v>
      </c>
    </row>
    <row r="77" spans="1:7" ht="41.4" x14ac:dyDescent="0.25">
      <c r="A77" s="70" t="s">
        <v>13</v>
      </c>
      <c r="B77" s="73" t="s">
        <v>101</v>
      </c>
      <c r="C77" s="73" t="s">
        <v>40</v>
      </c>
      <c r="D77" s="73" t="s">
        <v>381</v>
      </c>
      <c r="E77" s="371">
        <f>E83*1.9</f>
        <v>0.14250000000000002</v>
      </c>
      <c r="F77" s="367">
        <f t="shared" ref="F77" si="76">E77</f>
        <v>0.14250000000000002</v>
      </c>
      <c r="G77" s="160" t="s">
        <v>559</v>
      </c>
    </row>
    <row r="78" spans="1:7" ht="55.2" x14ac:dyDescent="0.25">
      <c r="A78" s="70" t="s">
        <v>13</v>
      </c>
      <c r="B78" s="73" t="s">
        <v>101</v>
      </c>
      <c r="C78" s="73" t="s">
        <v>41</v>
      </c>
      <c r="D78" s="73" t="s">
        <v>381</v>
      </c>
      <c r="E78" s="372">
        <f>E84*1.9</f>
        <v>0.19</v>
      </c>
      <c r="F78" s="367">
        <f t="shared" ref="F78" si="77">E78</f>
        <v>0.19</v>
      </c>
      <c r="G78" s="160" t="s">
        <v>560</v>
      </c>
    </row>
    <row r="79" spans="1:7" ht="41.4" x14ac:dyDescent="0.25">
      <c r="A79" s="70" t="s">
        <v>13</v>
      </c>
      <c r="B79" s="73" t="s">
        <v>101</v>
      </c>
      <c r="C79" s="73" t="s">
        <v>42</v>
      </c>
      <c r="D79" s="73" t="s">
        <v>381</v>
      </c>
      <c r="E79" s="371">
        <f>E83*1.9</f>
        <v>0.14250000000000002</v>
      </c>
      <c r="F79" s="367">
        <f t="shared" ref="F79" si="78">E79</f>
        <v>0.14250000000000002</v>
      </c>
      <c r="G79" s="160" t="s">
        <v>559</v>
      </c>
    </row>
    <row r="80" spans="1:7" ht="55.2" x14ac:dyDescent="0.25">
      <c r="A80" s="70" t="s">
        <v>13</v>
      </c>
      <c r="B80" s="73" t="s">
        <v>101</v>
      </c>
      <c r="C80" s="73" t="s">
        <v>43</v>
      </c>
      <c r="D80" s="73" t="s">
        <v>381</v>
      </c>
      <c r="E80" s="372">
        <f>E86*1.9</f>
        <v>0.19</v>
      </c>
      <c r="F80" s="367">
        <f t="shared" ref="F80" si="79">E80</f>
        <v>0.19</v>
      </c>
      <c r="G80" s="160" t="s">
        <v>560</v>
      </c>
    </row>
    <row r="81" spans="1:7" ht="55.2" x14ac:dyDescent="0.25">
      <c r="A81" s="70" t="s">
        <v>13</v>
      </c>
      <c r="B81" s="73" t="s">
        <v>101</v>
      </c>
      <c r="C81" s="73" t="s">
        <v>44</v>
      </c>
      <c r="D81" s="73" t="s">
        <v>381</v>
      </c>
      <c r="E81" s="372">
        <f>E87*1.9</f>
        <v>9.5000000000000001E-2</v>
      </c>
      <c r="F81" s="367">
        <f t="shared" ref="F81" si="80">E81</f>
        <v>9.5000000000000001E-2</v>
      </c>
      <c r="G81" s="160" t="s">
        <v>560</v>
      </c>
    </row>
    <row r="82" spans="1:7" ht="55.2" x14ac:dyDescent="0.25">
      <c r="A82" s="70" t="s">
        <v>13</v>
      </c>
      <c r="B82" s="73" t="s">
        <v>101</v>
      </c>
      <c r="C82" s="73" t="s">
        <v>45</v>
      </c>
      <c r="D82" s="73" t="s">
        <v>381</v>
      </c>
      <c r="E82" s="373">
        <f>E88*1.9</f>
        <v>0.19</v>
      </c>
      <c r="F82" s="367">
        <f t="shared" ref="F82" si="81">E82</f>
        <v>0.19</v>
      </c>
      <c r="G82" s="160" t="s">
        <v>561</v>
      </c>
    </row>
    <row r="83" spans="1:7" ht="31.5" customHeight="1" x14ac:dyDescent="0.25">
      <c r="A83" s="70" t="s">
        <v>13</v>
      </c>
      <c r="B83" s="73" t="s">
        <v>102</v>
      </c>
      <c r="C83" s="73" t="s">
        <v>40</v>
      </c>
      <c r="D83" s="73" t="s">
        <v>381</v>
      </c>
      <c r="E83" s="371">
        <v>7.5000000000000011E-2</v>
      </c>
      <c r="F83" s="367">
        <f t="shared" ref="F83" si="82">E83</f>
        <v>7.5000000000000011E-2</v>
      </c>
      <c r="G83" s="160" t="s">
        <v>372</v>
      </c>
    </row>
    <row r="84" spans="1:7" x14ac:dyDescent="0.25">
      <c r="A84" s="70" t="s">
        <v>13</v>
      </c>
      <c r="B84" s="73" t="s">
        <v>102</v>
      </c>
      <c r="C84" s="73" t="s">
        <v>41</v>
      </c>
      <c r="D84" s="73" t="s">
        <v>381</v>
      </c>
      <c r="E84" s="372">
        <v>0.1</v>
      </c>
      <c r="F84" s="367">
        <f t="shared" ref="F84" si="83">E84</f>
        <v>0.1</v>
      </c>
      <c r="G84" s="160" t="s">
        <v>562</v>
      </c>
    </row>
    <row r="85" spans="1:7" x14ac:dyDescent="0.25">
      <c r="A85" s="70" t="s">
        <v>13</v>
      </c>
      <c r="B85" s="73" t="s">
        <v>102</v>
      </c>
      <c r="C85" s="73" t="s">
        <v>42</v>
      </c>
      <c r="D85" s="73" t="s">
        <v>381</v>
      </c>
      <c r="E85" s="371">
        <f>AVERAGE(5%,10%)</f>
        <v>7.5000000000000011E-2</v>
      </c>
      <c r="F85" s="367">
        <f t="shared" ref="F85" si="84">E85</f>
        <v>7.5000000000000011E-2</v>
      </c>
      <c r="G85" s="160" t="s">
        <v>372</v>
      </c>
    </row>
    <row r="86" spans="1:7" x14ac:dyDescent="0.25">
      <c r="A86" s="70" t="s">
        <v>13</v>
      </c>
      <c r="B86" s="73" t="s">
        <v>102</v>
      </c>
      <c r="C86" s="73" t="s">
        <v>43</v>
      </c>
      <c r="D86" s="73" t="s">
        <v>381</v>
      </c>
      <c r="E86" s="372">
        <v>0.1</v>
      </c>
      <c r="F86" s="367">
        <f t="shared" ref="F86" si="85">E86</f>
        <v>0.1</v>
      </c>
      <c r="G86" s="160" t="s">
        <v>562</v>
      </c>
    </row>
    <row r="87" spans="1:7" ht="41.4" x14ac:dyDescent="0.25">
      <c r="A87" s="70" t="s">
        <v>13</v>
      </c>
      <c r="B87" s="73" t="s">
        <v>102</v>
      </c>
      <c r="C87" s="73" t="s">
        <v>44</v>
      </c>
      <c r="D87" s="73" t="s">
        <v>381</v>
      </c>
      <c r="E87" s="372">
        <f>10%/2</f>
        <v>0.05</v>
      </c>
      <c r="F87" s="367">
        <f t="shared" ref="F87" si="86">E87</f>
        <v>0.05</v>
      </c>
      <c r="G87" s="160" t="s">
        <v>563</v>
      </c>
    </row>
    <row r="88" spans="1:7" ht="27" customHeight="1" x14ac:dyDescent="0.25">
      <c r="A88" s="70" t="s">
        <v>13</v>
      </c>
      <c r="B88" s="73" t="s">
        <v>102</v>
      </c>
      <c r="C88" s="73" t="s">
        <v>45</v>
      </c>
      <c r="D88" s="73" t="s">
        <v>381</v>
      </c>
      <c r="E88" s="373">
        <v>0.1</v>
      </c>
      <c r="F88" s="367">
        <f t="shared" ref="F88" si="87">E88</f>
        <v>0.1</v>
      </c>
      <c r="G88" s="160" t="s">
        <v>372</v>
      </c>
    </row>
    <row r="89" spans="1:7" x14ac:dyDescent="0.25">
      <c r="A89" s="70" t="s">
        <v>13</v>
      </c>
      <c r="B89" s="73" t="s">
        <v>55</v>
      </c>
      <c r="C89" s="73" t="s">
        <v>46</v>
      </c>
      <c r="D89" s="73" t="s">
        <v>381</v>
      </c>
      <c r="E89" s="374">
        <v>0.99</v>
      </c>
      <c r="F89" s="367">
        <f t="shared" ref="F89" si="88">E89</f>
        <v>0.99</v>
      </c>
      <c r="G89" s="174" t="s">
        <v>373</v>
      </c>
    </row>
    <row r="90" spans="1:7" ht="41.4" x14ac:dyDescent="0.25">
      <c r="A90" s="70" t="s">
        <v>13</v>
      </c>
      <c r="B90" s="73" t="s">
        <v>54</v>
      </c>
      <c r="C90" s="73" t="s">
        <v>45</v>
      </c>
      <c r="D90" s="73" t="s">
        <v>382</v>
      </c>
      <c r="E90" s="133">
        <v>0.85</v>
      </c>
      <c r="F90" s="367">
        <f t="shared" ref="F90" si="89">E90</f>
        <v>0.85</v>
      </c>
      <c r="G90" s="174" t="s">
        <v>364</v>
      </c>
    </row>
    <row r="91" spans="1:7" ht="27.6" x14ac:dyDescent="0.25">
      <c r="A91" s="70" t="s">
        <v>13</v>
      </c>
      <c r="B91" s="70" t="s">
        <v>57</v>
      </c>
      <c r="C91" s="70" t="s">
        <v>45</v>
      </c>
      <c r="D91" s="73" t="s">
        <v>381</v>
      </c>
      <c r="E91" s="108">
        <v>0.02</v>
      </c>
      <c r="F91" s="367">
        <f t="shared" ref="F91" si="90">E91</f>
        <v>0.02</v>
      </c>
      <c r="G91" s="174" t="s">
        <v>374</v>
      </c>
    </row>
    <row r="92" spans="1:7" x14ac:dyDescent="0.25">
      <c r="A92" s="70" t="s">
        <v>13</v>
      </c>
      <c r="B92" s="70" t="s">
        <v>56</v>
      </c>
      <c r="C92" s="70" t="s">
        <v>45</v>
      </c>
      <c r="D92" s="73" t="s">
        <v>381</v>
      </c>
      <c r="E92" s="375">
        <v>2.5000000000000001E-2</v>
      </c>
      <c r="F92" s="367">
        <f t="shared" ref="F92" si="91">E92</f>
        <v>2.5000000000000001E-2</v>
      </c>
      <c r="G92" s="160" t="s">
        <v>372</v>
      </c>
    </row>
    <row r="93" spans="1:7" x14ac:dyDescent="0.25">
      <c r="A93" s="70" t="s">
        <v>13</v>
      </c>
      <c r="B93" s="70" t="s">
        <v>56</v>
      </c>
      <c r="C93" s="70" t="s">
        <v>40</v>
      </c>
      <c r="D93" s="73" t="s">
        <v>381</v>
      </c>
      <c r="E93" s="375">
        <f>AVERAGE(1%,2.5%)</f>
        <v>1.7500000000000002E-2</v>
      </c>
      <c r="F93" s="367">
        <f t="shared" ref="F93" si="92">E93</f>
        <v>1.7500000000000002E-2</v>
      </c>
      <c r="G93" s="160" t="s">
        <v>372</v>
      </c>
    </row>
    <row r="94" spans="1:7" x14ac:dyDescent="0.25">
      <c r="A94" s="70" t="s">
        <v>13</v>
      </c>
      <c r="B94" s="70" t="s">
        <v>56</v>
      </c>
      <c r="C94" s="70" t="s">
        <v>42</v>
      </c>
      <c r="D94" s="73" t="s">
        <v>381</v>
      </c>
      <c r="E94" s="375">
        <f>AVERAGE(1%,2.5%)</f>
        <v>1.7500000000000002E-2</v>
      </c>
      <c r="F94" s="367">
        <f t="shared" ref="F94" si="93">E94</f>
        <v>1.7500000000000002E-2</v>
      </c>
      <c r="G94" s="160" t="s">
        <v>372</v>
      </c>
    </row>
    <row r="95" spans="1:7" x14ac:dyDescent="0.25">
      <c r="G95" s="98"/>
    </row>
    <row r="96" spans="1:7" ht="14.4" x14ac:dyDescent="0.25">
      <c r="E96" s="134"/>
    </row>
  </sheetData>
  <autoFilter ref="A3:O97" xr:uid="{3DCA38F8-12F0-4D79-8975-B0DF470490FE}"/>
  <mergeCells count="4">
    <mergeCell ref="G10:G11"/>
    <mergeCell ref="G6:G7"/>
    <mergeCell ref="G12:G15"/>
    <mergeCell ref="G18:G29"/>
  </mergeCells>
  <pageMargins left="0.7" right="0.7" top="0.75" bottom="0.75" header="0.3" footer="0.3"/>
  <pageSetup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theme="6" tint="0.59999389629810485"/>
  </sheetPr>
  <dimension ref="A1:D97"/>
  <sheetViews>
    <sheetView workbookViewId="0">
      <selection activeCell="D4" sqref="D4:D34"/>
    </sheetView>
  </sheetViews>
  <sheetFormatPr defaultColWidth="9.09765625" defaultRowHeight="13.8" outlineLevelRow="1" x14ac:dyDescent="0.25"/>
  <cols>
    <col min="1" max="1" width="45.69921875" style="2" customWidth="1"/>
    <col min="2" max="2" width="28.5" style="2" customWidth="1"/>
    <col min="3" max="3" width="17.69921875" customWidth="1"/>
    <col min="4" max="4" width="108.59765625" style="175" customWidth="1"/>
    <col min="5" max="5" width="11.19921875" customWidth="1"/>
    <col min="6" max="8" width="10.296875" customWidth="1"/>
  </cols>
  <sheetData>
    <row r="1" spans="1:4" ht="50.1" customHeight="1" outlineLevel="1" x14ac:dyDescent="0.25">
      <c r="A1" s="7"/>
      <c r="B1" s="7"/>
    </row>
    <row r="2" spans="1:4" ht="17.25" customHeight="1" outlineLevel="1" x14ac:dyDescent="0.25">
      <c r="A2" s="376" t="s">
        <v>7</v>
      </c>
      <c r="B2" s="316" t="s">
        <v>349</v>
      </c>
      <c r="C2" s="215"/>
      <c r="D2" s="286"/>
    </row>
    <row r="3" spans="1:4" s="2" customFormat="1" ht="27.6" x14ac:dyDescent="0.25">
      <c r="A3" s="220" t="s">
        <v>265</v>
      </c>
      <c r="B3" s="220" t="s">
        <v>266</v>
      </c>
      <c r="C3" s="220" t="s">
        <v>375</v>
      </c>
      <c r="D3" s="378" t="s">
        <v>26</v>
      </c>
    </row>
    <row r="4" spans="1:4" x14ac:dyDescent="0.25">
      <c r="A4" s="216" t="s">
        <v>80</v>
      </c>
      <c r="B4" s="216" t="s">
        <v>45</v>
      </c>
      <c r="C4" s="377">
        <v>0.05</v>
      </c>
      <c r="D4" s="447" t="s">
        <v>564</v>
      </c>
    </row>
    <row r="5" spans="1:4" x14ac:dyDescent="0.25">
      <c r="A5" s="216" t="s">
        <v>81</v>
      </c>
      <c r="B5" s="216" t="s">
        <v>45</v>
      </c>
      <c r="C5" s="377">
        <v>0.05</v>
      </c>
      <c r="D5" s="448"/>
    </row>
    <row r="6" spans="1:4" x14ac:dyDescent="0.25">
      <c r="A6" s="216" t="s">
        <v>82</v>
      </c>
      <c r="B6" s="216" t="s">
        <v>45</v>
      </c>
      <c r="C6" s="285">
        <v>0.25</v>
      </c>
      <c r="D6" s="448"/>
    </row>
    <row r="7" spans="1:4" x14ac:dyDescent="0.25">
      <c r="A7" s="216" t="s">
        <v>83</v>
      </c>
      <c r="B7" s="216" t="s">
        <v>45</v>
      </c>
      <c r="C7" s="285">
        <v>0.25</v>
      </c>
      <c r="D7" s="448"/>
    </row>
    <row r="8" spans="1:4" x14ac:dyDescent="0.25">
      <c r="A8" s="216" t="s">
        <v>84</v>
      </c>
      <c r="B8" s="216" t="s">
        <v>45</v>
      </c>
      <c r="C8" s="285">
        <v>0.25</v>
      </c>
      <c r="D8" s="448"/>
    </row>
    <row r="9" spans="1:4" x14ac:dyDescent="0.25">
      <c r="A9" s="216" t="s">
        <v>85</v>
      </c>
      <c r="B9" s="216" t="s">
        <v>45</v>
      </c>
      <c r="C9" s="285">
        <v>0.25</v>
      </c>
      <c r="D9" s="448"/>
    </row>
    <row r="10" spans="1:4" x14ac:dyDescent="0.25">
      <c r="A10" s="216" t="s">
        <v>86</v>
      </c>
      <c r="B10" s="216" t="s">
        <v>45</v>
      </c>
      <c r="C10" s="285">
        <v>0.25</v>
      </c>
      <c r="D10" s="448"/>
    </row>
    <row r="11" spans="1:4" x14ac:dyDescent="0.25">
      <c r="A11" s="216" t="s">
        <v>87</v>
      </c>
      <c r="B11" s="216" t="s">
        <v>45</v>
      </c>
      <c r="C11" s="285">
        <v>0.25</v>
      </c>
      <c r="D11" s="448"/>
    </row>
    <row r="12" spans="1:4" x14ac:dyDescent="0.25">
      <c r="A12" s="216" t="s">
        <v>80</v>
      </c>
      <c r="B12" s="216" t="s">
        <v>40</v>
      </c>
      <c r="C12" s="377">
        <v>0.05</v>
      </c>
      <c r="D12" s="448"/>
    </row>
    <row r="13" spans="1:4" x14ac:dyDescent="0.25">
      <c r="A13" s="216" t="s">
        <v>80</v>
      </c>
      <c r="B13" s="216" t="s">
        <v>42</v>
      </c>
      <c r="C13" s="377">
        <v>0.05</v>
      </c>
      <c r="D13" s="448"/>
    </row>
    <row r="14" spans="1:4" x14ac:dyDescent="0.25">
      <c r="A14" s="216" t="s">
        <v>81</v>
      </c>
      <c r="B14" s="216" t="s">
        <v>40</v>
      </c>
      <c r="C14" s="377">
        <v>0.05</v>
      </c>
      <c r="D14" s="448"/>
    </row>
    <row r="15" spans="1:4" x14ac:dyDescent="0.25">
      <c r="A15" s="216" t="s">
        <v>81</v>
      </c>
      <c r="B15" s="216" t="s">
        <v>42</v>
      </c>
      <c r="C15" s="377">
        <v>0.05</v>
      </c>
      <c r="D15" s="448"/>
    </row>
    <row r="16" spans="1:4" x14ac:dyDescent="0.25">
      <c r="A16" s="216" t="s">
        <v>88</v>
      </c>
      <c r="B16" s="216" t="s">
        <v>40</v>
      </c>
      <c r="C16" s="285">
        <v>0.25</v>
      </c>
      <c r="D16" s="448"/>
    </row>
    <row r="17" spans="1:4" x14ac:dyDescent="0.25">
      <c r="A17" s="216" t="s">
        <v>88</v>
      </c>
      <c r="B17" s="216" t="s">
        <v>42</v>
      </c>
      <c r="C17" s="285">
        <v>0.25</v>
      </c>
      <c r="D17" s="448"/>
    </row>
    <row r="18" spans="1:4" x14ac:dyDescent="0.25">
      <c r="A18" s="216" t="s">
        <v>82</v>
      </c>
      <c r="B18" s="216" t="s">
        <v>40</v>
      </c>
      <c r="C18" s="285">
        <f>C6</f>
        <v>0.25</v>
      </c>
      <c r="D18" s="448"/>
    </row>
    <row r="19" spans="1:4" x14ac:dyDescent="0.25">
      <c r="A19" s="216" t="s">
        <v>83</v>
      </c>
      <c r="B19" s="216" t="s">
        <v>40</v>
      </c>
      <c r="C19" s="285">
        <f t="shared" ref="C19:C29" si="0">C7</f>
        <v>0.25</v>
      </c>
      <c r="D19" s="448"/>
    </row>
    <row r="20" spans="1:4" x14ac:dyDescent="0.25">
      <c r="A20" s="216" t="s">
        <v>84</v>
      </c>
      <c r="B20" s="216" t="s">
        <v>40</v>
      </c>
      <c r="C20" s="285">
        <f t="shared" si="0"/>
        <v>0.25</v>
      </c>
      <c r="D20" s="448"/>
    </row>
    <row r="21" spans="1:4" x14ac:dyDescent="0.25">
      <c r="A21" s="216" t="s">
        <v>85</v>
      </c>
      <c r="B21" s="216" t="s">
        <v>40</v>
      </c>
      <c r="C21" s="285">
        <f t="shared" si="0"/>
        <v>0.25</v>
      </c>
      <c r="D21" s="448"/>
    </row>
    <row r="22" spans="1:4" x14ac:dyDescent="0.25">
      <c r="A22" s="216" t="s">
        <v>86</v>
      </c>
      <c r="B22" s="216" t="s">
        <v>40</v>
      </c>
      <c r="C22" s="285">
        <f t="shared" si="0"/>
        <v>0.25</v>
      </c>
      <c r="D22" s="448"/>
    </row>
    <row r="23" spans="1:4" x14ac:dyDescent="0.25">
      <c r="A23" s="216" t="s">
        <v>87</v>
      </c>
      <c r="B23" s="216" t="s">
        <v>40</v>
      </c>
      <c r="C23" s="285">
        <f t="shared" si="0"/>
        <v>0.25</v>
      </c>
      <c r="D23" s="448"/>
    </row>
    <row r="24" spans="1:4" x14ac:dyDescent="0.25">
      <c r="A24" s="216" t="s">
        <v>82</v>
      </c>
      <c r="B24" s="216" t="s">
        <v>42</v>
      </c>
      <c r="C24" s="285">
        <f t="shared" si="0"/>
        <v>0.05</v>
      </c>
      <c r="D24" s="448"/>
    </row>
    <row r="25" spans="1:4" x14ac:dyDescent="0.25">
      <c r="A25" s="216" t="s">
        <v>83</v>
      </c>
      <c r="B25" s="216" t="s">
        <v>42</v>
      </c>
      <c r="C25" s="285">
        <f t="shared" si="0"/>
        <v>0.05</v>
      </c>
      <c r="D25" s="448"/>
    </row>
    <row r="26" spans="1:4" x14ac:dyDescent="0.25">
      <c r="A26" s="216" t="s">
        <v>84</v>
      </c>
      <c r="B26" s="216" t="s">
        <v>42</v>
      </c>
      <c r="C26" s="285">
        <f t="shared" si="0"/>
        <v>0.05</v>
      </c>
      <c r="D26" s="448"/>
    </row>
    <row r="27" spans="1:4" x14ac:dyDescent="0.25">
      <c r="A27" s="216" t="s">
        <v>85</v>
      </c>
      <c r="B27" s="216" t="s">
        <v>42</v>
      </c>
      <c r="C27" s="285">
        <f t="shared" si="0"/>
        <v>0.05</v>
      </c>
      <c r="D27" s="448"/>
    </row>
    <row r="28" spans="1:4" x14ac:dyDescent="0.25">
      <c r="A28" s="216" t="s">
        <v>86</v>
      </c>
      <c r="B28" s="216" t="s">
        <v>42</v>
      </c>
      <c r="C28" s="285">
        <f t="shared" si="0"/>
        <v>0.25</v>
      </c>
      <c r="D28" s="448"/>
    </row>
    <row r="29" spans="1:4" x14ac:dyDescent="0.25">
      <c r="A29" s="216" t="s">
        <v>87</v>
      </c>
      <c r="B29" s="216" t="s">
        <v>42</v>
      </c>
      <c r="C29" s="285">
        <f t="shared" si="0"/>
        <v>0.25</v>
      </c>
      <c r="D29" s="448"/>
    </row>
    <row r="30" spans="1:4" x14ac:dyDescent="0.25">
      <c r="A30" s="216" t="s">
        <v>54</v>
      </c>
      <c r="B30" s="216" t="s">
        <v>40</v>
      </c>
      <c r="C30" s="377">
        <v>0.37</v>
      </c>
      <c r="D30" s="448"/>
    </row>
    <row r="31" spans="1:4" x14ac:dyDescent="0.25">
      <c r="A31" s="216" t="s">
        <v>54</v>
      </c>
      <c r="B31" s="216" t="s">
        <v>41</v>
      </c>
      <c r="C31" s="377">
        <v>0.37</v>
      </c>
      <c r="D31" s="448"/>
    </row>
    <row r="32" spans="1:4" x14ac:dyDescent="0.25">
      <c r="A32" s="216" t="s">
        <v>54</v>
      </c>
      <c r="B32" s="216" t="s">
        <v>42</v>
      </c>
      <c r="C32" s="377">
        <v>0.37</v>
      </c>
      <c r="D32" s="448"/>
    </row>
    <row r="33" spans="1:4" x14ac:dyDescent="0.25">
      <c r="A33" s="216" t="s">
        <v>54</v>
      </c>
      <c r="B33" s="216" t="s">
        <v>43</v>
      </c>
      <c r="C33" s="377">
        <v>0.37</v>
      </c>
      <c r="D33" s="448"/>
    </row>
    <row r="34" spans="1:4" x14ac:dyDescent="0.25">
      <c r="A34" s="216" t="s">
        <v>54</v>
      </c>
      <c r="B34" s="216" t="s">
        <v>44</v>
      </c>
      <c r="C34" s="377">
        <v>0.37</v>
      </c>
      <c r="D34" s="449"/>
    </row>
    <row r="35" spans="1:4" x14ac:dyDescent="0.25">
      <c r="A35" s="216" t="s">
        <v>89</v>
      </c>
      <c r="B35" s="216" t="s">
        <v>41</v>
      </c>
      <c r="C35" s="377">
        <v>0</v>
      </c>
      <c r="D35" s="450" t="s">
        <v>376</v>
      </c>
    </row>
    <row r="36" spans="1:4" ht="13.5" customHeight="1" x14ac:dyDescent="0.25">
      <c r="A36" s="216" t="s">
        <v>90</v>
      </c>
      <c r="B36" s="216" t="s">
        <v>41</v>
      </c>
      <c r="C36" s="377">
        <v>0</v>
      </c>
      <c r="D36" s="451"/>
    </row>
    <row r="37" spans="1:4" x14ac:dyDescent="0.25">
      <c r="A37" s="216" t="s">
        <v>91</v>
      </c>
      <c r="B37" s="216" t="s">
        <v>41</v>
      </c>
      <c r="C37" s="377">
        <v>0</v>
      </c>
      <c r="D37" s="451"/>
    </row>
    <row r="38" spans="1:4" x14ac:dyDescent="0.25">
      <c r="A38" s="216" t="s">
        <v>92</v>
      </c>
      <c r="B38" s="216" t="s">
        <v>41</v>
      </c>
      <c r="C38" s="377">
        <v>0</v>
      </c>
      <c r="D38" s="451"/>
    </row>
    <row r="39" spans="1:4" x14ac:dyDescent="0.25">
      <c r="A39" s="216" t="s">
        <v>93</v>
      </c>
      <c r="B39" s="216" t="s">
        <v>41</v>
      </c>
      <c r="C39" s="377">
        <v>0</v>
      </c>
      <c r="D39" s="451"/>
    </row>
    <row r="40" spans="1:4" x14ac:dyDescent="0.25">
      <c r="A40" s="216" t="s">
        <v>147</v>
      </c>
      <c r="B40" s="216" t="s">
        <v>41</v>
      </c>
      <c r="C40" s="377">
        <v>0</v>
      </c>
      <c r="D40" s="451"/>
    </row>
    <row r="41" spans="1:4" x14ac:dyDescent="0.25">
      <c r="A41" s="216" t="s">
        <v>94</v>
      </c>
      <c r="B41" s="216" t="s">
        <v>41</v>
      </c>
      <c r="C41" s="377">
        <v>0</v>
      </c>
      <c r="D41" s="451"/>
    </row>
    <row r="42" spans="1:4" x14ac:dyDescent="0.25">
      <c r="A42" s="216" t="s">
        <v>89</v>
      </c>
      <c r="B42" s="216" t="s">
        <v>43</v>
      </c>
      <c r="C42" s="377">
        <v>0</v>
      </c>
      <c r="D42" s="451"/>
    </row>
    <row r="43" spans="1:4" x14ac:dyDescent="0.25">
      <c r="A43" s="216" t="s">
        <v>90</v>
      </c>
      <c r="B43" s="216" t="s">
        <v>43</v>
      </c>
      <c r="C43" s="377">
        <v>0</v>
      </c>
      <c r="D43" s="451"/>
    </row>
    <row r="44" spans="1:4" x14ac:dyDescent="0.25">
      <c r="A44" s="216" t="s">
        <v>91</v>
      </c>
      <c r="B44" s="216" t="s">
        <v>43</v>
      </c>
      <c r="C44" s="377">
        <v>0</v>
      </c>
      <c r="D44" s="451"/>
    </row>
    <row r="45" spans="1:4" x14ac:dyDescent="0.25">
      <c r="A45" s="216" t="s">
        <v>92</v>
      </c>
      <c r="B45" s="216" t="s">
        <v>43</v>
      </c>
      <c r="C45" s="377">
        <v>0</v>
      </c>
      <c r="D45" s="451"/>
    </row>
    <row r="46" spans="1:4" x14ac:dyDescent="0.25">
      <c r="A46" s="216" t="s">
        <v>93</v>
      </c>
      <c r="B46" s="216" t="s">
        <v>43</v>
      </c>
      <c r="C46" s="377">
        <v>0</v>
      </c>
      <c r="D46" s="451"/>
    </row>
    <row r="47" spans="1:4" x14ac:dyDescent="0.25">
      <c r="A47" s="216" t="s">
        <v>147</v>
      </c>
      <c r="B47" s="216" t="s">
        <v>43</v>
      </c>
      <c r="C47" s="377">
        <v>0</v>
      </c>
      <c r="D47" s="451"/>
    </row>
    <row r="48" spans="1:4" x14ac:dyDescent="0.25">
      <c r="A48" s="216" t="s">
        <v>94</v>
      </c>
      <c r="B48" s="216" t="s">
        <v>43</v>
      </c>
      <c r="C48" s="377">
        <v>0</v>
      </c>
      <c r="D48" s="451"/>
    </row>
    <row r="49" spans="1:4" x14ac:dyDescent="0.25">
      <c r="A49" s="216" t="s">
        <v>89</v>
      </c>
      <c r="B49" s="216" t="s">
        <v>44</v>
      </c>
      <c r="C49" s="377">
        <v>0</v>
      </c>
      <c r="D49" s="451"/>
    </row>
    <row r="50" spans="1:4" x14ac:dyDescent="0.25">
      <c r="A50" s="216" t="s">
        <v>90</v>
      </c>
      <c r="B50" s="216" t="s">
        <v>44</v>
      </c>
      <c r="C50" s="377">
        <v>0</v>
      </c>
      <c r="D50" s="451"/>
    </row>
    <row r="51" spans="1:4" x14ac:dyDescent="0.25">
      <c r="A51" s="216" t="s">
        <v>91</v>
      </c>
      <c r="B51" s="216" t="s">
        <v>44</v>
      </c>
      <c r="C51" s="377">
        <v>0</v>
      </c>
      <c r="D51" s="451"/>
    </row>
    <row r="52" spans="1:4" x14ac:dyDescent="0.25">
      <c r="A52" s="216" t="s">
        <v>92</v>
      </c>
      <c r="B52" s="216" t="s">
        <v>44</v>
      </c>
      <c r="C52" s="377">
        <v>0</v>
      </c>
      <c r="D52" s="451"/>
    </row>
    <row r="53" spans="1:4" x14ac:dyDescent="0.25">
      <c r="A53" s="216" t="s">
        <v>93</v>
      </c>
      <c r="B53" s="216" t="s">
        <v>44</v>
      </c>
      <c r="C53" s="377">
        <v>0</v>
      </c>
      <c r="D53" s="451"/>
    </row>
    <row r="54" spans="1:4" x14ac:dyDescent="0.25">
      <c r="A54" s="216" t="s">
        <v>147</v>
      </c>
      <c r="B54" s="216" t="s">
        <v>44</v>
      </c>
      <c r="C54" s="377">
        <v>0</v>
      </c>
      <c r="D54" s="451"/>
    </row>
    <row r="55" spans="1:4" x14ac:dyDescent="0.25">
      <c r="A55" s="216" t="s">
        <v>94</v>
      </c>
      <c r="B55" s="216" t="s">
        <v>44</v>
      </c>
      <c r="C55" s="377">
        <v>0</v>
      </c>
      <c r="D55" s="451"/>
    </row>
    <row r="56" spans="1:4" x14ac:dyDescent="0.25">
      <c r="A56" s="216" t="s">
        <v>95</v>
      </c>
      <c r="B56" s="216" t="s">
        <v>41</v>
      </c>
      <c r="C56" s="377">
        <v>0</v>
      </c>
      <c r="D56" s="452"/>
    </row>
    <row r="57" spans="1:4" x14ac:dyDescent="0.25">
      <c r="A57" s="216" t="s">
        <v>96</v>
      </c>
      <c r="B57" s="216" t="s">
        <v>41</v>
      </c>
      <c r="C57" s="377">
        <v>0</v>
      </c>
      <c r="D57" s="452"/>
    </row>
    <row r="58" spans="1:4" x14ac:dyDescent="0.25">
      <c r="A58" s="216" t="s">
        <v>97</v>
      </c>
      <c r="B58" s="216" t="s">
        <v>41</v>
      </c>
      <c r="C58" s="377">
        <v>0</v>
      </c>
      <c r="D58" s="452"/>
    </row>
    <row r="59" spans="1:4" x14ac:dyDescent="0.25">
      <c r="A59" s="216" t="s">
        <v>98</v>
      </c>
      <c r="B59" s="216" t="s">
        <v>41</v>
      </c>
      <c r="C59" s="377">
        <v>0</v>
      </c>
      <c r="D59" s="452"/>
    </row>
    <row r="60" spans="1:4" x14ac:dyDescent="0.25">
      <c r="A60" s="216" t="s">
        <v>99</v>
      </c>
      <c r="B60" s="216" t="s">
        <v>41</v>
      </c>
      <c r="C60" s="377">
        <v>0</v>
      </c>
      <c r="D60" s="452"/>
    </row>
    <row r="61" spans="1:4" x14ac:dyDescent="0.25">
      <c r="A61" s="216" t="s">
        <v>129</v>
      </c>
      <c r="B61" s="216" t="s">
        <v>41</v>
      </c>
      <c r="C61" s="377">
        <v>0</v>
      </c>
      <c r="D61" s="452"/>
    </row>
    <row r="62" spans="1:4" x14ac:dyDescent="0.25">
      <c r="A62" s="216" t="s">
        <v>100</v>
      </c>
      <c r="B62" s="216" t="s">
        <v>41</v>
      </c>
      <c r="C62" s="377">
        <v>0</v>
      </c>
      <c r="D62" s="452"/>
    </row>
    <row r="63" spans="1:4" x14ac:dyDescent="0.25">
      <c r="A63" s="216" t="s">
        <v>95</v>
      </c>
      <c r="B63" s="216" t="s">
        <v>43</v>
      </c>
      <c r="C63" s="377">
        <v>0</v>
      </c>
      <c r="D63" s="452"/>
    </row>
    <row r="64" spans="1:4" x14ac:dyDescent="0.25">
      <c r="A64" s="216" t="s">
        <v>96</v>
      </c>
      <c r="B64" s="216" t="s">
        <v>43</v>
      </c>
      <c r="C64" s="377">
        <v>0</v>
      </c>
      <c r="D64" s="452"/>
    </row>
    <row r="65" spans="1:4" x14ac:dyDescent="0.25">
      <c r="A65" s="216" t="s">
        <v>97</v>
      </c>
      <c r="B65" s="216" t="s">
        <v>43</v>
      </c>
      <c r="C65" s="377">
        <v>0</v>
      </c>
      <c r="D65" s="452"/>
    </row>
    <row r="66" spans="1:4" x14ac:dyDescent="0.25">
      <c r="A66" s="216" t="s">
        <v>98</v>
      </c>
      <c r="B66" s="216" t="s">
        <v>43</v>
      </c>
      <c r="C66" s="377">
        <v>0</v>
      </c>
      <c r="D66" s="452"/>
    </row>
    <row r="67" spans="1:4" x14ac:dyDescent="0.25">
      <c r="A67" s="216" t="s">
        <v>99</v>
      </c>
      <c r="B67" s="216" t="s">
        <v>43</v>
      </c>
      <c r="C67" s="377">
        <v>0</v>
      </c>
      <c r="D67" s="452"/>
    </row>
    <row r="68" spans="1:4" x14ac:dyDescent="0.25">
      <c r="A68" s="216" t="s">
        <v>129</v>
      </c>
      <c r="B68" s="216" t="s">
        <v>43</v>
      </c>
      <c r="C68" s="377">
        <v>0</v>
      </c>
      <c r="D68" s="452"/>
    </row>
    <row r="69" spans="1:4" x14ac:dyDescent="0.25">
      <c r="A69" s="216" t="s">
        <v>100</v>
      </c>
      <c r="B69" s="216" t="s">
        <v>43</v>
      </c>
      <c r="C69" s="377">
        <v>0</v>
      </c>
      <c r="D69" s="452"/>
    </row>
    <row r="70" spans="1:4" x14ac:dyDescent="0.25">
      <c r="A70" s="216" t="s">
        <v>95</v>
      </c>
      <c r="B70" s="216" t="s">
        <v>44</v>
      </c>
      <c r="C70" s="377">
        <v>0</v>
      </c>
      <c r="D70" s="452"/>
    </row>
    <row r="71" spans="1:4" x14ac:dyDescent="0.25">
      <c r="A71" s="216" t="s">
        <v>96</v>
      </c>
      <c r="B71" s="216" t="s">
        <v>44</v>
      </c>
      <c r="C71" s="377">
        <v>0</v>
      </c>
      <c r="D71" s="452"/>
    </row>
    <row r="72" spans="1:4" x14ac:dyDescent="0.25">
      <c r="A72" s="216" t="s">
        <v>97</v>
      </c>
      <c r="B72" s="216" t="s">
        <v>44</v>
      </c>
      <c r="C72" s="377">
        <v>0</v>
      </c>
      <c r="D72" s="452"/>
    </row>
    <row r="73" spans="1:4" x14ac:dyDescent="0.25">
      <c r="A73" s="216" t="s">
        <v>98</v>
      </c>
      <c r="B73" s="216" t="s">
        <v>44</v>
      </c>
      <c r="C73" s="377">
        <v>0</v>
      </c>
      <c r="D73" s="452"/>
    </row>
    <row r="74" spans="1:4" x14ac:dyDescent="0.25">
      <c r="A74" s="216" t="s">
        <v>99</v>
      </c>
      <c r="B74" s="216" t="s">
        <v>44</v>
      </c>
      <c r="C74" s="377">
        <v>0</v>
      </c>
      <c r="D74" s="452"/>
    </row>
    <row r="75" spans="1:4" x14ac:dyDescent="0.25">
      <c r="A75" s="216" t="s">
        <v>129</v>
      </c>
      <c r="B75" s="216" t="s">
        <v>44</v>
      </c>
      <c r="C75" s="377">
        <v>0</v>
      </c>
      <c r="D75" s="452"/>
    </row>
    <row r="76" spans="1:4" x14ac:dyDescent="0.25">
      <c r="A76" s="216" t="s">
        <v>100</v>
      </c>
      <c r="B76" s="216" t="s">
        <v>44</v>
      </c>
      <c r="C76" s="377">
        <v>0</v>
      </c>
      <c r="D76" s="453"/>
    </row>
    <row r="77" spans="1:4" x14ac:dyDescent="0.25">
      <c r="A77" s="216" t="s">
        <v>101</v>
      </c>
      <c r="B77" s="216" t="s">
        <v>40</v>
      </c>
      <c r="C77" s="377">
        <v>0</v>
      </c>
      <c r="D77" s="450" t="s">
        <v>377</v>
      </c>
    </row>
    <row r="78" spans="1:4" x14ac:dyDescent="0.25">
      <c r="A78" s="216" t="s">
        <v>101</v>
      </c>
      <c r="B78" s="216" t="s">
        <v>41</v>
      </c>
      <c r="C78" s="377">
        <v>0</v>
      </c>
      <c r="D78" s="451"/>
    </row>
    <row r="79" spans="1:4" x14ac:dyDescent="0.25">
      <c r="A79" s="216" t="s">
        <v>101</v>
      </c>
      <c r="B79" s="216" t="s">
        <v>42</v>
      </c>
      <c r="C79" s="377">
        <v>0</v>
      </c>
      <c r="D79" s="451"/>
    </row>
    <row r="80" spans="1:4" x14ac:dyDescent="0.25">
      <c r="A80" s="216" t="s">
        <v>101</v>
      </c>
      <c r="B80" s="216" t="s">
        <v>43</v>
      </c>
      <c r="C80" s="377">
        <v>0</v>
      </c>
      <c r="D80" s="451"/>
    </row>
    <row r="81" spans="1:4" x14ac:dyDescent="0.25">
      <c r="A81" s="216" t="s">
        <v>101</v>
      </c>
      <c r="B81" s="216" t="s">
        <v>44</v>
      </c>
      <c r="C81" s="377">
        <v>0</v>
      </c>
      <c r="D81" s="451"/>
    </row>
    <row r="82" spans="1:4" x14ac:dyDescent="0.25">
      <c r="A82" s="216" t="s">
        <v>101</v>
      </c>
      <c r="B82" s="216" t="s">
        <v>45</v>
      </c>
      <c r="C82" s="377">
        <v>0</v>
      </c>
      <c r="D82" s="451"/>
    </row>
    <row r="83" spans="1:4" x14ac:dyDescent="0.25">
      <c r="A83" s="216" t="s">
        <v>102</v>
      </c>
      <c r="B83" s="216" t="s">
        <v>40</v>
      </c>
      <c r="C83" s="377">
        <v>0</v>
      </c>
      <c r="D83" s="451"/>
    </row>
    <row r="84" spans="1:4" x14ac:dyDescent="0.25">
      <c r="A84" s="216" t="s">
        <v>102</v>
      </c>
      <c r="B84" s="216" t="s">
        <v>41</v>
      </c>
      <c r="C84" s="377">
        <v>0</v>
      </c>
      <c r="D84" s="451"/>
    </row>
    <row r="85" spans="1:4" x14ac:dyDescent="0.25">
      <c r="A85" s="216" t="s">
        <v>102</v>
      </c>
      <c r="B85" s="216" t="s">
        <v>42</v>
      </c>
      <c r="C85" s="377">
        <v>0</v>
      </c>
      <c r="D85" s="451"/>
    </row>
    <row r="86" spans="1:4" x14ac:dyDescent="0.25">
      <c r="A86" s="216" t="s">
        <v>102</v>
      </c>
      <c r="B86" s="216" t="s">
        <v>43</v>
      </c>
      <c r="C86" s="377">
        <v>0</v>
      </c>
      <c r="D86" s="451"/>
    </row>
    <row r="87" spans="1:4" x14ac:dyDescent="0.25">
      <c r="A87" s="216" t="s">
        <v>102</v>
      </c>
      <c r="B87" s="216" t="s">
        <v>44</v>
      </c>
      <c r="C87" s="377">
        <v>0</v>
      </c>
      <c r="D87" s="451"/>
    </row>
    <row r="88" spans="1:4" x14ac:dyDescent="0.25">
      <c r="A88" s="216" t="s">
        <v>102</v>
      </c>
      <c r="B88" s="216" t="s">
        <v>45</v>
      </c>
      <c r="C88" s="377">
        <v>0</v>
      </c>
      <c r="D88" s="451"/>
    </row>
    <row r="89" spans="1:4" x14ac:dyDescent="0.25">
      <c r="A89" s="216" t="s">
        <v>56</v>
      </c>
      <c r="B89" s="216" t="s">
        <v>40</v>
      </c>
      <c r="C89" s="377">
        <v>0</v>
      </c>
      <c r="D89" s="452"/>
    </row>
    <row r="90" spans="1:4" x14ac:dyDescent="0.25">
      <c r="A90" s="216" t="s">
        <v>56</v>
      </c>
      <c r="B90" s="216" t="s">
        <v>41</v>
      </c>
      <c r="C90" s="377">
        <v>0</v>
      </c>
      <c r="D90" s="452"/>
    </row>
    <row r="91" spans="1:4" x14ac:dyDescent="0.25">
      <c r="A91" s="216" t="s">
        <v>56</v>
      </c>
      <c r="B91" s="216" t="s">
        <v>42</v>
      </c>
      <c r="C91" s="377">
        <v>0</v>
      </c>
      <c r="D91" s="452"/>
    </row>
    <row r="92" spans="1:4" x14ac:dyDescent="0.25">
      <c r="A92" s="216" t="s">
        <v>56</v>
      </c>
      <c r="B92" s="216" t="s">
        <v>43</v>
      </c>
      <c r="C92" s="377">
        <v>0</v>
      </c>
      <c r="D92" s="452"/>
    </row>
    <row r="93" spans="1:4" x14ac:dyDescent="0.25">
      <c r="A93" s="216" t="s">
        <v>56</v>
      </c>
      <c r="B93" s="216" t="s">
        <v>44</v>
      </c>
      <c r="C93" s="377">
        <v>0</v>
      </c>
      <c r="D93" s="452"/>
    </row>
    <row r="94" spans="1:4" x14ac:dyDescent="0.25">
      <c r="A94" s="216" t="s">
        <v>56</v>
      </c>
      <c r="B94" s="216" t="s">
        <v>45</v>
      </c>
      <c r="C94" s="377">
        <v>0</v>
      </c>
      <c r="D94" s="453"/>
    </row>
    <row r="95" spans="1:4" x14ac:dyDescent="0.25">
      <c r="A95" s="216" t="s">
        <v>55</v>
      </c>
      <c r="B95" s="216" t="s">
        <v>46</v>
      </c>
      <c r="C95" s="377">
        <v>0.37</v>
      </c>
      <c r="D95" s="379" t="s">
        <v>378</v>
      </c>
    </row>
    <row r="96" spans="1:4" x14ac:dyDescent="0.25">
      <c r="A96" s="216" t="s">
        <v>54</v>
      </c>
      <c r="B96" s="216" t="s">
        <v>45</v>
      </c>
      <c r="C96" s="377">
        <v>0.37</v>
      </c>
      <c r="D96" s="379" t="s">
        <v>564</v>
      </c>
    </row>
    <row r="97" spans="1:4" x14ac:dyDescent="0.25">
      <c r="A97" s="216" t="s">
        <v>57</v>
      </c>
      <c r="B97" s="216" t="s">
        <v>45</v>
      </c>
      <c r="C97" s="377">
        <v>0</v>
      </c>
      <c r="D97" s="379" t="s">
        <v>379</v>
      </c>
    </row>
  </sheetData>
  <autoFilter ref="A3:D97" xr:uid="{DA6F9D74-BFD0-4962-BA6E-52337D0422ED}"/>
  <mergeCells count="3">
    <mergeCell ref="D4:D34"/>
    <mergeCell ref="D35:D76"/>
    <mergeCell ref="D77:D94"/>
  </mergeCells>
  <pageMargins left="0.7" right="0.7" top="0.75" bottom="0.75" header="0.3" footer="0.3"/>
  <pageSetup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44">
    <tabColor theme="9" tint="-0.499984740745262"/>
  </sheetPr>
  <dimension ref="A1"/>
  <sheetViews>
    <sheetView topLeftCell="A2" zoomScale="55" zoomScaleNormal="55" workbookViewId="0">
      <selection sqref="A1:XFD1048576"/>
    </sheetView>
  </sheetViews>
  <sheetFormatPr defaultColWidth="9.09765625" defaultRowHeight="13.8" x14ac:dyDescent="0.25"/>
  <cols>
    <col min="1" max="1" width="9.09765625" style="405" customWidth="1"/>
    <col min="2" max="16384" width="9.09765625" style="405"/>
  </cols>
  <sheetData/>
  <mergeCells count="1">
    <mergeCell ref="A1:XFD1048576"/>
  </mergeCells>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45">
    <tabColor theme="9"/>
  </sheetPr>
  <dimension ref="A1:T102"/>
  <sheetViews>
    <sheetView zoomScale="80" zoomScaleNormal="80" workbookViewId="0">
      <selection activeCell="F54" sqref="F54"/>
    </sheetView>
  </sheetViews>
  <sheetFormatPr defaultColWidth="8.69921875" defaultRowHeight="13.8" outlineLevelRow="1" x14ac:dyDescent="0.25"/>
  <cols>
    <col min="1" max="1" width="16.796875" style="386" customWidth="1"/>
    <col min="2" max="2" width="22.296875" style="384" customWidth="1"/>
    <col min="3" max="3" width="21.59765625" style="384" customWidth="1"/>
    <col min="4" max="4" width="33.09765625" style="341" customWidth="1"/>
    <col min="5" max="5" width="14.3984375" style="341" hidden="1" customWidth="1"/>
    <col min="6" max="15" width="11.5" style="157" customWidth="1"/>
    <col min="16" max="16" width="91.69921875" style="286" customWidth="1"/>
    <col min="17" max="18" width="11.19921875" style="157" hidden="1" customWidth="1"/>
    <col min="19" max="33" width="0" style="157" hidden="1" customWidth="1"/>
    <col min="34" max="16384" width="8.69921875" style="157"/>
  </cols>
  <sheetData>
    <row r="1" spans="1:20" ht="57" customHeight="1" outlineLevel="1" x14ac:dyDescent="0.25">
      <c r="A1" s="280"/>
      <c r="B1" s="216"/>
      <c r="C1" s="216"/>
      <c r="D1" s="280"/>
      <c r="E1" s="280"/>
    </row>
    <row r="2" spans="1:20" ht="17.25" customHeight="1" outlineLevel="1" x14ac:dyDescent="0.25">
      <c r="A2" s="215"/>
      <c r="B2" s="286"/>
      <c r="C2" s="286"/>
      <c r="D2" s="157"/>
      <c r="E2" s="157"/>
    </row>
    <row r="3" spans="1:20" ht="17.25" customHeight="1" outlineLevel="1" x14ac:dyDescent="0.25">
      <c r="A3" s="213" t="s">
        <v>7</v>
      </c>
      <c r="B3" s="214" t="s">
        <v>8</v>
      </c>
      <c r="C3" s="380"/>
      <c r="D3" s="380"/>
      <c r="E3" s="380"/>
      <c r="F3" s="381"/>
      <c r="G3" s="381"/>
      <c r="H3" s="381"/>
      <c r="I3" s="381"/>
      <c r="J3" s="381"/>
      <c r="K3" s="381"/>
      <c r="L3" s="381"/>
      <c r="M3" s="381"/>
      <c r="N3" s="381"/>
      <c r="O3" s="381"/>
    </row>
    <row r="4" spans="1:20" s="382" customFormat="1" ht="37.5" customHeight="1" x14ac:dyDescent="0.3">
      <c r="A4" s="326" t="s">
        <v>383</v>
      </c>
      <c r="B4" s="326" t="s">
        <v>384</v>
      </c>
      <c r="C4" s="326" t="s">
        <v>385</v>
      </c>
      <c r="D4" s="388" t="s">
        <v>386</v>
      </c>
      <c r="E4" s="388" t="s">
        <v>387</v>
      </c>
      <c r="F4" s="257">
        <v>2021</v>
      </c>
      <c r="G4" s="257">
        <v>2022</v>
      </c>
      <c r="H4" s="257">
        <v>2023</v>
      </c>
      <c r="I4" s="257">
        <v>2024</v>
      </c>
      <c r="J4" s="257">
        <v>2025</v>
      </c>
      <c r="K4" s="257">
        <v>2026</v>
      </c>
      <c r="L4" s="257">
        <v>2027</v>
      </c>
      <c r="M4" s="257">
        <v>2028</v>
      </c>
      <c r="N4" s="257">
        <v>2029</v>
      </c>
      <c r="O4" s="257">
        <v>2030</v>
      </c>
      <c r="P4" s="387" t="s">
        <v>26</v>
      </c>
      <c r="T4" s="382" t="s">
        <v>134</v>
      </c>
    </row>
    <row r="5" spans="1:20" ht="14.55" customHeight="1" x14ac:dyDescent="0.25">
      <c r="A5" s="224" t="s">
        <v>13</v>
      </c>
      <c r="B5" s="224" t="s">
        <v>336</v>
      </c>
      <c r="C5" s="224" t="s">
        <v>45</v>
      </c>
      <c r="D5" s="389" t="s">
        <v>272</v>
      </c>
      <c r="E5" s="389" t="str">
        <f>EditableIndexes!Q6</f>
        <v>Scenario 1</v>
      </c>
      <c r="F5" s="390">
        <v>0.10492917847025496</v>
      </c>
      <c r="G5" s="390">
        <v>0.11539000000000001</v>
      </c>
      <c r="H5" s="390">
        <v>0.12462120000000002</v>
      </c>
      <c r="I5" s="390">
        <v>0.13459089600000002</v>
      </c>
      <c r="J5" s="390">
        <v>0.14468521320000002</v>
      </c>
      <c r="K5" s="390">
        <v>0.15553660419000001</v>
      </c>
      <c r="L5" s="390">
        <v>0.16175806835760001</v>
      </c>
      <c r="M5" s="390">
        <v>0.164993229724752</v>
      </c>
      <c r="N5" s="390">
        <v>0.17076799276511831</v>
      </c>
      <c r="O5" s="390">
        <v>0.17076799276511831</v>
      </c>
      <c r="P5" s="454" t="s">
        <v>388</v>
      </c>
      <c r="Q5" s="383">
        <v>0.54834422110552805</v>
      </c>
      <c r="R5" s="157" t="s">
        <v>389</v>
      </c>
      <c r="S5" s="222" t="s">
        <v>353</v>
      </c>
      <c r="T5" s="157" t="str">
        <f>IF(C5 = "Residential", _xlfn.CONCAT(B5:E5),_xlfn.CONCAT(B5:C5,E5))</f>
        <v>Heat Pump HeatingResidentialResidential Market RateScenario 1</v>
      </c>
    </row>
    <row r="6" spans="1:20" ht="14.4" x14ac:dyDescent="0.25">
      <c r="A6" s="224" t="s">
        <v>13</v>
      </c>
      <c r="B6" s="224" t="s">
        <v>336</v>
      </c>
      <c r="C6" s="224" t="s">
        <v>45</v>
      </c>
      <c r="D6" s="389" t="s">
        <v>269</v>
      </c>
      <c r="E6" s="389" t="str">
        <f>E5</f>
        <v>Scenario 1</v>
      </c>
      <c r="F6" s="390">
        <v>0.08</v>
      </c>
      <c r="G6" s="390">
        <v>8.8000000000000009E-2</v>
      </c>
      <c r="H6" s="390">
        <v>9.5040000000000013E-2</v>
      </c>
      <c r="I6" s="390">
        <v>0.10264320000000002</v>
      </c>
      <c r="J6" s="390">
        <v>0.11034144000000001</v>
      </c>
      <c r="K6" s="390">
        <v>0.118617048</v>
      </c>
      <c r="L6" s="390">
        <v>0.12336172992000001</v>
      </c>
      <c r="M6" s="390">
        <v>0.1258289645184</v>
      </c>
      <c r="N6" s="390">
        <v>0.13023297827654398</v>
      </c>
      <c r="O6" s="390">
        <v>0.13023297827654398</v>
      </c>
      <c r="P6" s="455"/>
      <c r="T6" s="157" t="str">
        <f t="shared" ref="T6:T69" si="0">IF(C6 = "Residential", _xlfn.CONCAT(B6:E6),_xlfn.CONCAT(B6:C6,E6))</f>
        <v>Heat Pump HeatingResidentialResidential LIScenario 1</v>
      </c>
    </row>
    <row r="7" spans="1:20" ht="14.4" x14ac:dyDescent="0.25">
      <c r="A7" s="224" t="s">
        <v>13</v>
      </c>
      <c r="B7" s="224" t="s">
        <v>390</v>
      </c>
      <c r="C7" s="224" t="s">
        <v>45</v>
      </c>
      <c r="D7" s="389" t="s">
        <v>272</v>
      </c>
      <c r="E7" s="389" t="str">
        <f t="shared" ref="E7:E53" si="1">E6</f>
        <v>Scenario 1</v>
      </c>
      <c r="F7" s="390">
        <v>0</v>
      </c>
      <c r="G7" s="390">
        <v>0</v>
      </c>
      <c r="H7" s="390">
        <v>0</v>
      </c>
      <c r="I7" s="390">
        <v>0</v>
      </c>
      <c r="J7" s="390">
        <v>0</v>
      </c>
      <c r="K7" s="390">
        <v>0</v>
      </c>
      <c r="L7" s="390">
        <v>0</v>
      </c>
      <c r="M7" s="390">
        <v>0</v>
      </c>
      <c r="N7" s="390">
        <v>0</v>
      </c>
      <c r="O7" s="390">
        <v>0</v>
      </c>
      <c r="P7" s="455"/>
      <c r="T7" s="157" t="str">
        <f t="shared" si="0"/>
        <v>Electric FurnaceResidentialResidential Market RateScenario 1</v>
      </c>
    </row>
    <row r="8" spans="1:20" ht="14.4" x14ac:dyDescent="0.3">
      <c r="A8" s="391" t="s">
        <v>13</v>
      </c>
      <c r="B8" s="391" t="s">
        <v>326</v>
      </c>
      <c r="C8" s="391" t="s">
        <v>45</v>
      </c>
      <c r="D8" s="312" t="s">
        <v>272</v>
      </c>
      <c r="E8" s="389" t="str">
        <f t="shared" si="1"/>
        <v>Scenario 1</v>
      </c>
      <c r="F8" s="392">
        <v>0.19507082152974506</v>
      </c>
      <c r="G8" s="392">
        <v>0.1951</v>
      </c>
      <c r="H8" s="392">
        <v>0.1951</v>
      </c>
      <c r="I8" s="392">
        <v>0.18990000000000001</v>
      </c>
      <c r="J8" s="392">
        <v>0.1842</v>
      </c>
      <c r="K8" s="392">
        <v>0.17830000000000001</v>
      </c>
      <c r="L8" s="392">
        <v>0.1719</v>
      </c>
      <c r="M8" s="392">
        <v>0.16470000000000001</v>
      </c>
      <c r="N8" s="392">
        <v>0.15710000000000002</v>
      </c>
      <c r="O8" s="392">
        <v>0.1492</v>
      </c>
      <c r="P8" s="286" t="s">
        <v>391</v>
      </c>
      <c r="T8" s="157" t="str">
        <f t="shared" si="0"/>
        <v>Baseboard HeatingResidentialResidential Market RateScenario 1</v>
      </c>
    </row>
    <row r="9" spans="1:20" ht="14.4" x14ac:dyDescent="0.3">
      <c r="A9" s="391" t="s">
        <v>13</v>
      </c>
      <c r="B9" s="391" t="s">
        <v>326</v>
      </c>
      <c r="C9" s="391" t="s">
        <v>45</v>
      </c>
      <c r="D9" s="312" t="s">
        <v>269</v>
      </c>
      <c r="E9" s="389" t="str">
        <f t="shared" si="1"/>
        <v>Scenario 1</v>
      </c>
      <c r="F9" s="392">
        <v>0.23</v>
      </c>
      <c r="G9" s="392">
        <v>0.23</v>
      </c>
      <c r="H9" s="392">
        <v>0.23</v>
      </c>
      <c r="I9" s="392">
        <v>0.22480000000000003</v>
      </c>
      <c r="J9" s="392">
        <v>0.21910000000000002</v>
      </c>
      <c r="K9" s="392">
        <v>0.21320000000000003</v>
      </c>
      <c r="L9" s="392">
        <v>0.20680000000000001</v>
      </c>
      <c r="M9" s="392">
        <v>0.19960000000000003</v>
      </c>
      <c r="N9" s="392">
        <v>0.19200000000000003</v>
      </c>
      <c r="O9" s="392">
        <v>0.18410000000000001</v>
      </c>
      <c r="P9" s="286" t="s">
        <v>392</v>
      </c>
      <c r="T9" s="157" t="str">
        <f t="shared" si="0"/>
        <v>Baseboard HeatingResidentialResidential LIScenario 1</v>
      </c>
    </row>
    <row r="10" spans="1:20" ht="14.4" x14ac:dyDescent="0.3">
      <c r="A10" s="391" t="s">
        <v>13</v>
      </c>
      <c r="B10" s="391" t="s">
        <v>330</v>
      </c>
      <c r="C10" s="391" t="s">
        <v>45</v>
      </c>
      <c r="D10" s="312" t="s">
        <v>272</v>
      </c>
      <c r="E10" s="389" t="str">
        <f t="shared" si="1"/>
        <v>Scenario 1</v>
      </c>
      <c r="F10" s="392">
        <v>0.1311614730878187</v>
      </c>
      <c r="G10" s="392">
        <v>0.14432000000000003</v>
      </c>
      <c r="H10" s="392">
        <v>0.15586560000000005</v>
      </c>
      <c r="I10" s="392">
        <v>0.16833484800000006</v>
      </c>
      <c r="J10" s="392">
        <v>0.18095996160000005</v>
      </c>
      <c r="K10" s="392">
        <v>0.19453195872000004</v>
      </c>
      <c r="L10" s="392">
        <v>0.20231323706880006</v>
      </c>
      <c r="M10" s="392">
        <v>0.20635950181017607</v>
      </c>
      <c r="N10" s="392">
        <v>0.21358208437353221</v>
      </c>
      <c r="O10" s="392">
        <v>0.21358208437353221</v>
      </c>
      <c r="P10" s="286" t="s">
        <v>393</v>
      </c>
      <c r="T10" s="157" t="str">
        <f t="shared" si="0"/>
        <v>Ductless Mini SplitResidentialResidential Market RateScenario 1</v>
      </c>
    </row>
    <row r="11" spans="1:20" ht="14.4" x14ac:dyDescent="0.3">
      <c r="A11" s="391" t="s">
        <v>13</v>
      </c>
      <c r="B11" s="391" t="s">
        <v>330</v>
      </c>
      <c r="C11" s="391" t="s">
        <v>45</v>
      </c>
      <c r="D11" s="312" t="s">
        <v>269</v>
      </c>
      <c r="E11" s="389" t="str">
        <f t="shared" si="1"/>
        <v>Scenario 1</v>
      </c>
      <c r="F11" s="392">
        <v>0.08</v>
      </c>
      <c r="G11" s="392">
        <v>8.8000000000000009E-2</v>
      </c>
      <c r="H11" s="392">
        <v>9.5040000000000013E-2</v>
      </c>
      <c r="I11" s="392">
        <v>0.10264320000000002</v>
      </c>
      <c r="J11" s="392">
        <v>0.11034144000000001</v>
      </c>
      <c r="K11" s="392">
        <v>0.118617048</v>
      </c>
      <c r="L11" s="392">
        <v>0.12336172992000001</v>
      </c>
      <c r="M11" s="392">
        <v>0.1258289645184</v>
      </c>
      <c r="N11" s="392">
        <v>0.13023297827654398</v>
      </c>
      <c r="O11" s="392">
        <v>0.13023297827654398</v>
      </c>
      <c r="P11" s="286" t="s">
        <v>394</v>
      </c>
      <c r="T11" s="157" t="str">
        <f t="shared" si="0"/>
        <v>Ductless Mini SplitResidentialResidential LIScenario 1</v>
      </c>
    </row>
    <row r="12" spans="1:20" ht="14.4" x14ac:dyDescent="0.3">
      <c r="A12" s="391" t="s">
        <v>13</v>
      </c>
      <c r="B12" s="224" t="s">
        <v>336</v>
      </c>
      <c r="C12" s="393" t="s">
        <v>40</v>
      </c>
      <c r="D12" s="393" t="s">
        <v>276</v>
      </c>
      <c r="E12" s="389" t="str">
        <f t="shared" si="1"/>
        <v>Scenario 1</v>
      </c>
      <c r="F12" s="392">
        <v>0.10492917847025496</v>
      </c>
      <c r="G12" s="392">
        <v>0.11539000000000001</v>
      </c>
      <c r="H12" s="392">
        <v>0.12462120000000002</v>
      </c>
      <c r="I12" s="392">
        <v>0.13459089600000002</v>
      </c>
      <c r="J12" s="392">
        <v>0.14468521320000002</v>
      </c>
      <c r="K12" s="392">
        <v>0.15553660419000001</v>
      </c>
      <c r="L12" s="392">
        <v>0.16175806835760001</v>
      </c>
      <c r="M12" s="392">
        <v>0.164993229724752</v>
      </c>
      <c r="N12" s="392">
        <v>0.17076799276511831</v>
      </c>
      <c r="O12" s="392">
        <v>0.17076799276511831</v>
      </c>
      <c r="P12" s="385" t="str">
        <f>P5</f>
        <v>Heat pumps + geothermal heat pump + other unspecified in NSP survey. For Res market rate, we created a weighted average across middle-income and high-income customer classes according to NSP End Use Customer Survey. Forecast is taken from shape of heat pump forecast in the 2020 load forecast report "20200506 M09707 NSPI to NSUARB 2020 Load Forecast Report REDACTED REVISED.pdf" page 28</v>
      </c>
      <c r="T12" s="157" t="str">
        <f t="shared" si="0"/>
        <v>Heat Pump HeatingSmall CommercialScenario 1</v>
      </c>
    </row>
    <row r="13" spans="1:20" ht="14.4" x14ac:dyDescent="0.3">
      <c r="A13" s="391" t="s">
        <v>13</v>
      </c>
      <c r="B13" s="224" t="s">
        <v>336</v>
      </c>
      <c r="C13" s="393" t="s">
        <v>40</v>
      </c>
      <c r="D13" s="393" t="s">
        <v>279</v>
      </c>
      <c r="E13" s="389" t="str">
        <f t="shared" si="1"/>
        <v>Scenario 1</v>
      </c>
      <c r="F13" s="392">
        <v>0.10492917847025496</v>
      </c>
      <c r="G13" s="392">
        <v>0.11539000000000001</v>
      </c>
      <c r="H13" s="392">
        <v>0.12462120000000002</v>
      </c>
      <c r="I13" s="392">
        <v>0.13459089600000002</v>
      </c>
      <c r="J13" s="392">
        <v>0.14468521320000002</v>
      </c>
      <c r="K13" s="392">
        <v>0.15553660419000001</v>
      </c>
      <c r="L13" s="392">
        <v>0.16175806835760001</v>
      </c>
      <c r="M13" s="392">
        <v>0.164993229724752</v>
      </c>
      <c r="N13" s="392">
        <v>0.17076799276511831</v>
      </c>
      <c r="O13" s="392">
        <v>0.17076799276511831</v>
      </c>
      <c r="P13" s="385" t="str">
        <f t="shared" ref="P13:P21" si="2">P12</f>
        <v>Heat pumps + geothermal heat pump + other unspecified in NSP survey. For Res market rate, we created a weighted average across middle-income and high-income customer classes according to NSP End Use Customer Survey. Forecast is taken from shape of heat pump forecast in the 2020 load forecast report "20200506 M09707 NSPI to NSUARB 2020 Load Forecast Report REDACTED REVISED.pdf" page 28</v>
      </c>
      <c r="T13" s="157" t="str">
        <f t="shared" si="0"/>
        <v>Heat Pump HeatingSmall CommercialScenario 1</v>
      </c>
    </row>
    <row r="14" spans="1:20" ht="14.4" x14ac:dyDescent="0.3">
      <c r="A14" s="391" t="s">
        <v>13</v>
      </c>
      <c r="B14" s="224" t="s">
        <v>336</v>
      </c>
      <c r="C14" s="393" t="s">
        <v>40</v>
      </c>
      <c r="D14" s="394" t="s">
        <v>280</v>
      </c>
      <c r="E14" s="389" t="str">
        <f t="shared" si="1"/>
        <v>Scenario 1</v>
      </c>
      <c r="F14" s="392">
        <v>0.10492917847025496</v>
      </c>
      <c r="G14" s="392">
        <v>0.11539000000000001</v>
      </c>
      <c r="H14" s="392">
        <v>0.12462120000000002</v>
      </c>
      <c r="I14" s="392">
        <v>0.13459089600000002</v>
      </c>
      <c r="J14" s="392">
        <v>0.14468521320000002</v>
      </c>
      <c r="K14" s="392">
        <v>0.15553660419000001</v>
      </c>
      <c r="L14" s="392">
        <v>0.16175806835760001</v>
      </c>
      <c r="M14" s="392">
        <v>0.164993229724752</v>
      </c>
      <c r="N14" s="392">
        <v>0.17076799276511831</v>
      </c>
      <c r="O14" s="392">
        <v>0.17076799276511831</v>
      </c>
      <c r="P14" s="385" t="str">
        <f t="shared" si="2"/>
        <v>Heat pumps + geothermal heat pump + other unspecified in NSP survey. For Res market rate, we created a weighted average across middle-income and high-income customer classes according to NSP End Use Customer Survey. Forecast is taken from shape of heat pump forecast in the 2020 load forecast report "20200506 M09707 NSPI to NSUARB 2020 Load Forecast Report REDACTED REVISED.pdf" page 28</v>
      </c>
      <c r="T14" s="157" t="str">
        <f t="shared" si="0"/>
        <v>Heat Pump HeatingSmall CommercialScenario 1</v>
      </c>
    </row>
    <row r="15" spans="1:20" ht="14.4" x14ac:dyDescent="0.3">
      <c r="A15" s="391" t="s">
        <v>13</v>
      </c>
      <c r="B15" s="224" t="s">
        <v>336</v>
      </c>
      <c r="C15" s="393" t="s">
        <v>40</v>
      </c>
      <c r="D15" s="394" t="s">
        <v>281</v>
      </c>
      <c r="E15" s="389" t="str">
        <f t="shared" si="1"/>
        <v>Scenario 1</v>
      </c>
      <c r="F15" s="392">
        <v>0.10492917847025496</v>
      </c>
      <c r="G15" s="392">
        <v>0.11539000000000001</v>
      </c>
      <c r="H15" s="392">
        <v>0.12462120000000002</v>
      </c>
      <c r="I15" s="392">
        <v>0.13459089600000002</v>
      </c>
      <c r="J15" s="392">
        <v>0.14468521320000002</v>
      </c>
      <c r="K15" s="392">
        <v>0.15553660419000001</v>
      </c>
      <c r="L15" s="392">
        <v>0.16175806835760001</v>
      </c>
      <c r="M15" s="392">
        <v>0.164993229724752</v>
      </c>
      <c r="N15" s="392">
        <v>0.17076799276511831</v>
      </c>
      <c r="O15" s="392">
        <v>0.17076799276511831</v>
      </c>
      <c r="P15" s="385" t="str">
        <f t="shared" si="2"/>
        <v>Heat pumps + geothermal heat pump + other unspecified in NSP survey. For Res market rate, we created a weighted average across middle-income and high-income customer classes according to NSP End Use Customer Survey. Forecast is taken from shape of heat pump forecast in the 2020 load forecast report "20200506 M09707 NSPI to NSUARB 2020 Load Forecast Report REDACTED REVISED.pdf" page 28</v>
      </c>
      <c r="T15" s="157" t="str">
        <f t="shared" si="0"/>
        <v>Heat Pump HeatingSmall CommercialScenario 1</v>
      </c>
    </row>
    <row r="16" spans="1:20" ht="14.4" x14ac:dyDescent="0.3">
      <c r="A16" s="391" t="s">
        <v>13</v>
      </c>
      <c r="B16" s="224" t="s">
        <v>336</v>
      </c>
      <c r="C16" s="393" t="s">
        <v>40</v>
      </c>
      <c r="D16" s="394" t="s">
        <v>282</v>
      </c>
      <c r="E16" s="389" t="str">
        <f t="shared" si="1"/>
        <v>Scenario 1</v>
      </c>
      <c r="F16" s="392">
        <v>0.10492917847025496</v>
      </c>
      <c r="G16" s="392">
        <v>0.11539000000000001</v>
      </c>
      <c r="H16" s="392">
        <v>0.12462120000000002</v>
      </c>
      <c r="I16" s="392">
        <v>0.13459089600000002</v>
      </c>
      <c r="J16" s="392">
        <v>0.14468521320000002</v>
      </c>
      <c r="K16" s="392">
        <v>0.15553660419000001</v>
      </c>
      <c r="L16" s="392">
        <v>0.16175806835760001</v>
      </c>
      <c r="M16" s="392">
        <v>0.164993229724752</v>
      </c>
      <c r="N16" s="392">
        <v>0.17076799276511831</v>
      </c>
      <c r="O16" s="392">
        <v>0.17076799276511831</v>
      </c>
      <c r="P16" s="385" t="str">
        <f t="shared" si="2"/>
        <v>Heat pumps + geothermal heat pump + other unspecified in NSP survey. For Res market rate, we created a weighted average across middle-income and high-income customer classes according to NSP End Use Customer Survey. Forecast is taken from shape of heat pump forecast in the 2020 load forecast report "20200506 M09707 NSPI to NSUARB 2020 Load Forecast Report REDACTED REVISED.pdf" page 28</v>
      </c>
      <c r="T16" s="157" t="str">
        <f t="shared" si="0"/>
        <v>Heat Pump HeatingSmall CommercialScenario 1</v>
      </c>
    </row>
    <row r="17" spans="1:20" ht="14.4" x14ac:dyDescent="0.3">
      <c r="A17" s="391" t="s">
        <v>13</v>
      </c>
      <c r="B17" s="224" t="s">
        <v>336</v>
      </c>
      <c r="C17" s="393" t="s">
        <v>42</v>
      </c>
      <c r="D17" s="394" t="s">
        <v>276</v>
      </c>
      <c r="E17" s="389" t="str">
        <f t="shared" si="1"/>
        <v>Scenario 1</v>
      </c>
      <c r="F17" s="392">
        <v>0.10492917847025496</v>
      </c>
      <c r="G17" s="392">
        <v>0.11539000000000001</v>
      </c>
      <c r="H17" s="392">
        <v>0.12462120000000002</v>
      </c>
      <c r="I17" s="392">
        <v>0.13459089600000002</v>
      </c>
      <c r="J17" s="392">
        <v>0.14468521320000002</v>
      </c>
      <c r="K17" s="392">
        <v>0.15553660419000001</v>
      </c>
      <c r="L17" s="392">
        <v>0.16175806835760001</v>
      </c>
      <c r="M17" s="392">
        <v>0.164993229724752</v>
      </c>
      <c r="N17" s="392">
        <v>0.17076799276511831</v>
      </c>
      <c r="O17" s="392">
        <v>0.17076799276511831</v>
      </c>
      <c r="P17" s="385" t="str">
        <f t="shared" si="2"/>
        <v>Heat pumps + geothermal heat pump + other unspecified in NSP survey. For Res market rate, we created a weighted average across middle-income and high-income customer classes according to NSP End Use Customer Survey. Forecast is taken from shape of heat pump forecast in the 2020 load forecast report "20200506 M09707 NSPI to NSUARB 2020 Load Forecast Report REDACTED REVISED.pdf" page 28</v>
      </c>
      <c r="T17" s="157" t="str">
        <f t="shared" si="0"/>
        <v>Heat Pump HeatingSmall IndustrialScenario 1</v>
      </c>
    </row>
    <row r="18" spans="1:20" ht="14.4" x14ac:dyDescent="0.3">
      <c r="A18" s="391" t="s">
        <v>13</v>
      </c>
      <c r="B18" s="224" t="s">
        <v>336</v>
      </c>
      <c r="C18" s="393" t="s">
        <v>42</v>
      </c>
      <c r="D18" s="394" t="s">
        <v>279</v>
      </c>
      <c r="E18" s="389" t="str">
        <f t="shared" si="1"/>
        <v>Scenario 1</v>
      </c>
      <c r="F18" s="392">
        <v>0.10492917847025496</v>
      </c>
      <c r="G18" s="392">
        <v>0.11539000000000001</v>
      </c>
      <c r="H18" s="392">
        <v>0.12462120000000002</v>
      </c>
      <c r="I18" s="392">
        <v>0.13459089600000002</v>
      </c>
      <c r="J18" s="392">
        <v>0.14468521320000002</v>
      </c>
      <c r="K18" s="392">
        <v>0.15553660419000001</v>
      </c>
      <c r="L18" s="392">
        <v>0.16175806835760001</v>
      </c>
      <c r="M18" s="392">
        <v>0.164993229724752</v>
      </c>
      <c r="N18" s="392">
        <v>0.17076799276511831</v>
      </c>
      <c r="O18" s="392">
        <v>0.17076799276511831</v>
      </c>
      <c r="P18" s="385" t="str">
        <f t="shared" si="2"/>
        <v>Heat pumps + geothermal heat pump + other unspecified in NSP survey. For Res market rate, we created a weighted average across middle-income and high-income customer classes according to NSP End Use Customer Survey. Forecast is taken from shape of heat pump forecast in the 2020 load forecast report "20200506 M09707 NSPI to NSUARB 2020 Load Forecast Report REDACTED REVISED.pdf" page 28</v>
      </c>
      <c r="T18" s="157" t="str">
        <f t="shared" si="0"/>
        <v>Heat Pump HeatingSmall IndustrialScenario 1</v>
      </c>
    </row>
    <row r="19" spans="1:20" ht="14.4" x14ac:dyDescent="0.3">
      <c r="A19" s="391" t="s">
        <v>13</v>
      </c>
      <c r="B19" s="224" t="s">
        <v>336</v>
      </c>
      <c r="C19" s="393" t="s">
        <v>42</v>
      </c>
      <c r="D19" s="394" t="s">
        <v>280</v>
      </c>
      <c r="E19" s="389" t="str">
        <f t="shared" si="1"/>
        <v>Scenario 1</v>
      </c>
      <c r="F19" s="392">
        <v>0.10492917847025496</v>
      </c>
      <c r="G19" s="392">
        <v>0.11539000000000001</v>
      </c>
      <c r="H19" s="392">
        <v>0.12462120000000002</v>
      </c>
      <c r="I19" s="392">
        <v>0.13459089600000002</v>
      </c>
      <c r="J19" s="392">
        <v>0.14468521320000002</v>
      </c>
      <c r="K19" s="392">
        <v>0.15553660419000001</v>
      </c>
      <c r="L19" s="392">
        <v>0.16175806835760001</v>
      </c>
      <c r="M19" s="392">
        <v>0.164993229724752</v>
      </c>
      <c r="N19" s="392">
        <v>0.17076799276511831</v>
      </c>
      <c r="O19" s="392">
        <v>0.17076799276511831</v>
      </c>
      <c r="P19" s="385" t="str">
        <f t="shared" si="2"/>
        <v>Heat pumps + geothermal heat pump + other unspecified in NSP survey. For Res market rate, we created a weighted average across middle-income and high-income customer classes according to NSP End Use Customer Survey. Forecast is taken from shape of heat pump forecast in the 2020 load forecast report "20200506 M09707 NSPI to NSUARB 2020 Load Forecast Report REDACTED REVISED.pdf" page 28</v>
      </c>
      <c r="T19" s="157" t="str">
        <f t="shared" si="0"/>
        <v>Heat Pump HeatingSmall IndustrialScenario 1</v>
      </c>
    </row>
    <row r="20" spans="1:20" ht="14.4" x14ac:dyDescent="0.3">
      <c r="A20" s="391" t="s">
        <v>13</v>
      </c>
      <c r="B20" s="224" t="s">
        <v>336</v>
      </c>
      <c r="C20" s="393" t="s">
        <v>42</v>
      </c>
      <c r="D20" s="394" t="s">
        <v>281</v>
      </c>
      <c r="E20" s="389" t="str">
        <f t="shared" si="1"/>
        <v>Scenario 1</v>
      </c>
      <c r="F20" s="392">
        <v>0.10492917847025496</v>
      </c>
      <c r="G20" s="392">
        <v>0.11539000000000001</v>
      </c>
      <c r="H20" s="392">
        <v>0.12462120000000002</v>
      </c>
      <c r="I20" s="392">
        <v>0.13459089600000002</v>
      </c>
      <c r="J20" s="392">
        <v>0.14468521320000002</v>
      </c>
      <c r="K20" s="392">
        <v>0.15553660419000001</v>
      </c>
      <c r="L20" s="392">
        <v>0.16175806835760001</v>
      </c>
      <c r="M20" s="392">
        <v>0.164993229724752</v>
      </c>
      <c r="N20" s="392">
        <v>0.17076799276511831</v>
      </c>
      <c r="O20" s="392">
        <v>0.17076799276511831</v>
      </c>
      <c r="P20" s="385" t="str">
        <f t="shared" si="2"/>
        <v>Heat pumps + geothermal heat pump + other unspecified in NSP survey. For Res market rate, we created a weighted average across middle-income and high-income customer classes according to NSP End Use Customer Survey. Forecast is taken from shape of heat pump forecast in the 2020 load forecast report "20200506 M09707 NSPI to NSUARB 2020 Load Forecast Report REDACTED REVISED.pdf" page 28</v>
      </c>
      <c r="T20" s="157" t="str">
        <f t="shared" si="0"/>
        <v>Heat Pump HeatingSmall IndustrialScenario 1</v>
      </c>
    </row>
    <row r="21" spans="1:20" ht="14.4" x14ac:dyDescent="0.3">
      <c r="A21" s="391" t="s">
        <v>13</v>
      </c>
      <c r="B21" s="224" t="s">
        <v>336</v>
      </c>
      <c r="C21" s="393" t="s">
        <v>42</v>
      </c>
      <c r="D21" s="394" t="s">
        <v>282</v>
      </c>
      <c r="E21" s="389" t="str">
        <f t="shared" si="1"/>
        <v>Scenario 1</v>
      </c>
      <c r="F21" s="392">
        <v>0.10492917847025496</v>
      </c>
      <c r="G21" s="392">
        <v>0.11539000000000001</v>
      </c>
      <c r="H21" s="392">
        <v>0.12462120000000002</v>
      </c>
      <c r="I21" s="392">
        <v>0.13459089600000002</v>
      </c>
      <c r="J21" s="392">
        <v>0.14468521320000002</v>
      </c>
      <c r="K21" s="392">
        <v>0.15553660419000001</v>
      </c>
      <c r="L21" s="392">
        <v>0.16175806835760001</v>
      </c>
      <c r="M21" s="392">
        <v>0.164993229724752</v>
      </c>
      <c r="N21" s="392">
        <v>0.17076799276511831</v>
      </c>
      <c r="O21" s="392">
        <v>0.17076799276511831</v>
      </c>
      <c r="P21" s="385" t="str">
        <f t="shared" si="2"/>
        <v>Heat pumps + geothermal heat pump + other unspecified in NSP survey. For Res market rate, we created a weighted average across middle-income and high-income customer classes according to NSP End Use Customer Survey. Forecast is taken from shape of heat pump forecast in the 2020 load forecast report "20200506 M09707 NSPI to NSUARB 2020 Load Forecast Report REDACTED REVISED.pdf" page 28</v>
      </c>
      <c r="T21" s="157" t="str">
        <f t="shared" si="0"/>
        <v>Heat Pump HeatingSmall IndustrialScenario 1</v>
      </c>
    </row>
    <row r="22" spans="1:20" ht="14.4" x14ac:dyDescent="0.3">
      <c r="A22" s="391" t="s">
        <v>13</v>
      </c>
      <c r="B22" s="391" t="s">
        <v>326</v>
      </c>
      <c r="C22" s="393" t="s">
        <v>40</v>
      </c>
      <c r="D22" s="393" t="s">
        <v>276</v>
      </c>
      <c r="E22" s="389" t="str">
        <f t="shared" si="1"/>
        <v>Scenario 1</v>
      </c>
      <c r="F22" s="392">
        <v>0.19507082152974506</v>
      </c>
      <c r="G22" s="392">
        <v>0.1951</v>
      </c>
      <c r="H22" s="392">
        <v>0.1951</v>
      </c>
      <c r="I22" s="392">
        <v>0.18990000000000001</v>
      </c>
      <c r="J22" s="392">
        <v>0.1842</v>
      </c>
      <c r="K22" s="392">
        <v>0.17830000000000001</v>
      </c>
      <c r="L22" s="392">
        <v>0.1719</v>
      </c>
      <c r="M22" s="392">
        <v>0.16470000000000001</v>
      </c>
      <c r="N22" s="392">
        <v>0.15710000000000002</v>
      </c>
      <c r="O22" s="392">
        <v>0.1492</v>
      </c>
      <c r="P22" s="286" t="str">
        <f>P8</f>
        <v>2021 number is a weighted average from "NSP End Use Customer Load Survey.xlxs", forecast from the shape of electric furnaces end use saturation in 2019 study. Note that there is a decline - may not be the correct forecast shape for baseboards</v>
      </c>
      <c r="T22" s="157" t="str">
        <f t="shared" si="0"/>
        <v>Baseboard HeatingSmall CommercialScenario 1</v>
      </c>
    </row>
    <row r="23" spans="1:20" ht="14.4" x14ac:dyDescent="0.3">
      <c r="A23" s="391" t="s">
        <v>13</v>
      </c>
      <c r="B23" s="391" t="s">
        <v>326</v>
      </c>
      <c r="C23" s="393" t="s">
        <v>40</v>
      </c>
      <c r="D23" s="393" t="s">
        <v>279</v>
      </c>
      <c r="E23" s="389" t="str">
        <f t="shared" si="1"/>
        <v>Scenario 1</v>
      </c>
      <c r="F23" s="392">
        <v>0.19507082152974506</v>
      </c>
      <c r="G23" s="392">
        <v>0.1951</v>
      </c>
      <c r="H23" s="392">
        <v>0.1951</v>
      </c>
      <c r="I23" s="392">
        <v>0.18990000000000001</v>
      </c>
      <c r="J23" s="392">
        <v>0.1842</v>
      </c>
      <c r="K23" s="392">
        <v>0.17830000000000001</v>
      </c>
      <c r="L23" s="392">
        <v>0.1719</v>
      </c>
      <c r="M23" s="392">
        <v>0.16470000000000001</v>
      </c>
      <c r="N23" s="392">
        <v>0.15710000000000002</v>
      </c>
      <c r="O23" s="392">
        <v>0.1492</v>
      </c>
      <c r="P23" s="286" t="str">
        <f t="shared" ref="P23:P31" si="3">P22</f>
        <v>2021 number is a weighted average from "NSP End Use Customer Load Survey.xlxs", forecast from the shape of electric furnaces end use saturation in 2019 study. Note that there is a decline - may not be the correct forecast shape for baseboards</v>
      </c>
      <c r="T23" s="157" t="str">
        <f t="shared" si="0"/>
        <v>Baseboard HeatingSmall CommercialScenario 1</v>
      </c>
    </row>
    <row r="24" spans="1:20" ht="14.4" x14ac:dyDescent="0.3">
      <c r="A24" s="391" t="s">
        <v>13</v>
      </c>
      <c r="B24" s="391" t="s">
        <v>326</v>
      </c>
      <c r="C24" s="393" t="s">
        <v>40</v>
      </c>
      <c r="D24" s="394" t="s">
        <v>280</v>
      </c>
      <c r="E24" s="389" t="str">
        <f t="shared" si="1"/>
        <v>Scenario 1</v>
      </c>
      <c r="F24" s="392">
        <v>0.19507082152974506</v>
      </c>
      <c r="G24" s="392">
        <v>0.1951</v>
      </c>
      <c r="H24" s="392">
        <v>0.1951</v>
      </c>
      <c r="I24" s="392">
        <v>0.18990000000000001</v>
      </c>
      <c r="J24" s="392">
        <v>0.1842</v>
      </c>
      <c r="K24" s="392">
        <v>0.17830000000000001</v>
      </c>
      <c r="L24" s="392">
        <v>0.1719</v>
      </c>
      <c r="M24" s="392">
        <v>0.16470000000000001</v>
      </c>
      <c r="N24" s="392">
        <v>0.15710000000000002</v>
      </c>
      <c r="O24" s="392">
        <v>0.1492</v>
      </c>
      <c r="P24" s="286" t="str">
        <f t="shared" si="3"/>
        <v>2021 number is a weighted average from "NSP End Use Customer Load Survey.xlxs", forecast from the shape of electric furnaces end use saturation in 2019 study. Note that there is a decline - may not be the correct forecast shape for baseboards</v>
      </c>
      <c r="T24" s="157" t="str">
        <f t="shared" si="0"/>
        <v>Baseboard HeatingSmall CommercialScenario 1</v>
      </c>
    </row>
    <row r="25" spans="1:20" ht="14.4" x14ac:dyDescent="0.3">
      <c r="A25" s="391" t="s">
        <v>13</v>
      </c>
      <c r="B25" s="391" t="s">
        <v>326</v>
      </c>
      <c r="C25" s="393" t="s">
        <v>40</v>
      </c>
      <c r="D25" s="394" t="s">
        <v>281</v>
      </c>
      <c r="E25" s="389" t="str">
        <f t="shared" si="1"/>
        <v>Scenario 1</v>
      </c>
      <c r="F25" s="392">
        <v>0.19507082152974506</v>
      </c>
      <c r="G25" s="392">
        <v>0.1951</v>
      </c>
      <c r="H25" s="392">
        <v>0.1951</v>
      </c>
      <c r="I25" s="392">
        <v>0.18990000000000001</v>
      </c>
      <c r="J25" s="392">
        <v>0.1842</v>
      </c>
      <c r="K25" s="392">
        <v>0.17830000000000001</v>
      </c>
      <c r="L25" s="392">
        <v>0.1719</v>
      </c>
      <c r="M25" s="392">
        <v>0.16470000000000001</v>
      </c>
      <c r="N25" s="392">
        <v>0.15710000000000002</v>
      </c>
      <c r="O25" s="392">
        <v>0.1492</v>
      </c>
      <c r="P25" s="286" t="str">
        <f t="shared" si="3"/>
        <v>2021 number is a weighted average from "NSP End Use Customer Load Survey.xlxs", forecast from the shape of electric furnaces end use saturation in 2019 study. Note that there is a decline - may not be the correct forecast shape for baseboards</v>
      </c>
      <c r="T25" s="157" t="str">
        <f t="shared" si="0"/>
        <v>Baseboard HeatingSmall CommercialScenario 1</v>
      </c>
    </row>
    <row r="26" spans="1:20" ht="14.4" x14ac:dyDescent="0.3">
      <c r="A26" s="391" t="s">
        <v>13</v>
      </c>
      <c r="B26" s="391" t="s">
        <v>326</v>
      </c>
      <c r="C26" s="393" t="s">
        <v>40</v>
      </c>
      <c r="D26" s="394" t="s">
        <v>282</v>
      </c>
      <c r="E26" s="389" t="str">
        <f t="shared" si="1"/>
        <v>Scenario 1</v>
      </c>
      <c r="F26" s="392">
        <v>0.19507082152974506</v>
      </c>
      <c r="G26" s="392">
        <v>0.1951</v>
      </c>
      <c r="H26" s="392">
        <v>0.1951</v>
      </c>
      <c r="I26" s="392">
        <v>0.18990000000000001</v>
      </c>
      <c r="J26" s="392">
        <v>0.1842</v>
      </c>
      <c r="K26" s="392">
        <v>0.17830000000000001</v>
      </c>
      <c r="L26" s="392">
        <v>0.1719</v>
      </c>
      <c r="M26" s="392">
        <v>0.16470000000000001</v>
      </c>
      <c r="N26" s="392">
        <v>0.15710000000000002</v>
      </c>
      <c r="O26" s="392">
        <v>0.1492</v>
      </c>
      <c r="P26" s="286" t="str">
        <f t="shared" si="3"/>
        <v>2021 number is a weighted average from "NSP End Use Customer Load Survey.xlxs", forecast from the shape of electric furnaces end use saturation in 2019 study. Note that there is a decline - may not be the correct forecast shape for baseboards</v>
      </c>
      <c r="T26" s="157" t="str">
        <f t="shared" si="0"/>
        <v>Baseboard HeatingSmall CommercialScenario 1</v>
      </c>
    </row>
    <row r="27" spans="1:20" ht="14.4" x14ac:dyDescent="0.3">
      <c r="A27" s="391" t="s">
        <v>13</v>
      </c>
      <c r="B27" s="391" t="s">
        <v>326</v>
      </c>
      <c r="C27" s="393" t="s">
        <v>42</v>
      </c>
      <c r="D27" s="394" t="s">
        <v>276</v>
      </c>
      <c r="E27" s="389" t="str">
        <f t="shared" si="1"/>
        <v>Scenario 1</v>
      </c>
      <c r="F27" s="392">
        <v>0.19507082152974506</v>
      </c>
      <c r="G27" s="392">
        <v>0.1951</v>
      </c>
      <c r="H27" s="392">
        <v>0.1951</v>
      </c>
      <c r="I27" s="392">
        <v>0.18990000000000001</v>
      </c>
      <c r="J27" s="392">
        <v>0.1842</v>
      </c>
      <c r="K27" s="392">
        <v>0.17830000000000001</v>
      </c>
      <c r="L27" s="392">
        <v>0.1719</v>
      </c>
      <c r="M27" s="392">
        <v>0.16470000000000001</v>
      </c>
      <c r="N27" s="392">
        <v>0.15710000000000002</v>
      </c>
      <c r="O27" s="392">
        <v>0.1492</v>
      </c>
      <c r="P27" s="286" t="str">
        <f t="shared" si="3"/>
        <v>2021 number is a weighted average from "NSP End Use Customer Load Survey.xlxs", forecast from the shape of electric furnaces end use saturation in 2019 study. Note that there is a decline - may not be the correct forecast shape for baseboards</v>
      </c>
      <c r="T27" s="157" t="str">
        <f t="shared" si="0"/>
        <v>Baseboard HeatingSmall IndustrialScenario 1</v>
      </c>
    </row>
    <row r="28" spans="1:20" ht="14.4" x14ac:dyDescent="0.3">
      <c r="A28" s="391" t="s">
        <v>13</v>
      </c>
      <c r="B28" s="391" t="s">
        <v>326</v>
      </c>
      <c r="C28" s="393" t="s">
        <v>42</v>
      </c>
      <c r="D28" s="394" t="s">
        <v>279</v>
      </c>
      <c r="E28" s="389" t="str">
        <f t="shared" si="1"/>
        <v>Scenario 1</v>
      </c>
      <c r="F28" s="392">
        <v>0.19507082152974506</v>
      </c>
      <c r="G28" s="392">
        <v>0.1951</v>
      </c>
      <c r="H28" s="392">
        <v>0.1951</v>
      </c>
      <c r="I28" s="392">
        <v>0.18990000000000001</v>
      </c>
      <c r="J28" s="392">
        <v>0.1842</v>
      </c>
      <c r="K28" s="392">
        <v>0.17830000000000001</v>
      </c>
      <c r="L28" s="392">
        <v>0.1719</v>
      </c>
      <c r="M28" s="392">
        <v>0.16470000000000001</v>
      </c>
      <c r="N28" s="392">
        <v>0.15710000000000002</v>
      </c>
      <c r="O28" s="392">
        <v>0.1492</v>
      </c>
      <c r="P28" s="286" t="str">
        <f t="shared" si="3"/>
        <v>2021 number is a weighted average from "NSP End Use Customer Load Survey.xlxs", forecast from the shape of electric furnaces end use saturation in 2019 study. Note that there is a decline - may not be the correct forecast shape for baseboards</v>
      </c>
      <c r="T28" s="157" t="str">
        <f t="shared" si="0"/>
        <v>Baseboard HeatingSmall IndustrialScenario 1</v>
      </c>
    </row>
    <row r="29" spans="1:20" ht="14.4" x14ac:dyDescent="0.3">
      <c r="A29" s="391" t="s">
        <v>13</v>
      </c>
      <c r="B29" s="391" t="s">
        <v>326</v>
      </c>
      <c r="C29" s="393" t="s">
        <v>42</v>
      </c>
      <c r="D29" s="394" t="s">
        <v>280</v>
      </c>
      <c r="E29" s="389" t="str">
        <f t="shared" si="1"/>
        <v>Scenario 1</v>
      </c>
      <c r="F29" s="392">
        <v>0.19507082152974506</v>
      </c>
      <c r="G29" s="392">
        <v>0.1951</v>
      </c>
      <c r="H29" s="392">
        <v>0.1951</v>
      </c>
      <c r="I29" s="392">
        <v>0.18990000000000001</v>
      </c>
      <c r="J29" s="392">
        <v>0.1842</v>
      </c>
      <c r="K29" s="392">
        <v>0.17830000000000001</v>
      </c>
      <c r="L29" s="392">
        <v>0.1719</v>
      </c>
      <c r="M29" s="392">
        <v>0.16470000000000001</v>
      </c>
      <c r="N29" s="392">
        <v>0.15710000000000002</v>
      </c>
      <c r="O29" s="392">
        <v>0.1492</v>
      </c>
      <c r="P29" s="286" t="str">
        <f t="shared" si="3"/>
        <v>2021 number is a weighted average from "NSP End Use Customer Load Survey.xlxs", forecast from the shape of electric furnaces end use saturation in 2019 study. Note that there is a decline - may not be the correct forecast shape for baseboards</v>
      </c>
      <c r="T29" s="157" t="str">
        <f t="shared" si="0"/>
        <v>Baseboard HeatingSmall IndustrialScenario 1</v>
      </c>
    </row>
    <row r="30" spans="1:20" ht="14.4" x14ac:dyDescent="0.3">
      <c r="A30" s="391" t="s">
        <v>13</v>
      </c>
      <c r="B30" s="391" t="s">
        <v>326</v>
      </c>
      <c r="C30" s="393" t="s">
        <v>42</v>
      </c>
      <c r="D30" s="394" t="s">
        <v>281</v>
      </c>
      <c r="E30" s="389" t="str">
        <f t="shared" si="1"/>
        <v>Scenario 1</v>
      </c>
      <c r="F30" s="392">
        <v>0.19507082152974506</v>
      </c>
      <c r="G30" s="392">
        <v>0.1951</v>
      </c>
      <c r="H30" s="392">
        <v>0.1951</v>
      </c>
      <c r="I30" s="392">
        <v>0.18990000000000001</v>
      </c>
      <c r="J30" s="392">
        <v>0.1842</v>
      </c>
      <c r="K30" s="392">
        <v>0.17830000000000001</v>
      </c>
      <c r="L30" s="392">
        <v>0.1719</v>
      </c>
      <c r="M30" s="392">
        <v>0.16470000000000001</v>
      </c>
      <c r="N30" s="392">
        <v>0.15710000000000002</v>
      </c>
      <c r="O30" s="392">
        <v>0.1492</v>
      </c>
      <c r="P30" s="286" t="str">
        <f t="shared" si="3"/>
        <v>2021 number is a weighted average from "NSP End Use Customer Load Survey.xlxs", forecast from the shape of electric furnaces end use saturation in 2019 study. Note that there is a decline - may not be the correct forecast shape for baseboards</v>
      </c>
      <c r="T30" s="157" t="str">
        <f t="shared" si="0"/>
        <v>Baseboard HeatingSmall IndustrialScenario 1</v>
      </c>
    </row>
    <row r="31" spans="1:20" ht="14.4" x14ac:dyDescent="0.3">
      <c r="A31" s="391" t="s">
        <v>13</v>
      </c>
      <c r="B31" s="391" t="s">
        <v>326</v>
      </c>
      <c r="C31" s="393" t="s">
        <v>42</v>
      </c>
      <c r="D31" s="394" t="s">
        <v>282</v>
      </c>
      <c r="E31" s="389" t="str">
        <f t="shared" si="1"/>
        <v>Scenario 1</v>
      </c>
      <c r="F31" s="392">
        <v>0.19507082152974506</v>
      </c>
      <c r="G31" s="392">
        <v>0.1951</v>
      </c>
      <c r="H31" s="392">
        <v>0.1951</v>
      </c>
      <c r="I31" s="392">
        <v>0.18990000000000001</v>
      </c>
      <c r="J31" s="392">
        <v>0.1842</v>
      </c>
      <c r="K31" s="392">
        <v>0.17830000000000001</v>
      </c>
      <c r="L31" s="392">
        <v>0.1719</v>
      </c>
      <c r="M31" s="392">
        <v>0.16470000000000001</v>
      </c>
      <c r="N31" s="392">
        <v>0.15710000000000002</v>
      </c>
      <c r="O31" s="392">
        <v>0.1492</v>
      </c>
      <c r="P31" s="286" t="str">
        <f t="shared" si="3"/>
        <v>2021 number is a weighted average from "NSP End Use Customer Load Survey.xlxs", forecast from the shape of electric furnaces end use saturation in 2019 study. Note that there is a decline - may not be the correct forecast shape for baseboards</v>
      </c>
      <c r="T31" s="157" t="str">
        <f t="shared" si="0"/>
        <v>Baseboard HeatingSmall IndustrialScenario 1</v>
      </c>
    </row>
    <row r="32" spans="1:20" ht="14.4" x14ac:dyDescent="0.3">
      <c r="A32" s="391" t="s">
        <v>13</v>
      </c>
      <c r="B32" s="391" t="s">
        <v>330</v>
      </c>
      <c r="C32" s="393" t="s">
        <v>40</v>
      </c>
      <c r="D32" s="393" t="s">
        <v>276</v>
      </c>
      <c r="E32" s="389" t="str">
        <f t="shared" si="1"/>
        <v>Scenario 1</v>
      </c>
      <c r="F32" s="392">
        <v>0.1311614730878187</v>
      </c>
      <c r="G32" s="392">
        <v>0.14432000000000003</v>
      </c>
      <c r="H32" s="392">
        <v>0.15586560000000005</v>
      </c>
      <c r="I32" s="392">
        <v>0.16833484800000006</v>
      </c>
      <c r="J32" s="392">
        <v>0.18095996160000005</v>
      </c>
      <c r="K32" s="392">
        <v>0.19453195872000004</v>
      </c>
      <c r="L32" s="392">
        <v>0.20231323706880006</v>
      </c>
      <c r="M32" s="392">
        <v>0.20635950181017607</v>
      </c>
      <c r="N32" s="392">
        <v>0.21358208437353221</v>
      </c>
      <c r="O32" s="392">
        <v>0.21358208437353221</v>
      </c>
      <c r="P32" s="286" t="str">
        <f t="shared" ref="P32" si="4">P10</f>
        <v>Weighted average of 2021 from "NSP End Use Customer Load Survey.xlxs" middle- and high-income customers, Forecast is taken from shape of heat pump forecast in the 2020 load forecast report "20200506 M09707 NSPI to NSUARB 2020 Load Forecast Report REDACTED REVISED.pdf" page 28</v>
      </c>
      <c r="T32" s="157" t="str">
        <f t="shared" si="0"/>
        <v>Ductless Mini SplitSmall CommercialScenario 1</v>
      </c>
    </row>
    <row r="33" spans="1:20" ht="14.4" x14ac:dyDescent="0.3">
      <c r="A33" s="391" t="s">
        <v>13</v>
      </c>
      <c r="B33" s="391" t="s">
        <v>330</v>
      </c>
      <c r="C33" s="393" t="s">
        <v>40</v>
      </c>
      <c r="D33" s="393" t="s">
        <v>279</v>
      </c>
      <c r="E33" s="389" t="str">
        <f t="shared" si="1"/>
        <v>Scenario 1</v>
      </c>
      <c r="F33" s="392">
        <v>0.1311614730878187</v>
      </c>
      <c r="G33" s="392">
        <v>0.14432000000000003</v>
      </c>
      <c r="H33" s="392">
        <v>0.15586560000000005</v>
      </c>
      <c r="I33" s="392">
        <v>0.16833484800000006</v>
      </c>
      <c r="J33" s="392">
        <v>0.18095996160000005</v>
      </c>
      <c r="K33" s="392">
        <v>0.19453195872000004</v>
      </c>
      <c r="L33" s="392">
        <v>0.20231323706880006</v>
      </c>
      <c r="M33" s="392">
        <v>0.20635950181017607</v>
      </c>
      <c r="N33" s="392">
        <v>0.21358208437353221</v>
      </c>
      <c r="O33" s="392">
        <v>0.21358208437353221</v>
      </c>
      <c r="P33" s="286" t="str">
        <f t="shared" ref="P33:P41" si="5">P32</f>
        <v>Weighted average of 2021 from "NSP End Use Customer Load Survey.xlxs" middle- and high-income customers, Forecast is taken from shape of heat pump forecast in the 2020 load forecast report "20200506 M09707 NSPI to NSUARB 2020 Load Forecast Report REDACTED REVISED.pdf" page 28</v>
      </c>
      <c r="T33" s="157" t="str">
        <f t="shared" si="0"/>
        <v>Ductless Mini SplitSmall CommercialScenario 1</v>
      </c>
    </row>
    <row r="34" spans="1:20" ht="14.4" x14ac:dyDescent="0.3">
      <c r="A34" s="391" t="s">
        <v>13</v>
      </c>
      <c r="B34" s="391" t="s">
        <v>330</v>
      </c>
      <c r="C34" s="393" t="s">
        <v>40</v>
      </c>
      <c r="D34" s="394" t="s">
        <v>280</v>
      </c>
      <c r="E34" s="389" t="str">
        <f t="shared" si="1"/>
        <v>Scenario 1</v>
      </c>
      <c r="F34" s="392">
        <v>0.1311614730878187</v>
      </c>
      <c r="G34" s="392">
        <v>0.14432000000000003</v>
      </c>
      <c r="H34" s="392">
        <v>0.15586560000000005</v>
      </c>
      <c r="I34" s="392">
        <v>0.16833484800000006</v>
      </c>
      <c r="J34" s="392">
        <v>0.18095996160000005</v>
      </c>
      <c r="K34" s="392">
        <v>0.19453195872000004</v>
      </c>
      <c r="L34" s="392">
        <v>0.20231323706880006</v>
      </c>
      <c r="M34" s="392">
        <v>0.20635950181017607</v>
      </c>
      <c r="N34" s="392">
        <v>0.21358208437353221</v>
      </c>
      <c r="O34" s="392">
        <v>0.21358208437353221</v>
      </c>
      <c r="P34" s="286" t="str">
        <f t="shared" si="5"/>
        <v>Weighted average of 2021 from "NSP End Use Customer Load Survey.xlxs" middle- and high-income customers, Forecast is taken from shape of heat pump forecast in the 2020 load forecast report "20200506 M09707 NSPI to NSUARB 2020 Load Forecast Report REDACTED REVISED.pdf" page 28</v>
      </c>
      <c r="T34" s="157" t="str">
        <f t="shared" si="0"/>
        <v>Ductless Mini SplitSmall CommercialScenario 1</v>
      </c>
    </row>
    <row r="35" spans="1:20" ht="14.4" x14ac:dyDescent="0.3">
      <c r="A35" s="391" t="s">
        <v>13</v>
      </c>
      <c r="B35" s="391" t="s">
        <v>330</v>
      </c>
      <c r="C35" s="393" t="s">
        <v>40</v>
      </c>
      <c r="D35" s="394" t="s">
        <v>281</v>
      </c>
      <c r="E35" s="389" t="str">
        <f t="shared" si="1"/>
        <v>Scenario 1</v>
      </c>
      <c r="F35" s="392">
        <v>0.1311614730878187</v>
      </c>
      <c r="G35" s="392">
        <v>0.14432000000000003</v>
      </c>
      <c r="H35" s="392">
        <v>0.15586560000000005</v>
      </c>
      <c r="I35" s="392">
        <v>0.16833484800000006</v>
      </c>
      <c r="J35" s="392">
        <v>0.18095996160000005</v>
      </c>
      <c r="K35" s="392">
        <v>0.19453195872000004</v>
      </c>
      <c r="L35" s="392">
        <v>0.20231323706880006</v>
      </c>
      <c r="M35" s="392">
        <v>0.20635950181017607</v>
      </c>
      <c r="N35" s="392">
        <v>0.21358208437353221</v>
      </c>
      <c r="O35" s="392">
        <v>0.21358208437353221</v>
      </c>
      <c r="P35" s="286" t="str">
        <f t="shared" si="5"/>
        <v>Weighted average of 2021 from "NSP End Use Customer Load Survey.xlxs" middle- and high-income customers, Forecast is taken from shape of heat pump forecast in the 2020 load forecast report "20200506 M09707 NSPI to NSUARB 2020 Load Forecast Report REDACTED REVISED.pdf" page 28</v>
      </c>
      <c r="T35" s="157" t="str">
        <f t="shared" si="0"/>
        <v>Ductless Mini SplitSmall CommercialScenario 1</v>
      </c>
    </row>
    <row r="36" spans="1:20" ht="14.4" x14ac:dyDescent="0.3">
      <c r="A36" s="391" t="s">
        <v>13</v>
      </c>
      <c r="B36" s="391" t="s">
        <v>330</v>
      </c>
      <c r="C36" s="393" t="s">
        <v>40</v>
      </c>
      <c r="D36" s="394" t="s">
        <v>282</v>
      </c>
      <c r="E36" s="389" t="str">
        <f t="shared" si="1"/>
        <v>Scenario 1</v>
      </c>
      <c r="F36" s="392">
        <v>0.1311614730878187</v>
      </c>
      <c r="G36" s="392">
        <v>0.14432000000000003</v>
      </c>
      <c r="H36" s="392">
        <v>0.15586560000000005</v>
      </c>
      <c r="I36" s="392">
        <v>0.16833484800000006</v>
      </c>
      <c r="J36" s="392">
        <v>0.18095996160000005</v>
      </c>
      <c r="K36" s="392">
        <v>0.19453195872000004</v>
      </c>
      <c r="L36" s="392">
        <v>0.20231323706880006</v>
      </c>
      <c r="M36" s="392">
        <v>0.20635950181017607</v>
      </c>
      <c r="N36" s="392">
        <v>0.21358208437353221</v>
      </c>
      <c r="O36" s="392">
        <v>0.21358208437353221</v>
      </c>
      <c r="P36" s="286" t="str">
        <f t="shared" si="5"/>
        <v>Weighted average of 2021 from "NSP End Use Customer Load Survey.xlxs" middle- and high-income customers, Forecast is taken from shape of heat pump forecast in the 2020 load forecast report "20200506 M09707 NSPI to NSUARB 2020 Load Forecast Report REDACTED REVISED.pdf" page 28</v>
      </c>
      <c r="T36" s="157" t="str">
        <f t="shared" si="0"/>
        <v>Ductless Mini SplitSmall CommercialScenario 1</v>
      </c>
    </row>
    <row r="37" spans="1:20" ht="14.4" x14ac:dyDescent="0.3">
      <c r="A37" s="391" t="s">
        <v>13</v>
      </c>
      <c r="B37" s="391" t="s">
        <v>330</v>
      </c>
      <c r="C37" s="393" t="s">
        <v>42</v>
      </c>
      <c r="D37" s="394" t="s">
        <v>276</v>
      </c>
      <c r="E37" s="389" t="str">
        <f t="shared" si="1"/>
        <v>Scenario 1</v>
      </c>
      <c r="F37" s="392">
        <v>0.1311614730878187</v>
      </c>
      <c r="G37" s="392">
        <v>0.14432000000000003</v>
      </c>
      <c r="H37" s="392">
        <v>0.15586560000000005</v>
      </c>
      <c r="I37" s="392">
        <v>0.16833484800000006</v>
      </c>
      <c r="J37" s="392">
        <v>0.18095996160000005</v>
      </c>
      <c r="K37" s="392">
        <v>0.19453195872000004</v>
      </c>
      <c r="L37" s="392">
        <v>0.20231323706880006</v>
      </c>
      <c r="M37" s="392">
        <v>0.20635950181017607</v>
      </c>
      <c r="N37" s="392">
        <v>0.21358208437353221</v>
      </c>
      <c r="O37" s="392">
        <v>0.21358208437353221</v>
      </c>
      <c r="P37" s="286" t="str">
        <f t="shared" si="5"/>
        <v>Weighted average of 2021 from "NSP End Use Customer Load Survey.xlxs" middle- and high-income customers, Forecast is taken from shape of heat pump forecast in the 2020 load forecast report "20200506 M09707 NSPI to NSUARB 2020 Load Forecast Report REDACTED REVISED.pdf" page 28</v>
      </c>
      <c r="T37" s="157" t="str">
        <f t="shared" si="0"/>
        <v>Ductless Mini SplitSmall IndustrialScenario 1</v>
      </c>
    </row>
    <row r="38" spans="1:20" ht="14.4" x14ac:dyDescent="0.3">
      <c r="A38" s="391" t="s">
        <v>13</v>
      </c>
      <c r="B38" s="391" t="s">
        <v>330</v>
      </c>
      <c r="C38" s="393" t="s">
        <v>42</v>
      </c>
      <c r="D38" s="394" t="s">
        <v>279</v>
      </c>
      <c r="E38" s="389" t="str">
        <f t="shared" si="1"/>
        <v>Scenario 1</v>
      </c>
      <c r="F38" s="392">
        <v>0.1311614730878187</v>
      </c>
      <c r="G38" s="392">
        <v>0.14432000000000003</v>
      </c>
      <c r="H38" s="392">
        <v>0.15586560000000005</v>
      </c>
      <c r="I38" s="392">
        <v>0.16833484800000006</v>
      </c>
      <c r="J38" s="392">
        <v>0.18095996160000005</v>
      </c>
      <c r="K38" s="392">
        <v>0.19453195872000004</v>
      </c>
      <c r="L38" s="392">
        <v>0.20231323706880006</v>
      </c>
      <c r="M38" s="392">
        <v>0.20635950181017607</v>
      </c>
      <c r="N38" s="392">
        <v>0.21358208437353221</v>
      </c>
      <c r="O38" s="392">
        <v>0.21358208437353221</v>
      </c>
      <c r="P38" s="286" t="str">
        <f t="shared" si="5"/>
        <v>Weighted average of 2021 from "NSP End Use Customer Load Survey.xlxs" middle- and high-income customers, Forecast is taken from shape of heat pump forecast in the 2020 load forecast report "20200506 M09707 NSPI to NSUARB 2020 Load Forecast Report REDACTED REVISED.pdf" page 28</v>
      </c>
      <c r="T38" s="157" t="str">
        <f t="shared" si="0"/>
        <v>Ductless Mini SplitSmall IndustrialScenario 1</v>
      </c>
    </row>
    <row r="39" spans="1:20" ht="14.4" x14ac:dyDescent="0.3">
      <c r="A39" s="391" t="s">
        <v>13</v>
      </c>
      <c r="B39" s="391" t="s">
        <v>330</v>
      </c>
      <c r="C39" s="393" t="s">
        <v>42</v>
      </c>
      <c r="D39" s="394" t="s">
        <v>280</v>
      </c>
      <c r="E39" s="389" t="str">
        <f t="shared" si="1"/>
        <v>Scenario 1</v>
      </c>
      <c r="F39" s="392">
        <v>0.1311614730878187</v>
      </c>
      <c r="G39" s="392">
        <v>0.14432000000000003</v>
      </c>
      <c r="H39" s="392">
        <v>0.15586560000000005</v>
      </c>
      <c r="I39" s="392">
        <v>0.16833484800000006</v>
      </c>
      <c r="J39" s="392">
        <v>0.18095996160000005</v>
      </c>
      <c r="K39" s="392">
        <v>0.19453195872000004</v>
      </c>
      <c r="L39" s="392">
        <v>0.20231323706880006</v>
      </c>
      <c r="M39" s="392">
        <v>0.20635950181017607</v>
      </c>
      <c r="N39" s="392">
        <v>0.21358208437353221</v>
      </c>
      <c r="O39" s="392">
        <v>0.21358208437353221</v>
      </c>
      <c r="P39" s="286" t="str">
        <f t="shared" si="5"/>
        <v>Weighted average of 2021 from "NSP End Use Customer Load Survey.xlxs" middle- and high-income customers, Forecast is taken from shape of heat pump forecast in the 2020 load forecast report "20200506 M09707 NSPI to NSUARB 2020 Load Forecast Report REDACTED REVISED.pdf" page 28</v>
      </c>
      <c r="T39" s="157" t="str">
        <f t="shared" si="0"/>
        <v>Ductless Mini SplitSmall IndustrialScenario 1</v>
      </c>
    </row>
    <row r="40" spans="1:20" ht="14.4" x14ac:dyDescent="0.3">
      <c r="A40" s="391" t="s">
        <v>13</v>
      </c>
      <c r="B40" s="391" t="s">
        <v>330</v>
      </c>
      <c r="C40" s="393" t="s">
        <v>42</v>
      </c>
      <c r="D40" s="394" t="s">
        <v>281</v>
      </c>
      <c r="E40" s="389" t="str">
        <f t="shared" si="1"/>
        <v>Scenario 1</v>
      </c>
      <c r="F40" s="392">
        <v>0.1311614730878187</v>
      </c>
      <c r="G40" s="392">
        <v>0.14432000000000003</v>
      </c>
      <c r="H40" s="392">
        <v>0.15586560000000005</v>
      </c>
      <c r="I40" s="392">
        <v>0.16833484800000006</v>
      </c>
      <c r="J40" s="392">
        <v>0.18095996160000005</v>
      </c>
      <c r="K40" s="392">
        <v>0.19453195872000004</v>
      </c>
      <c r="L40" s="392">
        <v>0.20231323706880006</v>
      </c>
      <c r="M40" s="392">
        <v>0.20635950181017607</v>
      </c>
      <c r="N40" s="392">
        <v>0.21358208437353221</v>
      </c>
      <c r="O40" s="392">
        <v>0.21358208437353221</v>
      </c>
      <c r="P40" s="286" t="str">
        <f t="shared" si="5"/>
        <v>Weighted average of 2021 from "NSP End Use Customer Load Survey.xlxs" middle- and high-income customers, Forecast is taken from shape of heat pump forecast in the 2020 load forecast report "20200506 M09707 NSPI to NSUARB 2020 Load Forecast Report REDACTED REVISED.pdf" page 28</v>
      </c>
      <c r="T40" s="157" t="str">
        <f t="shared" si="0"/>
        <v>Ductless Mini SplitSmall IndustrialScenario 1</v>
      </c>
    </row>
    <row r="41" spans="1:20" ht="14.4" x14ac:dyDescent="0.3">
      <c r="A41" s="391" t="s">
        <v>13</v>
      </c>
      <c r="B41" s="391" t="s">
        <v>330</v>
      </c>
      <c r="C41" s="393" t="s">
        <v>42</v>
      </c>
      <c r="D41" s="394" t="s">
        <v>282</v>
      </c>
      <c r="E41" s="389" t="str">
        <f t="shared" si="1"/>
        <v>Scenario 1</v>
      </c>
      <c r="F41" s="392">
        <v>0.1311614730878187</v>
      </c>
      <c r="G41" s="392">
        <v>0.14432000000000003</v>
      </c>
      <c r="H41" s="392">
        <v>0.15586560000000005</v>
      </c>
      <c r="I41" s="392">
        <v>0.16833484800000006</v>
      </c>
      <c r="J41" s="392">
        <v>0.18095996160000005</v>
      </c>
      <c r="K41" s="392">
        <v>0.19453195872000004</v>
      </c>
      <c r="L41" s="392">
        <v>0.20231323706880006</v>
      </c>
      <c r="M41" s="392">
        <v>0.20635950181017607</v>
      </c>
      <c r="N41" s="392">
        <v>0.21358208437353221</v>
      </c>
      <c r="O41" s="392">
        <v>0.21358208437353221</v>
      </c>
      <c r="P41" s="286" t="str">
        <f t="shared" si="5"/>
        <v>Weighted average of 2021 from "NSP End Use Customer Load Survey.xlxs" middle- and high-income customers, Forecast is taken from shape of heat pump forecast in the 2020 load forecast report "20200506 M09707 NSPI to NSUARB 2020 Load Forecast Report REDACTED REVISED.pdf" page 28</v>
      </c>
      <c r="T41" s="157" t="str">
        <f t="shared" si="0"/>
        <v>Ductless Mini SplitSmall IndustrialScenario 1</v>
      </c>
    </row>
    <row r="42" spans="1:20" ht="58.05" customHeight="1" x14ac:dyDescent="0.3">
      <c r="A42" s="391" t="s">
        <v>13</v>
      </c>
      <c r="B42" s="198" t="s">
        <v>353</v>
      </c>
      <c r="C42" s="391" t="s">
        <v>45</v>
      </c>
      <c r="D42" s="312" t="s">
        <v>272</v>
      </c>
      <c r="E42" s="389" t="str">
        <f t="shared" si="1"/>
        <v>Scenario 1</v>
      </c>
      <c r="F42" s="324">
        <v>0.67</v>
      </c>
      <c r="G42" s="324">
        <v>0.6995588235294119</v>
      </c>
      <c r="H42" s="324">
        <v>0.71926470588235292</v>
      </c>
      <c r="I42" s="324">
        <v>0.73897058823529427</v>
      </c>
      <c r="J42" s="324">
        <v>0.75867647058823529</v>
      </c>
      <c r="K42" s="324">
        <v>0.76852941176470591</v>
      </c>
      <c r="L42" s="324">
        <v>0.77838235294117653</v>
      </c>
      <c r="M42" s="324">
        <v>0.78823529411764715</v>
      </c>
      <c r="N42" s="324">
        <v>0.78823529411764715</v>
      </c>
      <c r="O42" s="324">
        <v>0.78823529411764715</v>
      </c>
      <c r="P42" s="456" t="s">
        <v>395</v>
      </c>
      <c r="T42" s="157" t="str">
        <f t="shared" si="0"/>
        <v>Hot WaterResidentialResidential Market RateScenario 1</v>
      </c>
    </row>
    <row r="43" spans="1:20" ht="63" customHeight="1" x14ac:dyDescent="0.3">
      <c r="A43" s="391" t="s">
        <v>13</v>
      </c>
      <c r="B43" s="198" t="s">
        <v>353</v>
      </c>
      <c r="C43" s="391" t="s">
        <v>45</v>
      </c>
      <c r="D43" s="312" t="s">
        <v>269</v>
      </c>
      <c r="E43" s="389" t="str">
        <f t="shared" si="1"/>
        <v>Scenario 1</v>
      </c>
      <c r="F43" s="324">
        <v>0.67</v>
      </c>
      <c r="G43" s="324">
        <v>0.6995588235294119</v>
      </c>
      <c r="H43" s="324">
        <v>0.71926470588235292</v>
      </c>
      <c r="I43" s="324">
        <v>0.73897058823529427</v>
      </c>
      <c r="J43" s="324">
        <v>0.75867647058823529</v>
      </c>
      <c r="K43" s="324">
        <v>0.76852941176470591</v>
      </c>
      <c r="L43" s="324">
        <v>0.77838235294117653</v>
      </c>
      <c r="M43" s="324">
        <v>0.78823529411764715</v>
      </c>
      <c r="N43" s="324">
        <v>0.78823529411764715</v>
      </c>
      <c r="O43" s="324">
        <v>0.78823529411764715</v>
      </c>
      <c r="P43" s="456"/>
      <c r="T43" s="157" t="str">
        <f t="shared" si="0"/>
        <v>Hot WaterResidentialResidential LIScenario 1</v>
      </c>
    </row>
    <row r="44" spans="1:20" ht="14.4" x14ac:dyDescent="0.3">
      <c r="A44" s="391" t="s">
        <v>13</v>
      </c>
      <c r="B44" s="198" t="s">
        <v>353</v>
      </c>
      <c r="C44" s="393" t="s">
        <v>40</v>
      </c>
      <c r="D44" s="393" t="s">
        <v>276</v>
      </c>
      <c r="E44" s="389" t="str">
        <f t="shared" si="1"/>
        <v>Scenario 1</v>
      </c>
      <c r="F44" s="324">
        <v>0.71</v>
      </c>
      <c r="G44" s="324">
        <v>0.74132352941176471</v>
      </c>
      <c r="H44" s="324">
        <v>0.76220588235294107</v>
      </c>
      <c r="I44" s="324">
        <v>0.78308823529411764</v>
      </c>
      <c r="J44" s="324">
        <v>0.8039705882352941</v>
      </c>
      <c r="K44" s="324">
        <v>0.81441176470588228</v>
      </c>
      <c r="L44" s="324">
        <v>0.82485294117647057</v>
      </c>
      <c r="M44" s="324">
        <v>0.83529411764705885</v>
      </c>
      <c r="N44" s="324">
        <v>0.83529411764705885</v>
      </c>
      <c r="O44" s="324">
        <v>0.83529411764705885</v>
      </c>
      <c r="P44" s="456" t="s">
        <v>396</v>
      </c>
      <c r="T44" s="157" t="str">
        <f t="shared" si="0"/>
        <v>Hot WaterSmall CommercialScenario 1</v>
      </c>
    </row>
    <row r="45" spans="1:20" ht="14.4" x14ac:dyDescent="0.3">
      <c r="A45" s="391" t="s">
        <v>13</v>
      </c>
      <c r="B45" s="198" t="s">
        <v>353</v>
      </c>
      <c r="C45" s="393" t="s">
        <v>40</v>
      </c>
      <c r="D45" s="393" t="s">
        <v>279</v>
      </c>
      <c r="E45" s="389" t="str">
        <f t="shared" si="1"/>
        <v>Scenario 1</v>
      </c>
      <c r="F45" s="324">
        <v>0.71</v>
      </c>
      <c r="G45" s="324">
        <v>0.74132352941176471</v>
      </c>
      <c r="H45" s="324">
        <v>0.76220588235294107</v>
      </c>
      <c r="I45" s="324">
        <v>0.78308823529411764</v>
      </c>
      <c r="J45" s="324">
        <v>0.8039705882352941</v>
      </c>
      <c r="K45" s="324">
        <v>0.81441176470588228</v>
      </c>
      <c r="L45" s="324">
        <v>0.82485294117647057</v>
      </c>
      <c r="M45" s="324">
        <v>0.83529411764705885</v>
      </c>
      <c r="N45" s="324">
        <v>0.83529411764705885</v>
      </c>
      <c r="O45" s="324">
        <v>0.83529411764705885</v>
      </c>
      <c r="P45" s="457"/>
      <c r="T45" s="157" t="str">
        <f t="shared" si="0"/>
        <v>Hot WaterSmall CommercialScenario 1</v>
      </c>
    </row>
    <row r="46" spans="1:20" ht="14.4" x14ac:dyDescent="0.3">
      <c r="A46" s="391" t="s">
        <v>13</v>
      </c>
      <c r="B46" s="198" t="s">
        <v>353</v>
      </c>
      <c r="C46" s="393" t="s">
        <v>40</v>
      </c>
      <c r="D46" s="394" t="s">
        <v>280</v>
      </c>
      <c r="E46" s="389" t="str">
        <f t="shared" si="1"/>
        <v>Scenario 1</v>
      </c>
      <c r="F46" s="324">
        <v>0.71</v>
      </c>
      <c r="G46" s="324">
        <v>0.74132352941176471</v>
      </c>
      <c r="H46" s="324">
        <v>0.76220588235294107</v>
      </c>
      <c r="I46" s="324">
        <v>0.78308823529411764</v>
      </c>
      <c r="J46" s="324">
        <v>0.8039705882352941</v>
      </c>
      <c r="K46" s="324">
        <v>0.81441176470588228</v>
      </c>
      <c r="L46" s="324">
        <v>0.82485294117647057</v>
      </c>
      <c r="M46" s="324">
        <v>0.83529411764705885</v>
      </c>
      <c r="N46" s="324">
        <v>0.83529411764705885</v>
      </c>
      <c r="O46" s="324">
        <v>0.83529411764705885</v>
      </c>
      <c r="P46" s="457"/>
      <c r="T46" s="157" t="str">
        <f t="shared" si="0"/>
        <v>Hot WaterSmall CommercialScenario 1</v>
      </c>
    </row>
    <row r="47" spans="1:20" ht="14.4" x14ac:dyDescent="0.3">
      <c r="A47" s="391" t="s">
        <v>13</v>
      </c>
      <c r="B47" s="198" t="s">
        <v>353</v>
      </c>
      <c r="C47" s="393" t="s">
        <v>40</v>
      </c>
      <c r="D47" s="394" t="s">
        <v>281</v>
      </c>
      <c r="E47" s="389" t="str">
        <f t="shared" si="1"/>
        <v>Scenario 1</v>
      </c>
      <c r="F47" s="324">
        <v>0.71</v>
      </c>
      <c r="G47" s="324">
        <v>0.74132352941176471</v>
      </c>
      <c r="H47" s="324">
        <v>0.76220588235294107</v>
      </c>
      <c r="I47" s="324">
        <v>0.78308823529411764</v>
      </c>
      <c r="J47" s="324">
        <v>0.8039705882352941</v>
      </c>
      <c r="K47" s="324">
        <v>0.81441176470588228</v>
      </c>
      <c r="L47" s="324">
        <v>0.82485294117647057</v>
      </c>
      <c r="M47" s="324">
        <v>0.83529411764705885</v>
      </c>
      <c r="N47" s="324">
        <v>0.83529411764705885</v>
      </c>
      <c r="O47" s="324">
        <v>0.83529411764705885</v>
      </c>
      <c r="P47" s="457"/>
      <c r="T47" s="157" t="str">
        <f t="shared" si="0"/>
        <v>Hot WaterSmall CommercialScenario 1</v>
      </c>
    </row>
    <row r="48" spans="1:20" ht="14.4" x14ac:dyDescent="0.3">
      <c r="A48" s="391" t="s">
        <v>13</v>
      </c>
      <c r="B48" s="198" t="s">
        <v>353</v>
      </c>
      <c r="C48" s="393" t="s">
        <v>40</v>
      </c>
      <c r="D48" s="394" t="s">
        <v>282</v>
      </c>
      <c r="E48" s="389" t="str">
        <f t="shared" si="1"/>
        <v>Scenario 1</v>
      </c>
      <c r="F48" s="324">
        <v>0.71</v>
      </c>
      <c r="G48" s="324">
        <v>0.74132352941176471</v>
      </c>
      <c r="H48" s="324">
        <v>0.76220588235294107</v>
      </c>
      <c r="I48" s="324">
        <v>0.78308823529411764</v>
      </c>
      <c r="J48" s="324">
        <v>0.8039705882352941</v>
      </c>
      <c r="K48" s="324">
        <v>0.81441176470588228</v>
      </c>
      <c r="L48" s="324">
        <v>0.82485294117647057</v>
      </c>
      <c r="M48" s="324">
        <v>0.83529411764705885</v>
      </c>
      <c r="N48" s="324">
        <v>0.83529411764705885</v>
      </c>
      <c r="O48" s="324">
        <v>0.83529411764705885</v>
      </c>
      <c r="P48" s="457"/>
      <c r="T48" s="157" t="str">
        <f t="shared" si="0"/>
        <v>Hot WaterSmall CommercialScenario 1</v>
      </c>
    </row>
    <row r="49" spans="1:20" ht="14.4" x14ac:dyDescent="0.3">
      <c r="A49" s="391" t="s">
        <v>13</v>
      </c>
      <c r="B49" s="198" t="s">
        <v>353</v>
      </c>
      <c r="C49" s="393" t="s">
        <v>42</v>
      </c>
      <c r="D49" s="394" t="s">
        <v>276</v>
      </c>
      <c r="E49" s="389" t="str">
        <f t="shared" si="1"/>
        <v>Scenario 1</v>
      </c>
      <c r="F49" s="324">
        <v>0.71</v>
      </c>
      <c r="G49" s="324">
        <v>0.74132352941176471</v>
      </c>
      <c r="H49" s="324">
        <v>0.76220588235294107</v>
      </c>
      <c r="I49" s="324">
        <v>0.78308823529411764</v>
      </c>
      <c r="J49" s="324">
        <v>0.8039705882352941</v>
      </c>
      <c r="K49" s="324">
        <v>0.81441176470588228</v>
      </c>
      <c r="L49" s="324">
        <v>0.82485294117647057</v>
      </c>
      <c r="M49" s="324">
        <v>0.83529411764705885</v>
      </c>
      <c r="N49" s="324">
        <v>0.83529411764705885</v>
      </c>
      <c r="O49" s="324">
        <v>0.83529411764705885</v>
      </c>
      <c r="P49" s="457"/>
      <c r="T49" s="157" t="str">
        <f t="shared" si="0"/>
        <v>Hot WaterSmall IndustrialScenario 1</v>
      </c>
    </row>
    <row r="50" spans="1:20" ht="14.4" x14ac:dyDescent="0.3">
      <c r="A50" s="391" t="s">
        <v>13</v>
      </c>
      <c r="B50" s="198" t="s">
        <v>353</v>
      </c>
      <c r="C50" s="393" t="s">
        <v>42</v>
      </c>
      <c r="D50" s="394" t="s">
        <v>279</v>
      </c>
      <c r="E50" s="389" t="str">
        <f t="shared" si="1"/>
        <v>Scenario 1</v>
      </c>
      <c r="F50" s="324">
        <v>0.71</v>
      </c>
      <c r="G50" s="324">
        <v>0.74132352941176471</v>
      </c>
      <c r="H50" s="324">
        <v>0.76220588235294107</v>
      </c>
      <c r="I50" s="324">
        <v>0.78308823529411764</v>
      </c>
      <c r="J50" s="324">
        <v>0.8039705882352941</v>
      </c>
      <c r="K50" s="324">
        <v>0.81441176470588228</v>
      </c>
      <c r="L50" s="324">
        <v>0.82485294117647057</v>
      </c>
      <c r="M50" s="324">
        <v>0.83529411764705885</v>
      </c>
      <c r="N50" s="324">
        <v>0.83529411764705885</v>
      </c>
      <c r="O50" s="324">
        <v>0.83529411764705885</v>
      </c>
      <c r="P50" s="457"/>
      <c r="T50" s="157" t="str">
        <f t="shared" si="0"/>
        <v>Hot WaterSmall IndustrialScenario 1</v>
      </c>
    </row>
    <row r="51" spans="1:20" ht="14.4" x14ac:dyDescent="0.3">
      <c r="A51" s="391" t="s">
        <v>13</v>
      </c>
      <c r="B51" s="198" t="s">
        <v>353</v>
      </c>
      <c r="C51" s="393" t="s">
        <v>42</v>
      </c>
      <c r="D51" s="394" t="s">
        <v>280</v>
      </c>
      <c r="E51" s="389" t="str">
        <f t="shared" si="1"/>
        <v>Scenario 1</v>
      </c>
      <c r="F51" s="324">
        <v>0.71</v>
      </c>
      <c r="G51" s="324">
        <v>0.74132352941176471</v>
      </c>
      <c r="H51" s="324">
        <v>0.76220588235294107</v>
      </c>
      <c r="I51" s="324">
        <v>0.78308823529411764</v>
      </c>
      <c r="J51" s="324">
        <v>0.8039705882352941</v>
      </c>
      <c r="K51" s="324">
        <v>0.81441176470588228</v>
      </c>
      <c r="L51" s="324">
        <v>0.82485294117647057</v>
      </c>
      <c r="M51" s="324">
        <v>0.83529411764705885</v>
      </c>
      <c r="N51" s="324">
        <v>0.83529411764705885</v>
      </c>
      <c r="O51" s="324">
        <v>0.83529411764705885</v>
      </c>
      <c r="P51" s="457"/>
      <c r="T51" s="157" t="str">
        <f t="shared" si="0"/>
        <v>Hot WaterSmall IndustrialScenario 1</v>
      </c>
    </row>
    <row r="52" spans="1:20" ht="14.4" x14ac:dyDescent="0.3">
      <c r="A52" s="391" t="s">
        <v>13</v>
      </c>
      <c r="B52" s="198" t="s">
        <v>353</v>
      </c>
      <c r="C52" s="393" t="s">
        <v>42</v>
      </c>
      <c r="D52" s="394" t="s">
        <v>281</v>
      </c>
      <c r="E52" s="389" t="str">
        <f t="shared" si="1"/>
        <v>Scenario 1</v>
      </c>
      <c r="F52" s="324">
        <v>0.71</v>
      </c>
      <c r="G52" s="324">
        <v>0.74132352941176471</v>
      </c>
      <c r="H52" s="324">
        <v>0.76220588235294107</v>
      </c>
      <c r="I52" s="324">
        <v>0.78308823529411764</v>
      </c>
      <c r="J52" s="324">
        <v>0.8039705882352941</v>
      </c>
      <c r="K52" s="324">
        <v>0.81441176470588228</v>
      </c>
      <c r="L52" s="324">
        <v>0.82485294117647057</v>
      </c>
      <c r="M52" s="324">
        <v>0.83529411764705885</v>
      </c>
      <c r="N52" s="324">
        <v>0.83529411764705885</v>
      </c>
      <c r="O52" s="324">
        <v>0.83529411764705885</v>
      </c>
      <c r="P52" s="457"/>
      <c r="T52" s="157" t="str">
        <f t="shared" si="0"/>
        <v>Hot WaterSmall IndustrialScenario 1</v>
      </c>
    </row>
    <row r="53" spans="1:20" ht="14.4" x14ac:dyDescent="0.3">
      <c r="A53" s="391" t="s">
        <v>13</v>
      </c>
      <c r="B53" s="198" t="s">
        <v>353</v>
      </c>
      <c r="C53" s="393" t="s">
        <v>42</v>
      </c>
      <c r="D53" s="394" t="s">
        <v>282</v>
      </c>
      <c r="E53" s="389" t="str">
        <f t="shared" si="1"/>
        <v>Scenario 1</v>
      </c>
      <c r="F53" s="324">
        <v>0.71</v>
      </c>
      <c r="G53" s="324">
        <v>0.74132352941176471</v>
      </c>
      <c r="H53" s="324">
        <v>0.76220588235294107</v>
      </c>
      <c r="I53" s="324">
        <v>0.78308823529411764</v>
      </c>
      <c r="J53" s="324">
        <v>0.8039705882352941</v>
      </c>
      <c r="K53" s="324">
        <v>0.81441176470588228</v>
      </c>
      <c r="L53" s="324">
        <v>0.82485294117647057</v>
      </c>
      <c r="M53" s="324">
        <v>0.83529411764705885</v>
      </c>
      <c r="N53" s="324">
        <v>0.83529411764705885</v>
      </c>
      <c r="O53" s="324">
        <v>0.83529411764705885</v>
      </c>
      <c r="P53" s="457"/>
      <c r="T53" s="157" t="str">
        <f t="shared" si="0"/>
        <v>Hot WaterSmall IndustrialScenario 1</v>
      </c>
    </row>
    <row r="54" spans="1:20" ht="14.4" x14ac:dyDescent="0.25">
      <c r="A54" s="224" t="s">
        <v>13</v>
      </c>
      <c r="B54" s="224" t="str">
        <f t="shared" ref="B54:D73" si="6">B5</f>
        <v>Heat Pump Heating</v>
      </c>
      <c r="C54" s="224" t="str">
        <f t="shared" si="6"/>
        <v>Residential</v>
      </c>
      <c r="D54" s="389" t="str">
        <f t="shared" si="6"/>
        <v>Residential Market Rate</v>
      </c>
      <c r="E54" s="394" t="str">
        <f>EditableIndexes!Q5</f>
        <v>Scenario 2</v>
      </c>
      <c r="F54" s="395">
        <v>0.10492917847025496</v>
      </c>
      <c r="G54" s="395">
        <v>0.11539000000000001</v>
      </c>
      <c r="H54" s="395">
        <v>0.12462120000000002</v>
      </c>
      <c r="I54" s="395">
        <v>0.13459089600000002</v>
      </c>
      <c r="J54" s="395">
        <v>0.14468521320000002</v>
      </c>
      <c r="K54" s="395">
        <v>0.15553660419000001</v>
      </c>
      <c r="L54" s="395">
        <v>0.16175806835760001</v>
      </c>
      <c r="M54" s="395">
        <v>0.164993229724752</v>
      </c>
      <c r="N54" s="395">
        <v>0.17076799276511831</v>
      </c>
      <c r="O54" s="395">
        <v>0.17076799276511831</v>
      </c>
      <c r="T54" s="157" t="str">
        <f t="shared" si="0"/>
        <v>Heat Pump HeatingResidentialResidential Market RateScenario 2</v>
      </c>
    </row>
    <row r="55" spans="1:20" ht="14.4" x14ac:dyDescent="0.25">
      <c r="A55" s="224" t="s">
        <v>13</v>
      </c>
      <c r="B55" s="224" t="str">
        <f t="shared" si="6"/>
        <v>Heat Pump Heating</v>
      </c>
      <c r="C55" s="224" t="str">
        <f t="shared" si="6"/>
        <v>Residential</v>
      </c>
      <c r="D55" s="389" t="str">
        <f t="shared" si="6"/>
        <v>Residential LI</v>
      </c>
      <c r="E55" s="394" t="str">
        <f>E54</f>
        <v>Scenario 2</v>
      </c>
      <c r="F55" s="395">
        <v>0.08</v>
      </c>
      <c r="G55" s="395">
        <v>8.8000000000000009E-2</v>
      </c>
      <c r="H55" s="395">
        <v>9.5040000000000013E-2</v>
      </c>
      <c r="I55" s="395">
        <v>0.10264320000000002</v>
      </c>
      <c r="J55" s="395">
        <v>0.11034144000000001</v>
      </c>
      <c r="K55" s="395">
        <v>0.118617048</v>
      </c>
      <c r="L55" s="395">
        <v>0.12336172992000001</v>
      </c>
      <c r="M55" s="395">
        <v>0.1258289645184</v>
      </c>
      <c r="N55" s="395">
        <v>0.13023297827654398</v>
      </c>
      <c r="O55" s="395">
        <v>0.13023297827654398</v>
      </c>
      <c r="T55" s="157" t="str">
        <f t="shared" si="0"/>
        <v>Heat Pump HeatingResidentialResidential LIScenario 2</v>
      </c>
    </row>
    <row r="56" spans="1:20" ht="14.4" x14ac:dyDescent="0.25">
      <c r="A56" s="224" t="s">
        <v>13</v>
      </c>
      <c r="B56" s="224" t="str">
        <f t="shared" si="6"/>
        <v>Electric Furnace</v>
      </c>
      <c r="C56" s="224" t="str">
        <f t="shared" si="6"/>
        <v>Residential</v>
      </c>
      <c r="D56" s="389" t="str">
        <f t="shared" si="6"/>
        <v>Residential Market Rate</v>
      </c>
      <c r="E56" s="394" t="str">
        <f t="shared" ref="E56:E102" si="7">E55</f>
        <v>Scenario 2</v>
      </c>
      <c r="F56" s="395">
        <v>0</v>
      </c>
      <c r="G56" s="395">
        <v>0</v>
      </c>
      <c r="H56" s="395">
        <v>0</v>
      </c>
      <c r="I56" s="395">
        <v>0</v>
      </c>
      <c r="J56" s="395">
        <v>0</v>
      </c>
      <c r="K56" s="395">
        <v>0</v>
      </c>
      <c r="L56" s="395">
        <v>0</v>
      </c>
      <c r="M56" s="395">
        <v>0</v>
      </c>
      <c r="N56" s="395">
        <v>0</v>
      </c>
      <c r="O56" s="395">
        <v>0</v>
      </c>
      <c r="T56" s="157" t="str">
        <f t="shared" si="0"/>
        <v>Electric FurnaceResidentialResidential Market RateScenario 2</v>
      </c>
    </row>
    <row r="57" spans="1:20" ht="14.4" x14ac:dyDescent="0.3">
      <c r="A57" s="391" t="s">
        <v>13</v>
      </c>
      <c r="B57" s="391" t="str">
        <f t="shared" si="6"/>
        <v>Baseboard Heating</v>
      </c>
      <c r="C57" s="391" t="str">
        <f t="shared" si="6"/>
        <v>Residential</v>
      </c>
      <c r="D57" s="312" t="str">
        <f t="shared" si="6"/>
        <v>Residential Market Rate</v>
      </c>
      <c r="E57" s="394" t="str">
        <f t="shared" si="7"/>
        <v>Scenario 2</v>
      </c>
      <c r="F57" s="395">
        <v>0.19507082152974506</v>
      </c>
      <c r="G57" s="395">
        <v>0.1951</v>
      </c>
      <c r="H57" s="395">
        <v>0.1951</v>
      </c>
      <c r="I57" s="395">
        <v>0.18990000000000001</v>
      </c>
      <c r="J57" s="395">
        <v>0.1842</v>
      </c>
      <c r="K57" s="395">
        <v>0.17830000000000001</v>
      </c>
      <c r="L57" s="395">
        <v>0.1719</v>
      </c>
      <c r="M57" s="395">
        <v>0.16470000000000001</v>
      </c>
      <c r="N57" s="395">
        <v>0.15710000000000002</v>
      </c>
      <c r="O57" s="395">
        <v>0.1492</v>
      </c>
      <c r="T57" s="157" t="str">
        <f t="shared" si="0"/>
        <v>Baseboard HeatingResidentialResidential Market RateScenario 2</v>
      </c>
    </row>
    <row r="58" spans="1:20" ht="14.4" x14ac:dyDescent="0.3">
      <c r="A58" s="391" t="s">
        <v>13</v>
      </c>
      <c r="B58" s="391" t="str">
        <f t="shared" si="6"/>
        <v>Baseboard Heating</v>
      </c>
      <c r="C58" s="391" t="str">
        <f t="shared" si="6"/>
        <v>Residential</v>
      </c>
      <c r="D58" s="312" t="str">
        <f t="shared" si="6"/>
        <v>Residential LI</v>
      </c>
      <c r="E58" s="394" t="str">
        <f t="shared" si="7"/>
        <v>Scenario 2</v>
      </c>
      <c r="F58" s="395">
        <v>0.23</v>
      </c>
      <c r="G58" s="395">
        <v>0.23</v>
      </c>
      <c r="H58" s="395">
        <v>0.23</v>
      </c>
      <c r="I58" s="395">
        <v>0.22480000000000003</v>
      </c>
      <c r="J58" s="395">
        <v>0.21910000000000002</v>
      </c>
      <c r="K58" s="395">
        <v>0.21320000000000003</v>
      </c>
      <c r="L58" s="395">
        <v>0.20680000000000001</v>
      </c>
      <c r="M58" s="395">
        <v>0.19960000000000003</v>
      </c>
      <c r="N58" s="395">
        <v>0.19200000000000003</v>
      </c>
      <c r="O58" s="395">
        <v>0.18410000000000001</v>
      </c>
      <c r="T58" s="157" t="str">
        <f t="shared" si="0"/>
        <v>Baseboard HeatingResidentialResidential LIScenario 2</v>
      </c>
    </row>
    <row r="59" spans="1:20" ht="14.4" x14ac:dyDescent="0.3">
      <c r="A59" s="391" t="s">
        <v>13</v>
      </c>
      <c r="B59" s="391" t="str">
        <f t="shared" si="6"/>
        <v>Ductless Mini Split</v>
      </c>
      <c r="C59" s="391" t="str">
        <f t="shared" si="6"/>
        <v>Residential</v>
      </c>
      <c r="D59" s="312" t="str">
        <f t="shared" si="6"/>
        <v>Residential Market Rate</v>
      </c>
      <c r="E59" s="394" t="str">
        <f t="shared" si="7"/>
        <v>Scenario 2</v>
      </c>
      <c r="F59" s="395">
        <v>0.1311614730878187</v>
      </c>
      <c r="G59" s="395">
        <v>0.14432000000000003</v>
      </c>
      <c r="H59" s="395">
        <v>0.15586560000000005</v>
      </c>
      <c r="I59" s="395">
        <v>0.16833484800000006</v>
      </c>
      <c r="J59" s="395">
        <v>0.18095996160000005</v>
      </c>
      <c r="K59" s="395">
        <v>0.19453195872000004</v>
      </c>
      <c r="L59" s="395">
        <v>0.20231323706880006</v>
      </c>
      <c r="M59" s="395">
        <v>0.20635950181017607</v>
      </c>
      <c r="N59" s="395">
        <v>0.21358208437353221</v>
      </c>
      <c r="O59" s="395">
        <v>0.21358208437353221</v>
      </c>
      <c r="T59" s="157" t="str">
        <f t="shared" si="0"/>
        <v>Ductless Mini SplitResidentialResidential Market RateScenario 2</v>
      </c>
    </row>
    <row r="60" spans="1:20" ht="14.4" x14ac:dyDescent="0.3">
      <c r="A60" s="391" t="s">
        <v>13</v>
      </c>
      <c r="B60" s="391" t="str">
        <f t="shared" si="6"/>
        <v>Ductless Mini Split</v>
      </c>
      <c r="C60" s="391" t="str">
        <f t="shared" si="6"/>
        <v>Residential</v>
      </c>
      <c r="D60" s="312" t="str">
        <f t="shared" si="6"/>
        <v>Residential LI</v>
      </c>
      <c r="E60" s="394" t="str">
        <f t="shared" si="7"/>
        <v>Scenario 2</v>
      </c>
      <c r="F60" s="395">
        <v>0.08</v>
      </c>
      <c r="G60" s="395">
        <v>8.8000000000000009E-2</v>
      </c>
      <c r="H60" s="395">
        <v>9.5040000000000013E-2</v>
      </c>
      <c r="I60" s="395">
        <v>0.10264320000000002</v>
      </c>
      <c r="J60" s="395">
        <v>0.11034144000000001</v>
      </c>
      <c r="K60" s="395">
        <v>0.118617048</v>
      </c>
      <c r="L60" s="395">
        <v>0.12336172992000001</v>
      </c>
      <c r="M60" s="395">
        <v>0.1258289645184</v>
      </c>
      <c r="N60" s="395">
        <v>0.13023297827654398</v>
      </c>
      <c r="O60" s="395">
        <v>0.13023297827654398</v>
      </c>
      <c r="T60" s="157" t="str">
        <f t="shared" si="0"/>
        <v>Ductless Mini SplitResidentialResidential LIScenario 2</v>
      </c>
    </row>
    <row r="61" spans="1:20" ht="14.4" x14ac:dyDescent="0.3">
      <c r="A61" s="391" t="s">
        <v>13</v>
      </c>
      <c r="B61" s="391" t="str">
        <f t="shared" si="6"/>
        <v>Heat Pump Heating</v>
      </c>
      <c r="C61" s="391" t="str">
        <f t="shared" si="6"/>
        <v>Small Commercial</v>
      </c>
      <c r="D61" s="312" t="str">
        <f t="shared" si="6"/>
        <v>Manufacturing</v>
      </c>
      <c r="E61" s="394" t="str">
        <f t="shared" si="7"/>
        <v>Scenario 2</v>
      </c>
      <c r="F61" s="395">
        <v>0.10492917847025496</v>
      </c>
      <c r="G61" s="395">
        <v>0.11539000000000001</v>
      </c>
      <c r="H61" s="395">
        <v>0.12462120000000002</v>
      </c>
      <c r="I61" s="395">
        <v>0.13459089600000002</v>
      </c>
      <c r="J61" s="395">
        <v>0.14468521320000002</v>
      </c>
      <c r="K61" s="395">
        <v>0.15553660419000001</v>
      </c>
      <c r="L61" s="395">
        <v>0.16175806835760001</v>
      </c>
      <c r="M61" s="395">
        <v>0.164993229724752</v>
      </c>
      <c r="N61" s="395">
        <v>0.17076799276511831</v>
      </c>
      <c r="O61" s="395">
        <v>0.17076799276511831</v>
      </c>
      <c r="P61" s="286">
        <f t="shared" ref="P61" si="8">P54</f>
        <v>0</v>
      </c>
      <c r="T61" s="157" t="str">
        <f t="shared" si="0"/>
        <v>Heat Pump HeatingSmall CommercialScenario 2</v>
      </c>
    </row>
    <row r="62" spans="1:20" ht="14.4" x14ac:dyDescent="0.3">
      <c r="A62" s="391" t="s">
        <v>13</v>
      </c>
      <c r="B62" s="391" t="str">
        <f t="shared" si="6"/>
        <v>Heat Pump Heating</v>
      </c>
      <c r="C62" s="391" t="str">
        <f t="shared" si="6"/>
        <v>Small Commercial</v>
      </c>
      <c r="D62" s="312" t="str">
        <f t="shared" si="6"/>
        <v>Miscellaneous</v>
      </c>
      <c r="E62" s="394" t="str">
        <f t="shared" si="7"/>
        <v>Scenario 2</v>
      </c>
      <c r="F62" s="395">
        <v>0.10492917847025496</v>
      </c>
      <c r="G62" s="395">
        <v>0.11539000000000001</v>
      </c>
      <c r="H62" s="395">
        <v>0.12462120000000002</v>
      </c>
      <c r="I62" s="395">
        <v>0.13459089600000002</v>
      </c>
      <c r="J62" s="395">
        <v>0.14468521320000002</v>
      </c>
      <c r="K62" s="395">
        <v>0.15553660419000001</v>
      </c>
      <c r="L62" s="395">
        <v>0.16175806835760001</v>
      </c>
      <c r="M62" s="395">
        <v>0.164993229724752</v>
      </c>
      <c r="N62" s="395">
        <v>0.17076799276511831</v>
      </c>
      <c r="O62" s="395">
        <v>0.17076799276511831</v>
      </c>
      <c r="P62" s="286">
        <f t="shared" ref="P62:P70" si="9">P61</f>
        <v>0</v>
      </c>
      <c r="T62" s="157" t="str">
        <f t="shared" si="0"/>
        <v>Heat Pump HeatingSmall CommercialScenario 2</v>
      </c>
    </row>
    <row r="63" spans="1:20" ht="14.4" x14ac:dyDescent="0.3">
      <c r="A63" s="391" t="s">
        <v>13</v>
      </c>
      <c r="B63" s="391" t="str">
        <f t="shared" si="6"/>
        <v>Heat Pump Heating</v>
      </c>
      <c r="C63" s="391" t="str">
        <f t="shared" si="6"/>
        <v>Small Commercial</v>
      </c>
      <c r="D63" s="312" t="str">
        <f t="shared" si="6"/>
        <v>Offices</v>
      </c>
      <c r="E63" s="394" t="str">
        <f t="shared" si="7"/>
        <v>Scenario 2</v>
      </c>
      <c r="F63" s="395">
        <v>0.10492917847025496</v>
      </c>
      <c r="G63" s="395">
        <v>0.11539000000000001</v>
      </c>
      <c r="H63" s="395">
        <v>0.12462120000000002</v>
      </c>
      <c r="I63" s="395">
        <v>0.13459089600000002</v>
      </c>
      <c r="J63" s="395">
        <v>0.14468521320000002</v>
      </c>
      <c r="K63" s="395">
        <v>0.15553660419000001</v>
      </c>
      <c r="L63" s="395">
        <v>0.16175806835760001</v>
      </c>
      <c r="M63" s="395">
        <v>0.164993229724752</v>
      </c>
      <c r="N63" s="395">
        <v>0.17076799276511831</v>
      </c>
      <c r="O63" s="395">
        <v>0.17076799276511831</v>
      </c>
      <c r="P63" s="286">
        <f t="shared" si="9"/>
        <v>0</v>
      </c>
      <c r="T63" s="157" t="str">
        <f t="shared" si="0"/>
        <v>Heat Pump HeatingSmall CommercialScenario 2</v>
      </c>
    </row>
    <row r="64" spans="1:20" ht="14.4" x14ac:dyDescent="0.3">
      <c r="A64" s="391" t="s">
        <v>13</v>
      </c>
      <c r="B64" s="391" t="str">
        <f t="shared" si="6"/>
        <v>Heat Pump Heating</v>
      </c>
      <c r="C64" s="391" t="str">
        <f t="shared" si="6"/>
        <v>Small Commercial</v>
      </c>
      <c r="D64" s="312" t="str">
        <f t="shared" si="6"/>
        <v>Retail Trade</v>
      </c>
      <c r="E64" s="394" t="str">
        <f t="shared" si="7"/>
        <v>Scenario 2</v>
      </c>
      <c r="F64" s="395">
        <v>0.10492917847025496</v>
      </c>
      <c r="G64" s="395">
        <v>0.11539000000000001</v>
      </c>
      <c r="H64" s="395">
        <v>0.12462120000000002</v>
      </c>
      <c r="I64" s="395">
        <v>0.13459089600000002</v>
      </c>
      <c r="J64" s="395">
        <v>0.14468521320000002</v>
      </c>
      <c r="K64" s="395">
        <v>0.15553660419000001</v>
      </c>
      <c r="L64" s="395">
        <v>0.16175806835760001</v>
      </c>
      <c r="M64" s="395">
        <v>0.164993229724752</v>
      </c>
      <c r="N64" s="395">
        <v>0.17076799276511831</v>
      </c>
      <c r="O64" s="395">
        <v>0.17076799276511831</v>
      </c>
      <c r="P64" s="286">
        <f t="shared" si="9"/>
        <v>0</v>
      </c>
      <c r="T64" s="157" t="str">
        <f t="shared" si="0"/>
        <v>Heat Pump HeatingSmall CommercialScenario 2</v>
      </c>
    </row>
    <row r="65" spans="1:20" ht="14.4" x14ac:dyDescent="0.3">
      <c r="A65" s="391" t="s">
        <v>13</v>
      </c>
      <c r="B65" s="391" t="str">
        <f t="shared" si="6"/>
        <v>Heat Pump Heating</v>
      </c>
      <c r="C65" s="391" t="str">
        <f t="shared" si="6"/>
        <v>Small Commercial</v>
      </c>
      <c r="D65" s="312" t="str">
        <f t="shared" si="6"/>
        <v>Services</v>
      </c>
      <c r="E65" s="394" t="str">
        <f t="shared" si="7"/>
        <v>Scenario 2</v>
      </c>
      <c r="F65" s="395">
        <v>0.10492917847025496</v>
      </c>
      <c r="G65" s="395">
        <v>0.11539000000000001</v>
      </c>
      <c r="H65" s="395">
        <v>0.12462120000000002</v>
      </c>
      <c r="I65" s="395">
        <v>0.13459089600000002</v>
      </c>
      <c r="J65" s="395">
        <v>0.14468521320000002</v>
      </c>
      <c r="K65" s="395">
        <v>0.15553660419000001</v>
      </c>
      <c r="L65" s="395">
        <v>0.16175806835760001</v>
      </c>
      <c r="M65" s="395">
        <v>0.164993229724752</v>
      </c>
      <c r="N65" s="395">
        <v>0.17076799276511831</v>
      </c>
      <c r="O65" s="395">
        <v>0.17076799276511831</v>
      </c>
      <c r="P65" s="286">
        <f t="shared" si="9"/>
        <v>0</v>
      </c>
      <c r="T65" s="157" t="str">
        <f t="shared" si="0"/>
        <v>Heat Pump HeatingSmall CommercialScenario 2</v>
      </c>
    </row>
    <row r="66" spans="1:20" ht="14.4" x14ac:dyDescent="0.3">
      <c r="A66" s="391" t="s">
        <v>13</v>
      </c>
      <c r="B66" s="391" t="str">
        <f t="shared" si="6"/>
        <v>Heat Pump Heating</v>
      </c>
      <c r="C66" s="391" t="str">
        <f t="shared" si="6"/>
        <v>Small Industrial</v>
      </c>
      <c r="D66" s="312" t="str">
        <f t="shared" si="6"/>
        <v>Manufacturing</v>
      </c>
      <c r="E66" s="394" t="str">
        <f t="shared" si="7"/>
        <v>Scenario 2</v>
      </c>
      <c r="F66" s="395">
        <v>0.10492917847025496</v>
      </c>
      <c r="G66" s="395">
        <v>0.11539000000000001</v>
      </c>
      <c r="H66" s="395">
        <v>0.12462120000000002</v>
      </c>
      <c r="I66" s="395">
        <v>0.13459089600000002</v>
      </c>
      <c r="J66" s="395">
        <v>0.14468521320000002</v>
      </c>
      <c r="K66" s="395">
        <v>0.15553660419000001</v>
      </c>
      <c r="L66" s="395">
        <v>0.16175806835760001</v>
      </c>
      <c r="M66" s="395">
        <v>0.164993229724752</v>
      </c>
      <c r="N66" s="395">
        <v>0.17076799276511831</v>
      </c>
      <c r="O66" s="395">
        <v>0.17076799276511831</v>
      </c>
      <c r="P66" s="286">
        <f t="shared" si="9"/>
        <v>0</v>
      </c>
      <c r="T66" s="157" t="str">
        <f t="shared" si="0"/>
        <v>Heat Pump HeatingSmall IndustrialScenario 2</v>
      </c>
    </row>
    <row r="67" spans="1:20" ht="14.4" x14ac:dyDescent="0.3">
      <c r="A67" s="391" t="s">
        <v>13</v>
      </c>
      <c r="B67" s="391" t="str">
        <f t="shared" si="6"/>
        <v>Heat Pump Heating</v>
      </c>
      <c r="C67" s="391" t="str">
        <f t="shared" si="6"/>
        <v>Small Industrial</v>
      </c>
      <c r="D67" s="312" t="str">
        <f t="shared" si="6"/>
        <v>Miscellaneous</v>
      </c>
      <c r="E67" s="394" t="str">
        <f t="shared" si="7"/>
        <v>Scenario 2</v>
      </c>
      <c r="F67" s="395">
        <v>0.10492917847025496</v>
      </c>
      <c r="G67" s="395">
        <v>0.11539000000000001</v>
      </c>
      <c r="H67" s="395">
        <v>0.12462120000000002</v>
      </c>
      <c r="I67" s="395">
        <v>0.13459089600000002</v>
      </c>
      <c r="J67" s="395">
        <v>0.14468521320000002</v>
      </c>
      <c r="K67" s="395">
        <v>0.15553660419000001</v>
      </c>
      <c r="L67" s="395">
        <v>0.16175806835760001</v>
      </c>
      <c r="M67" s="395">
        <v>0.164993229724752</v>
      </c>
      <c r="N67" s="395">
        <v>0.17076799276511831</v>
      </c>
      <c r="O67" s="395">
        <v>0.17076799276511831</v>
      </c>
      <c r="P67" s="286">
        <f t="shared" si="9"/>
        <v>0</v>
      </c>
      <c r="T67" s="157" t="str">
        <f t="shared" si="0"/>
        <v>Heat Pump HeatingSmall IndustrialScenario 2</v>
      </c>
    </row>
    <row r="68" spans="1:20" ht="14.4" x14ac:dyDescent="0.3">
      <c r="A68" s="391" t="s">
        <v>13</v>
      </c>
      <c r="B68" s="391" t="str">
        <f t="shared" si="6"/>
        <v>Heat Pump Heating</v>
      </c>
      <c r="C68" s="391" t="str">
        <f t="shared" si="6"/>
        <v>Small Industrial</v>
      </c>
      <c r="D68" s="312" t="str">
        <f t="shared" si="6"/>
        <v>Offices</v>
      </c>
      <c r="E68" s="394" t="str">
        <f t="shared" si="7"/>
        <v>Scenario 2</v>
      </c>
      <c r="F68" s="395">
        <v>0.10492917847025496</v>
      </c>
      <c r="G68" s="395">
        <v>0.11539000000000001</v>
      </c>
      <c r="H68" s="395">
        <v>0.12462120000000002</v>
      </c>
      <c r="I68" s="395">
        <v>0.13459089600000002</v>
      </c>
      <c r="J68" s="395">
        <v>0.14468521320000002</v>
      </c>
      <c r="K68" s="395">
        <v>0.15553660419000001</v>
      </c>
      <c r="L68" s="395">
        <v>0.16175806835760001</v>
      </c>
      <c r="M68" s="395">
        <v>0.164993229724752</v>
      </c>
      <c r="N68" s="395">
        <v>0.17076799276511831</v>
      </c>
      <c r="O68" s="395">
        <v>0.17076799276511831</v>
      </c>
      <c r="P68" s="286">
        <f t="shared" si="9"/>
        <v>0</v>
      </c>
      <c r="T68" s="157" t="str">
        <f t="shared" si="0"/>
        <v>Heat Pump HeatingSmall IndustrialScenario 2</v>
      </c>
    </row>
    <row r="69" spans="1:20" ht="14.4" x14ac:dyDescent="0.3">
      <c r="A69" s="391" t="s">
        <v>13</v>
      </c>
      <c r="B69" s="391" t="str">
        <f t="shared" si="6"/>
        <v>Heat Pump Heating</v>
      </c>
      <c r="C69" s="391" t="str">
        <f t="shared" si="6"/>
        <v>Small Industrial</v>
      </c>
      <c r="D69" s="312" t="str">
        <f t="shared" si="6"/>
        <v>Retail Trade</v>
      </c>
      <c r="E69" s="394" t="str">
        <f t="shared" si="7"/>
        <v>Scenario 2</v>
      </c>
      <c r="F69" s="395">
        <v>0.10492917847025496</v>
      </c>
      <c r="G69" s="395">
        <v>0.11539000000000001</v>
      </c>
      <c r="H69" s="395">
        <v>0.12462120000000002</v>
      </c>
      <c r="I69" s="395">
        <v>0.13459089600000002</v>
      </c>
      <c r="J69" s="395">
        <v>0.14468521320000002</v>
      </c>
      <c r="K69" s="395">
        <v>0.15553660419000001</v>
      </c>
      <c r="L69" s="395">
        <v>0.16175806835760001</v>
      </c>
      <c r="M69" s="395">
        <v>0.164993229724752</v>
      </c>
      <c r="N69" s="395">
        <v>0.17076799276511831</v>
      </c>
      <c r="O69" s="395">
        <v>0.17076799276511831</v>
      </c>
      <c r="P69" s="286">
        <f t="shared" si="9"/>
        <v>0</v>
      </c>
      <c r="T69" s="157" t="str">
        <f t="shared" si="0"/>
        <v>Heat Pump HeatingSmall IndustrialScenario 2</v>
      </c>
    </row>
    <row r="70" spans="1:20" ht="14.4" x14ac:dyDescent="0.3">
      <c r="A70" s="391" t="s">
        <v>13</v>
      </c>
      <c r="B70" s="391" t="str">
        <f t="shared" si="6"/>
        <v>Heat Pump Heating</v>
      </c>
      <c r="C70" s="391" t="str">
        <f t="shared" si="6"/>
        <v>Small Industrial</v>
      </c>
      <c r="D70" s="312" t="str">
        <f t="shared" si="6"/>
        <v>Services</v>
      </c>
      <c r="E70" s="394" t="str">
        <f t="shared" si="7"/>
        <v>Scenario 2</v>
      </c>
      <c r="F70" s="395">
        <v>0.10492917847025496</v>
      </c>
      <c r="G70" s="395">
        <v>0.11539000000000001</v>
      </c>
      <c r="H70" s="395">
        <v>0.12462120000000002</v>
      </c>
      <c r="I70" s="395">
        <v>0.13459089600000002</v>
      </c>
      <c r="J70" s="395">
        <v>0.14468521320000002</v>
      </c>
      <c r="K70" s="395">
        <v>0.15553660419000001</v>
      </c>
      <c r="L70" s="395">
        <v>0.16175806835760001</v>
      </c>
      <c r="M70" s="395">
        <v>0.164993229724752</v>
      </c>
      <c r="N70" s="395">
        <v>0.17076799276511831</v>
      </c>
      <c r="O70" s="395">
        <v>0.17076799276511831</v>
      </c>
      <c r="P70" s="286">
        <f t="shared" si="9"/>
        <v>0</v>
      </c>
      <c r="T70" s="157" t="str">
        <f t="shared" ref="T70:T102" si="10">IF(C70 = "Residential", _xlfn.CONCAT(B70:E70),_xlfn.CONCAT(B70:C70,E70))</f>
        <v>Heat Pump HeatingSmall IndustrialScenario 2</v>
      </c>
    </row>
    <row r="71" spans="1:20" ht="14.4" x14ac:dyDescent="0.3">
      <c r="A71" s="391" t="s">
        <v>13</v>
      </c>
      <c r="B71" s="391" t="str">
        <f t="shared" si="6"/>
        <v>Baseboard Heating</v>
      </c>
      <c r="C71" s="391" t="str">
        <f t="shared" si="6"/>
        <v>Small Commercial</v>
      </c>
      <c r="D71" s="312" t="str">
        <f t="shared" si="6"/>
        <v>Manufacturing</v>
      </c>
      <c r="E71" s="394" t="str">
        <f t="shared" si="7"/>
        <v>Scenario 2</v>
      </c>
      <c r="F71" s="395">
        <v>0.19507082152974506</v>
      </c>
      <c r="G71" s="395">
        <v>0.1951</v>
      </c>
      <c r="H71" s="395">
        <v>0.1951</v>
      </c>
      <c r="I71" s="395">
        <v>0.18990000000000001</v>
      </c>
      <c r="J71" s="395">
        <v>0.1842</v>
      </c>
      <c r="K71" s="395">
        <v>0.17830000000000001</v>
      </c>
      <c r="L71" s="395">
        <v>0.1719</v>
      </c>
      <c r="M71" s="395">
        <v>0.16470000000000001</v>
      </c>
      <c r="N71" s="395">
        <v>0.15710000000000002</v>
      </c>
      <c r="O71" s="395">
        <v>0.1492</v>
      </c>
      <c r="P71" s="286">
        <f t="shared" ref="P71" si="11">P57</f>
        <v>0</v>
      </c>
      <c r="T71" s="157" t="str">
        <f t="shared" si="10"/>
        <v>Baseboard HeatingSmall CommercialScenario 2</v>
      </c>
    </row>
    <row r="72" spans="1:20" ht="14.4" x14ac:dyDescent="0.3">
      <c r="A72" s="391" t="s">
        <v>13</v>
      </c>
      <c r="B72" s="391" t="str">
        <f t="shared" si="6"/>
        <v>Baseboard Heating</v>
      </c>
      <c r="C72" s="391" t="str">
        <f t="shared" si="6"/>
        <v>Small Commercial</v>
      </c>
      <c r="D72" s="312" t="str">
        <f t="shared" si="6"/>
        <v>Miscellaneous</v>
      </c>
      <c r="E72" s="394" t="str">
        <f t="shared" si="7"/>
        <v>Scenario 2</v>
      </c>
      <c r="F72" s="395">
        <v>0.19507082152974506</v>
      </c>
      <c r="G72" s="395">
        <v>0.1951</v>
      </c>
      <c r="H72" s="395">
        <v>0.1951</v>
      </c>
      <c r="I72" s="395">
        <v>0.18990000000000001</v>
      </c>
      <c r="J72" s="395">
        <v>0.1842</v>
      </c>
      <c r="K72" s="395">
        <v>0.17830000000000001</v>
      </c>
      <c r="L72" s="395">
        <v>0.1719</v>
      </c>
      <c r="M72" s="395">
        <v>0.16470000000000001</v>
      </c>
      <c r="N72" s="395">
        <v>0.15710000000000002</v>
      </c>
      <c r="O72" s="395">
        <v>0.1492</v>
      </c>
      <c r="P72" s="286">
        <f t="shared" ref="P72:P80" si="12">P71</f>
        <v>0</v>
      </c>
      <c r="T72" s="157" t="str">
        <f t="shared" si="10"/>
        <v>Baseboard HeatingSmall CommercialScenario 2</v>
      </c>
    </row>
    <row r="73" spans="1:20" ht="14.4" x14ac:dyDescent="0.3">
      <c r="A73" s="391" t="s">
        <v>13</v>
      </c>
      <c r="B73" s="391" t="str">
        <f t="shared" si="6"/>
        <v>Baseboard Heating</v>
      </c>
      <c r="C73" s="391" t="str">
        <f t="shared" si="6"/>
        <v>Small Commercial</v>
      </c>
      <c r="D73" s="312" t="str">
        <f t="shared" si="6"/>
        <v>Offices</v>
      </c>
      <c r="E73" s="394" t="str">
        <f t="shared" si="7"/>
        <v>Scenario 2</v>
      </c>
      <c r="F73" s="395">
        <v>0.19507082152974506</v>
      </c>
      <c r="G73" s="395">
        <v>0.1951</v>
      </c>
      <c r="H73" s="395">
        <v>0.1951</v>
      </c>
      <c r="I73" s="395">
        <v>0.18990000000000001</v>
      </c>
      <c r="J73" s="395">
        <v>0.1842</v>
      </c>
      <c r="K73" s="395">
        <v>0.17830000000000001</v>
      </c>
      <c r="L73" s="395">
        <v>0.1719</v>
      </c>
      <c r="M73" s="395">
        <v>0.16470000000000001</v>
      </c>
      <c r="N73" s="395">
        <v>0.15710000000000002</v>
      </c>
      <c r="O73" s="395">
        <v>0.1492</v>
      </c>
      <c r="P73" s="286">
        <f t="shared" si="12"/>
        <v>0</v>
      </c>
      <c r="T73" s="157" t="str">
        <f t="shared" si="10"/>
        <v>Baseboard HeatingSmall CommercialScenario 2</v>
      </c>
    </row>
    <row r="74" spans="1:20" ht="14.4" x14ac:dyDescent="0.3">
      <c r="A74" s="391" t="s">
        <v>13</v>
      </c>
      <c r="B74" s="391" t="str">
        <f t="shared" ref="B74:D90" si="13">B25</f>
        <v>Baseboard Heating</v>
      </c>
      <c r="C74" s="391" t="str">
        <f t="shared" si="13"/>
        <v>Small Commercial</v>
      </c>
      <c r="D74" s="312" t="str">
        <f t="shared" si="13"/>
        <v>Retail Trade</v>
      </c>
      <c r="E74" s="394" t="str">
        <f t="shared" si="7"/>
        <v>Scenario 2</v>
      </c>
      <c r="F74" s="395">
        <v>0.19507082152974506</v>
      </c>
      <c r="G74" s="395">
        <v>0.1951</v>
      </c>
      <c r="H74" s="395">
        <v>0.1951</v>
      </c>
      <c r="I74" s="395">
        <v>0.18990000000000001</v>
      </c>
      <c r="J74" s="395">
        <v>0.1842</v>
      </c>
      <c r="K74" s="395">
        <v>0.17830000000000001</v>
      </c>
      <c r="L74" s="395">
        <v>0.1719</v>
      </c>
      <c r="M74" s="395">
        <v>0.16470000000000001</v>
      </c>
      <c r="N74" s="395">
        <v>0.15710000000000002</v>
      </c>
      <c r="O74" s="395">
        <v>0.1492</v>
      </c>
      <c r="P74" s="286">
        <f t="shared" si="12"/>
        <v>0</v>
      </c>
      <c r="T74" s="157" t="str">
        <f t="shared" si="10"/>
        <v>Baseboard HeatingSmall CommercialScenario 2</v>
      </c>
    </row>
    <row r="75" spans="1:20" ht="14.4" x14ac:dyDescent="0.3">
      <c r="A75" s="391" t="s">
        <v>13</v>
      </c>
      <c r="B75" s="391" t="str">
        <f t="shared" si="13"/>
        <v>Baseboard Heating</v>
      </c>
      <c r="C75" s="391" t="str">
        <f t="shared" si="13"/>
        <v>Small Commercial</v>
      </c>
      <c r="D75" s="312" t="str">
        <f t="shared" si="13"/>
        <v>Services</v>
      </c>
      <c r="E75" s="394" t="str">
        <f t="shared" si="7"/>
        <v>Scenario 2</v>
      </c>
      <c r="F75" s="395">
        <v>0.19507082152974506</v>
      </c>
      <c r="G75" s="395">
        <v>0.1951</v>
      </c>
      <c r="H75" s="395">
        <v>0.1951</v>
      </c>
      <c r="I75" s="395">
        <v>0.18990000000000001</v>
      </c>
      <c r="J75" s="395">
        <v>0.1842</v>
      </c>
      <c r="K75" s="395">
        <v>0.17830000000000001</v>
      </c>
      <c r="L75" s="395">
        <v>0.1719</v>
      </c>
      <c r="M75" s="395">
        <v>0.16470000000000001</v>
      </c>
      <c r="N75" s="395">
        <v>0.15710000000000002</v>
      </c>
      <c r="O75" s="395">
        <v>0.1492</v>
      </c>
      <c r="P75" s="286">
        <f t="shared" si="12"/>
        <v>0</v>
      </c>
      <c r="T75" s="157" t="str">
        <f t="shared" si="10"/>
        <v>Baseboard HeatingSmall CommercialScenario 2</v>
      </c>
    </row>
    <row r="76" spans="1:20" ht="14.4" x14ac:dyDescent="0.3">
      <c r="A76" s="391" t="s">
        <v>13</v>
      </c>
      <c r="B76" s="391" t="str">
        <f t="shared" si="13"/>
        <v>Baseboard Heating</v>
      </c>
      <c r="C76" s="391" t="str">
        <f t="shared" si="13"/>
        <v>Small Industrial</v>
      </c>
      <c r="D76" s="312" t="str">
        <f t="shared" si="13"/>
        <v>Manufacturing</v>
      </c>
      <c r="E76" s="394" t="str">
        <f t="shared" si="7"/>
        <v>Scenario 2</v>
      </c>
      <c r="F76" s="395">
        <v>0.19507082152974506</v>
      </c>
      <c r="G76" s="395">
        <v>0.1951</v>
      </c>
      <c r="H76" s="395">
        <v>0.1951</v>
      </c>
      <c r="I76" s="395">
        <v>0.18990000000000001</v>
      </c>
      <c r="J76" s="395">
        <v>0.1842</v>
      </c>
      <c r="K76" s="395">
        <v>0.17830000000000001</v>
      </c>
      <c r="L76" s="395">
        <v>0.1719</v>
      </c>
      <c r="M76" s="395">
        <v>0.16470000000000001</v>
      </c>
      <c r="N76" s="395">
        <v>0.15710000000000002</v>
      </c>
      <c r="O76" s="395">
        <v>0.1492</v>
      </c>
      <c r="P76" s="286">
        <f t="shared" si="12"/>
        <v>0</v>
      </c>
      <c r="T76" s="157" t="str">
        <f t="shared" si="10"/>
        <v>Baseboard HeatingSmall IndustrialScenario 2</v>
      </c>
    </row>
    <row r="77" spans="1:20" ht="14.4" x14ac:dyDescent="0.3">
      <c r="A77" s="391" t="s">
        <v>13</v>
      </c>
      <c r="B77" s="391" t="str">
        <f t="shared" si="13"/>
        <v>Baseboard Heating</v>
      </c>
      <c r="C77" s="391" t="str">
        <f t="shared" si="13"/>
        <v>Small Industrial</v>
      </c>
      <c r="D77" s="312" t="str">
        <f t="shared" si="13"/>
        <v>Miscellaneous</v>
      </c>
      <c r="E77" s="394" t="str">
        <f t="shared" si="7"/>
        <v>Scenario 2</v>
      </c>
      <c r="F77" s="395">
        <v>0.19507082152974506</v>
      </c>
      <c r="G77" s="395">
        <v>0.1951</v>
      </c>
      <c r="H77" s="395">
        <v>0.1951</v>
      </c>
      <c r="I77" s="395">
        <v>0.18990000000000001</v>
      </c>
      <c r="J77" s="395">
        <v>0.1842</v>
      </c>
      <c r="K77" s="395">
        <v>0.17830000000000001</v>
      </c>
      <c r="L77" s="395">
        <v>0.1719</v>
      </c>
      <c r="M77" s="395">
        <v>0.16470000000000001</v>
      </c>
      <c r="N77" s="395">
        <v>0.15710000000000002</v>
      </c>
      <c r="O77" s="395">
        <v>0.1492</v>
      </c>
      <c r="P77" s="286">
        <f t="shared" si="12"/>
        <v>0</v>
      </c>
      <c r="T77" s="157" t="str">
        <f t="shared" si="10"/>
        <v>Baseboard HeatingSmall IndustrialScenario 2</v>
      </c>
    </row>
    <row r="78" spans="1:20" ht="14.4" x14ac:dyDescent="0.3">
      <c r="A78" s="391" t="s">
        <v>13</v>
      </c>
      <c r="B78" s="391" t="str">
        <f t="shared" si="13"/>
        <v>Baseboard Heating</v>
      </c>
      <c r="C78" s="391" t="str">
        <f t="shared" si="13"/>
        <v>Small Industrial</v>
      </c>
      <c r="D78" s="312" t="str">
        <f t="shared" si="13"/>
        <v>Offices</v>
      </c>
      <c r="E78" s="394" t="str">
        <f t="shared" si="7"/>
        <v>Scenario 2</v>
      </c>
      <c r="F78" s="395">
        <v>0.19507082152974506</v>
      </c>
      <c r="G78" s="395">
        <v>0.1951</v>
      </c>
      <c r="H78" s="395">
        <v>0.1951</v>
      </c>
      <c r="I78" s="395">
        <v>0.18990000000000001</v>
      </c>
      <c r="J78" s="395">
        <v>0.1842</v>
      </c>
      <c r="K78" s="395">
        <v>0.17830000000000001</v>
      </c>
      <c r="L78" s="395">
        <v>0.1719</v>
      </c>
      <c r="M78" s="395">
        <v>0.16470000000000001</v>
      </c>
      <c r="N78" s="395">
        <v>0.15710000000000002</v>
      </c>
      <c r="O78" s="395">
        <v>0.1492</v>
      </c>
      <c r="P78" s="286">
        <f t="shared" si="12"/>
        <v>0</v>
      </c>
      <c r="T78" s="157" t="str">
        <f t="shared" si="10"/>
        <v>Baseboard HeatingSmall IndustrialScenario 2</v>
      </c>
    </row>
    <row r="79" spans="1:20" ht="14.4" x14ac:dyDescent="0.3">
      <c r="A79" s="391" t="s">
        <v>13</v>
      </c>
      <c r="B79" s="391" t="str">
        <f t="shared" si="13"/>
        <v>Baseboard Heating</v>
      </c>
      <c r="C79" s="391" t="str">
        <f t="shared" si="13"/>
        <v>Small Industrial</v>
      </c>
      <c r="D79" s="312" t="str">
        <f t="shared" si="13"/>
        <v>Retail Trade</v>
      </c>
      <c r="E79" s="394" t="str">
        <f t="shared" si="7"/>
        <v>Scenario 2</v>
      </c>
      <c r="F79" s="395">
        <v>0.19507082152974506</v>
      </c>
      <c r="G79" s="395">
        <v>0.1951</v>
      </c>
      <c r="H79" s="395">
        <v>0.1951</v>
      </c>
      <c r="I79" s="395">
        <v>0.18990000000000001</v>
      </c>
      <c r="J79" s="395">
        <v>0.1842</v>
      </c>
      <c r="K79" s="395">
        <v>0.17830000000000001</v>
      </c>
      <c r="L79" s="395">
        <v>0.1719</v>
      </c>
      <c r="M79" s="395">
        <v>0.16470000000000001</v>
      </c>
      <c r="N79" s="395">
        <v>0.15710000000000002</v>
      </c>
      <c r="O79" s="395">
        <v>0.1492</v>
      </c>
      <c r="P79" s="286">
        <f t="shared" si="12"/>
        <v>0</v>
      </c>
      <c r="T79" s="157" t="str">
        <f t="shared" si="10"/>
        <v>Baseboard HeatingSmall IndustrialScenario 2</v>
      </c>
    </row>
    <row r="80" spans="1:20" ht="14.4" x14ac:dyDescent="0.3">
      <c r="A80" s="391" t="s">
        <v>13</v>
      </c>
      <c r="B80" s="391" t="str">
        <f t="shared" si="13"/>
        <v>Baseboard Heating</v>
      </c>
      <c r="C80" s="391" t="str">
        <f t="shared" si="13"/>
        <v>Small Industrial</v>
      </c>
      <c r="D80" s="312" t="str">
        <f t="shared" si="13"/>
        <v>Services</v>
      </c>
      <c r="E80" s="394" t="str">
        <f t="shared" si="7"/>
        <v>Scenario 2</v>
      </c>
      <c r="F80" s="395">
        <v>0.19507082152974506</v>
      </c>
      <c r="G80" s="395">
        <v>0.1951</v>
      </c>
      <c r="H80" s="395">
        <v>0.1951</v>
      </c>
      <c r="I80" s="395">
        <v>0.18990000000000001</v>
      </c>
      <c r="J80" s="395">
        <v>0.1842</v>
      </c>
      <c r="K80" s="395">
        <v>0.17830000000000001</v>
      </c>
      <c r="L80" s="395">
        <v>0.1719</v>
      </c>
      <c r="M80" s="395">
        <v>0.16470000000000001</v>
      </c>
      <c r="N80" s="395">
        <v>0.15710000000000002</v>
      </c>
      <c r="O80" s="395">
        <v>0.1492</v>
      </c>
      <c r="P80" s="286">
        <f t="shared" si="12"/>
        <v>0</v>
      </c>
      <c r="T80" s="157" t="str">
        <f t="shared" si="10"/>
        <v>Baseboard HeatingSmall IndustrialScenario 2</v>
      </c>
    </row>
    <row r="81" spans="1:20" ht="14.4" x14ac:dyDescent="0.3">
      <c r="A81" s="391" t="s">
        <v>13</v>
      </c>
      <c r="B81" s="391" t="str">
        <f t="shared" si="13"/>
        <v>Ductless Mini Split</v>
      </c>
      <c r="C81" s="391" t="str">
        <f t="shared" si="13"/>
        <v>Small Commercial</v>
      </c>
      <c r="D81" s="312" t="str">
        <f t="shared" si="13"/>
        <v>Manufacturing</v>
      </c>
      <c r="E81" s="394" t="str">
        <f t="shared" si="7"/>
        <v>Scenario 2</v>
      </c>
      <c r="F81" s="395">
        <v>0.1311614730878187</v>
      </c>
      <c r="G81" s="395">
        <v>0.14432000000000003</v>
      </c>
      <c r="H81" s="395">
        <v>0.15586560000000005</v>
      </c>
      <c r="I81" s="395">
        <v>0.16833484800000006</v>
      </c>
      <c r="J81" s="395">
        <v>0.18095996160000005</v>
      </c>
      <c r="K81" s="395">
        <v>0.19453195872000004</v>
      </c>
      <c r="L81" s="395">
        <v>0.20231323706880006</v>
      </c>
      <c r="M81" s="395">
        <v>0.20635950181017607</v>
      </c>
      <c r="N81" s="395">
        <v>0.21358208437353221</v>
      </c>
      <c r="O81" s="395">
        <v>0.21358208437353221</v>
      </c>
      <c r="P81" s="286">
        <f t="shared" ref="P81" si="14">P59</f>
        <v>0</v>
      </c>
      <c r="T81" s="157" t="str">
        <f t="shared" si="10"/>
        <v>Ductless Mini SplitSmall CommercialScenario 2</v>
      </c>
    </row>
    <row r="82" spans="1:20" ht="14.4" x14ac:dyDescent="0.3">
      <c r="A82" s="391" t="s">
        <v>13</v>
      </c>
      <c r="B82" s="391" t="str">
        <f t="shared" si="13"/>
        <v>Ductless Mini Split</v>
      </c>
      <c r="C82" s="391" t="str">
        <f t="shared" si="13"/>
        <v>Small Commercial</v>
      </c>
      <c r="D82" s="312" t="str">
        <f t="shared" si="13"/>
        <v>Miscellaneous</v>
      </c>
      <c r="E82" s="394" t="str">
        <f t="shared" si="7"/>
        <v>Scenario 2</v>
      </c>
      <c r="F82" s="395">
        <v>0.1311614730878187</v>
      </c>
      <c r="G82" s="395">
        <v>0.14432000000000003</v>
      </c>
      <c r="H82" s="395">
        <v>0.15586560000000005</v>
      </c>
      <c r="I82" s="395">
        <v>0.16833484800000006</v>
      </c>
      <c r="J82" s="395">
        <v>0.18095996160000005</v>
      </c>
      <c r="K82" s="395">
        <v>0.19453195872000004</v>
      </c>
      <c r="L82" s="395">
        <v>0.20231323706880006</v>
      </c>
      <c r="M82" s="395">
        <v>0.20635950181017607</v>
      </c>
      <c r="N82" s="395">
        <v>0.21358208437353221</v>
      </c>
      <c r="O82" s="395">
        <v>0.21358208437353221</v>
      </c>
      <c r="P82" s="286">
        <f t="shared" ref="P82:P90" si="15">P81</f>
        <v>0</v>
      </c>
      <c r="T82" s="157" t="str">
        <f t="shared" si="10"/>
        <v>Ductless Mini SplitSmall CommercialScenario 2</v>
      </c>
    </row>
    <row r="83" spans="1:20" ht="14.4" x14ac:dyDescent="0.3">
      <c r="A83" s="391" t="s">
        <v>13</v>
      </c>
      <c r="B83" s="391" t="str">
        <f t="shared" si="13"/>
        <v>Ductless Mini Split</v>
      </c>
      <c r="C83" s="391" t="str">
        <f t="shared" si="13"/>
        <v>Small Commercial</v>
      </c>
      <c r="D83" s="312" t="str">
        <f t="shared" si="13"/>
        <v>Offices</v>
      </c>
      <c r="E83" s="394" t="str">
        <f t="shared" si="7"/>
        <v>Scenario 2</v>
      </c>
      <c r="F83" s="395">
        <v>0.1311614730878187</v>
      </c>
      <c r="G83" s="395">
        <v>0.14432000000000003</v>
      </c>
      <c r="H83" s="395">
        <v>0.15586560000000005</v>
      </c>
      <c r="I83" s="395">
        <v>0.16833484800000006</v>
      </c>
      <c r="J83" s="395">
        <v>0.18095996160000005</v>
      </c>
      <c r="K83" s="395">
        <v>0.19453195872000004</v>
      </c>
      <c r="L83" s="395">
        <v>0.20231323706880006</v>
      </c>
      <c r="M83" s="395">
        <v>0.20635950181017607</v>
      </c>
      <c r="N83" s="395">
        <v>0.21358208437353221</v>
      </c>
      <c r="O83" s="395">
        <v>0.21358208437353221</v>
      </c>
      <c r="P83" s="286">
        <f t="shared" si="15"/>
        <v>0</v>
      </c>
      <c r="T83" s="157" t="str">
        <f t="shared" si="10"/>
        <v>Ductless Mini SplitSmall CommercialScenario 2</v>
      </c>
    </row>
    <row r="84" spans="1:20" ht="14.4" x14ac:dyDescent="0.3">
      <c r="A84" s="391" t="s">
        <v>13</v>
      </c>
      <c r="B84" s="391" t="str">
        <f t="shared" si="13"/>
        <v>Ductless Mini Split</v>
      </c>
      <c r="C84" s="391" t="str">
        <f t="shared" si="13"/>
        <v>Small Commercial</v>
      </c>
      <c r="D84" s="312" t="str">
        <f t="shared" si="13"/>
        <v>Retail Trade</v>
      </c>
      <c r="E84" s="394" t="str">
        <f t="shared" si="7"/>
        <v>Scenario 2</v>
      </c>
      <c r="F84" s="395">
        <v>0.1311614730878187</v>
      </c>
      <c r="G84" s="395">
        <v>0.14432000000000003</v>
      </c>
      <c r="H84" s="395">
        <v>0.15586560000000005</v>
      </c>
      <c r="I84" s="395">
        <v>0.16833484800000006</v>
      </c>
      <c r="J84" s="395">
        <v>0.18095996160000005</v>
      </c>
      <c r="K84" s="395">
        <v>0.19453195872000004</v>
      </c>
      <c r="L84" s="395">
        <v>0.20231323706880006</v>
      </c>
      <c r="M84" s="395">
        <v>0.20635950181017607</v>
      </c>
      <c r="N84" s="395">
        <v>0.21358208437353221</v>
      </c>
      <c r="O84" s="395">
        <v>0.21358208437353221</v>
      </c>
      <c r="P84" s="286">
        <f t="shared" si="15"/>
        <v>0</v>
      </c>
      <c r="T84" s="157" t="str">
        <f t="shared" si="10"/>
        <v>Ductless Mini SplitSmall CommercialScenario 2</v>
      </c>
    </row>
    <row r="85" spans="1:20" ht="14.4" x14ac:dyDescent="0.3">
      <c r="A85" s="391" t="s">
        <v>13</v>
      </c>
      <c r="B85" s="391" t="str">
        <f t="shared" si="13"/>
        <v>Ductless Mini Split</v>
      </c>
      <c r="C85" s="391" t="str">
        <f t="shared" si="13"/>
        <v>Small Commercial</v>
      </c>
      <c r="D85" s="312" t="str">
        <f t="shared" si="13"/>
        <v>Services</v>
      </c>
      <c r="E85" s="394" t="str">
        <f t="shared" si="7"/>
        <v>Scenario 2</v>
      </c>
      <c r="F85" s="395">
        <v>0.1311614730878187</v>
      </c>
      <c r="G85" s="395">
        <v>0.14432000000000003</v>
      </c>
      <c r="H85" s="395">
        <v>0.15586560000000005</v>
      </c>
      <c r="I85" s="395">
        <v>0.16833484800000006</v>
      </c>
      <c r="J85" s="395">
        <v>0.18095996160000005</v>
      </c>
      <c r="K85" s="395">
        <v>0.19453195872000004</v>
      </c>
      <c r="L85" s="395">
        <v>0.20231323706880006</v>
      </c>
      <c r="M85" s="395">
        <v>0.20635950181017607</v>
      </c>
      <c r="N85" s="395">
        <v>0.21358208437353221</v>
      </c>
      <c r="O85" s="395">
        <v>0.21358208437353221</v>
      </c>
      <c r="P85" s="286">
        <f t="shared" si="15"/>
        <v>0</v>
      </c>
      <c r="T85" s="157" t="str">
        <f t="shared" si="10"/>
        <v>Ductless Mini SplitSmall CommercialScenario 2</v>
      </c>
    </row>
    <row r="86" spans="1:20" ht="14.4" x14ac:dyDescent="0.3">
      <c r="A86" s="391" t="s">
        <v>13</v>
      </c>
      <c r="B86" s="391" t="str">
        <f t="shared" si="13"/>
        <v>Ductless Mini Split</v>
      </c>
      <c r="C86" s="391" t="str">
        <f t="shared" si="13"/>
        <v>Small Industrial</v>
      </c>
      <c r="D86" s="312" t="str">
        <f t="shared" si="13"/>
        <v>Manufacturing</v>
      </c>
      <c r="E86" s="394" t="str">
        <f t="shared" si="7"/>
        <v>Scenario 2</v>
      </c>
      <c r="F86" s="395">
        <v>0.1311614730878187</v>
      </c>
      <c r="G86" s="395">
        <v>0.14432000000000003</v>
      </c>
      <c r="H86" s="395">
        <v>0.15586560000000005</v>
      </c>
      <c r="I86" s="395">
        <v>0.16833484800000006</v>
      </c>
      <c r="J86" s="395">
        <v>0.18095996160000005</v>
      </c>
      <c r="K86" s="395">
        <v>0.19453195872000004</v>
      </c>
      <c r="L86" s="395">
        <v>0.20231323706880006</v>
      </c>
      <c r="M86" s="395">
        <v>0.20635950181017607</v>
      </c>
      <c r="N86" s="395">
        <v>0.21358208437353221</v>
      </c>
      <c r="O86" s="395">
        <v>0.21358208437353221</v>
      </c>
      <c r="P86" s="286">
        <f t="shared" si="15"/>
        <v>0</v>
      </c>
      <c r="T86" s="157" t="str">
        <f t="shared" si="10"/>
        <v>Ductless Mini SplitSmall IndustrialScenario 2</v>
      </c>
    </row>
    <row r="87" spans="1:20" ht="14.4" x14ac:dyDescent="0.3">
      <c r="A87" s="391" t="s">
        <v>13</v>
      </c>
      <c r="B87" s="391" t="str">
        <f t="shared" si="13"/>
        <v>Ductless Mini Split</v>
      </c>
      <c r="C87" s="391" t="str">
        <f t="shared" si="13"/>
        <v>Small Industrial</v>
      </c>
      <c r="D87" s="312" t="str">
        <f t="shared" si="13"/>
        <v>Miscellaneous</v>
      </c>
      <c r="E87" s="394" t="str">
        <f t="shared" si="7"/>
        <v>Scenario 2</v>
      </c>
      <c r="F87" s="395">
        <v>0.1311614730878187</v>
      </c>
      <c r="G87" s="395">
        <v>0.14432000000000003</v>
      </c>
      <c r="H87" s="395">
        <v>0.15586560000000005</v>
      </c>
      <c r="I87" s="395">
        <v>0.16833484800000006</v>
      </c>
      <c r="J87" s="395">
        <v>0.18095996160000005</v>
      </c>
      <c r="K87" s="395">
        <v>0.19453195872000004</v>
      </c>
      <c r="L87" s="395">
        <v>0.20231323706880006</v>
      </c>
      <c r="M87" s="395">
        <v>0.20635950181017607</v>
      </c>
      <c r="N87" s="395">
        <v>0.21358208437353221</v>
      </c>
      <c r="O87" s="395">
        <v>0.21358208437353221</v>
      </c>
      <c r="P87" s="286">
        <f t="shared" si="15"/>
        <v>0</v>
      </c>
      <c r="T87" s="157" t="str">
        <f t="shared" si="10"/>
        <v>Ductless Mini SplitSmall IndustrialScenario 2</v>
      </c>
    </row>
    <row r="88" spans="1:20" ht="14.4" x14ac:dyDescent="0.3">
      <c r="A88" s="391" t="s">
        <v>13</v>
      </c>
      <c r="B88" s="391" t="str">
        <f t="shared" si="13"/>
        <v>Ductless Mini Split</v>
      </c>
      <c r="C88" s="391" t="str">
        <f t="shared" si="13"/>
        <v>Small Industrial</v>
      </c>
      <c r="D88" s="312" t="str">
        <f t="shared" si="13"/>
        <v>Offices</v>
      </c>
      <c r="E88" s="394" t="str">
        <f t="shared" si="7"/>
        <v>Scenario 2</v>
      </c>
      <c r="F88" s="395">
        <v>0.1311614730878187</v>
      </c>
      <c r="G88" s="395">
        <v>0.14432000000000003</v>
      </c>
      <c r="H88" s="395">
        <v>0.15586560000000005</v>
      </c>
      <c r="I88" s="395">
        <v>0.16833484800000006</v>
      </c>
      <c r="J88" s="395">
        <v>0.18095996160000005</v>
      </c>
      <c r="K88" s="395">
        <v>0.19453195872000004</v>
      </c>
      <c r="L88" s="395">
        <v>0.20231323706880006</v>
      </c>
      <c r="M88" s="395">
        <v>0.20635950181017607</v>
      </c>
      <c r="N88" s="395">
        <v>0.21358208437353221</v>
      </c>
      <c r="O88" s="395">
        <v>0.21358208437353221</v>
      </c>
      <c r="P88" s="286">
        <f t="shared" si="15"/>
        <v>0</v>
      </c>
      <c r="T88" s="157" t="str">
        <f t="shared" si="10"/>
        <v>Ductless Mini SplitSmall IndustrialScenario 2</v>
      </c>
    </row>
    <row r="89" spans="1:20" ht="14.4" x14ac:dyDescent="0.3">
      <c r="A89" s="391" t="s">
        <v>13</v>
      </c>
      <c r="B89" s="391" t="str">
        <f t="shared" si="13"/>
        <v>Ductless Mini Split</v>
      </c>
      <c r="C89" s="391" t="str">
        <f t="shared" si="13"/>
        <v>Small Industrial</v>
      </c>
      <c r="D89" s="312" t="str">
        <f t="shared" si="13"/>
        <v>Retail Trade</v>
      </c>
      <c r="E89" s="394" t="str">
        <f t="shared" si="7"/>
        <v>Scenario 2</v>
      </c>
      <c r="F89" s="395">
        <v>0.1311614730878187</v>
      </c>
      <c r="G89" s="395">
        <v>0.14432000000000003</v>
      </c>
      <c r="H89" s="395">
        <v>0.15586560000000005</v>
      </c>
      <c r="I89" s="395">
        <v>0.16833484800000006</v>
      </c>
      <c r="J89" s="395">
        <v>0.18095996160000005</v>
      </c>
      <c r="K89" s="395">
        <v>0.19453195872000004</v>
      </c>
      <c r="L89" s="395">
        <v>0.20231323706880006</v>
      </c>
      <c r="M89" s="395">
        <v>0.20635950181017607</v>
      </c>
      <c r="N89" s="395">
        <v>0.21358208437353221</v>
      </c>
      <c r="O89" s="395">
        <v>0.21358208437353221</v>
      </c>
      <c r="P89" s="286">
        <f t="shared" si="15"/>
        <v>0</v>
      </c>
      <c r="T89" s="157" t="str">
        <f t="shared" si="10"/>
        <v>Ductless Mini SplitSmall IndustrialScenario 2</v>
      </c>
    </row>
    <row r="90" spans="1:20" ht="14.4" x14ac:dyDescent="0.3">
      <c r="A90" s="391" t="s">
        <v>13</v>
      </c>
      <c r="B90" s="391" t="str">
        <f t="shared" si="13"/>
        <v>Ductless Mini Split</v>
      </c>
      <c r="C90" s="391" t="str">
        <f t="shared" si="13"/>
        <v>Small Industrial</v>
      </c>
      <c r="D90" s="312" t="str">
        <f t="shared" si="13"/>
        <v>Services</v>
      </c>
      <c r="E90" s="394" t="str">
        <f t="shared" si="7"/>
        <v>Scenario 2</v>
      </c>
      <c r="F90" s="395">
        <v>0.1311614730878187</v>
      </c>
      <c r="G90" s="395">
        <v>0.14432000000000003</v>
      </c>
      <c r="H90" s="395">
        <v>0.15586560000000005</v>
      </c>
      <c r="I90" s="395">
        <v>0.16833484800000006</v>
      </c>
      <c r="J90" s="395">
        <v>0.18095996160000005</v>
      </c>
      <c r="K90" s="395">
        <v>0.19453195872000004</v>
      </c>
      <c r="L90" s="395">
        <v>0.20231323706880006</v>
      </c>
      <c r="M90" s="395">
        <v>0.20635950181017607</v>
      </c>
      <c r="N90" s="395">
        <v>0.21358208437353221</v>
      </c>
      <c r="O90" s="395">
        <v>0.21358208437353221</v>
      </c>
      <c r="P90" s="286">
        <f t="shared" si="15"/>
        <v>0</v>
      </c>
      <c r="T90" s="157" t="str">
        <f t="shared" si="10"/>
        <v>Ductless Mini SplitSmall IndustrialScenario 2</v>
      </c>
    </row>
    <row r="91" spans="1:20" ht="14.4" x14ac:dyDescent="0.3">
      <c r="A91" s="391" t="s">
        <v>13</v>
      </c>
      <c r="B91" s="198" t="s">
        <v>353</v>
      </c>
      <c r="C91" s="391" t="s">
        <v>45</v>
      </c>
      <c r="D91" s="312" t="s">
        <v>272</v>
      </c>
      <c r="E91" s="394" t="str">
        <f>E60</f>
        <v>Scenario 2</v>
      </c>
      <c r="F91" s="395">
        <v>0.67</v>
      </c>
      <c r="G91" s="395">
        <v>0.6995588235294119</v>
      </c>
      <c r="H91" s="395">
        <v>0.71926470588235292</v>
      </c>
      <c r="I91" s="395">
        <v>0.73897058823529427</v>
      </c>
      <c r="J91" s="395">
        <v>0.75867647058823529</v>
      </c>
      <c r="K91" s="395">
        <v>0.76852941176470591</v>
      </c>
      <c r="L91" s="395">
        <v>0.77838235294117653</v>
      </c>
      <c r="M91" s="395">
        <v>0.78823529411764715</v>
      </c>
      <c r="N91" s="395">
        <v>0.78823529411764715</v>
      </c>
      <c r="O91" s="395">
        <v>0.78823529411764715</v>
      </c>
      <c r="T91" s="157" t="str">
        <f t="shared" si="10"/>
        <v>Hot WaterResidentialResidential Market RateScenario 2</v>
      </c>
    </row>
    <row r="92" spans="1:20" ht="14.4" x14ac:dyDescent="0.3">
      <c r="A92" s="391" t="s">
        <v>13</v>
      </c>
      <c r="B92" s="198" t="s">
        <v>353</v>
      </c>
      <c r="C92" s="391" t="s">
        <v>45</v>
      </c>
      <c r="D92" s="312" t="s">
        <v>269</v>
      </c>
      <c r="E92" s="394" t="str">
        <f t="shared" si="7"/>
        <v>Scenario 2</v>
      </c>
      <c r="F92" s="395">
        <v>0.67</v>
      </c>
      <c r="G92" s="395">
        <v>0.6995588235294119</v>
      </c>
      <c r="H92" s="395">
        <v>0.71926470588235292</v>
      </c>
      <c r="I92" s="395">
        <v>0.73897058823529427</v>
      </c>
      <c r="J92" s="395">
        <v>0.75867647058823529</v>
      </c>
      <c r="K92" s="395">
        <v>0.76852941176470591</v>
      </c>
      <c r="L92" s="395">
        <v>0.77838235294117653</v>
      </c>
      <c r="M92" s="395">
        <v>0.78823529411764715</v>
      </c>
      <c r="N92" s="395">
        <v>0.78823529411764715</v>
      </c>
      <c r="O92" s="395">
        <v>0.78823529411764715</v>
      </c>
      <c r="T92" s="157" t="str">
        <f t="shared" si="10"/>
        <v>Hot WaterResidentialResidential LIScenario 2</v>
      </c>
    </row>
    <row r="93" spans="1:20" ht="14.4" x14ac:dyDescent="0.3">
      <c r="A93" s="391" t="s">
        <v>13</v>
      </c>
      <c r="B93" s="198" t="s">
        <v>353</v>
      </c>
      <c r="C93" s="393" t="s">
        <v>40</v>
      </c>
      <c r="D93" s="393" t="s">
        <v>276</v>
      </c>
      <c r="E93" s="394" t="str">
        <f t="shared" si="7"/>
        <v>Scenario 2</v>
      </c>
      <c r="F93" s="395">
        <v>0.71</v>
      </c>
      <c r="G93" s="395">
        <v>0.74132352941176471</v>
      </c>
      <c r="H93" s="395">
        <v>0.76220588235294107</v>
      </c>
      <c r="I93" s="395">
        <v>0.78308823529411764</v>
      </c>
      <c r="J93" s="395">
        <v>0.8039705882352941</v>
      </c>
      <c r="K93" s="395">
        <v>0.81441176470588228</v>
      </c>
      <c r="L93" s="395">
        <v>0.82485294117647057</v>
      </c>
      <c r="M93" s="395">
        <v>0.83529411764705885</v>
      </c>
      <c r="N93" s="395">
        <v>0.83529411764705885</v>
      </c>
      <c r="O93" s="395">
        <v>0.83529411764705885</v>
      </c>
      <c r="T93" s="157" t="str">
        <f t="shared" si="10"/>
        <v>Hot WaterSmall CommercialScenario 2</v>
      </c>
    </row>
    <row r="94" spans="1:20" ht="14.4" x14ac:dyDescent="0.3">
      <c r="A94" s="391" t="s">
        <v>13</v>
      </c>
      <c r="B94" s="198" t="s">
        <v>353</v>
      </c>
      <c r="C94" s="393" t="s">
        <v>40</v>
      </c>
      <c r="D94" s="393" t="s">
        <v>279</v>
      </c>
      <c r="E94" s="394" t="str">
        <f t="shared" si="7"/>
        <v>Scenario 2</v>
      </c>
      <c r="F94" s="395">
        <v>0.71</v>
      </c>
      <c r="G94" s="395">
        <v>0.74132352941176471</v>
      </c>
      <c r="H94" s="395">
        <v>0.76220588235294107</v>
      </c>
      <c r="I94" s="395">
        <v>0.78308823529411764</v>
      </c>
      <c r="J94" s="395">
        <v>0.8039705882352941</v>
      </c>
      <c r="K94" s="395">
        <v>0.81441176470588228</v>
      </c>
      <c r="L94" s="395">
        <v>0.82485294117647057</v>
      </c>
      <c r="M94" s="395">
        <v>0.83529411764705885</v>
      </c>
      <c r="N94" s="395">
        <v>0.83529411764705885</v>
      </c>
      <c r="O94" s="395">
        <v>0.83529411764705885</v>
      </c>
      <c r="T94" s="157" t="str">
        <f t="shared" si="10"/>
        <v>Hot WaterSmall CommercialScenario 2</v>
      </c>
    </row>
    <row r="95" spans="1:20" ht="14.4" x14ac:dyDescent="0.3">
      <c r="A95" s="391" t="s">
        <v>13</v>
      </c>
      <c r="B95" s="198" t="s">
        <v>353</v>
      </c>
      <c r="C95" s="393" t="s">
        <v>40</v>
      </c>
      <c r="D95" s="394" t="s">
        <v>280</v>
      </c>
      <c r="E95" s="394" t="str">
        <f t="shared" si="7"/>
        <v>Scenario 2</v>
      </c>
      <c r="F95" s="395">
        <v>0.71</v>
      </c>
      <c r="G95" s="395">
        <v>0.74132352941176471</v>
      </c>
      <c r="H95" s="395">
        <v>0.76220588235294107</v>
      </c>
      <c r="I95" s="395">
        <v>0.78308823529411764</v>
      </c>
      <c r="J95" s="395">
        <v>0.8039705882352941</v>
      </c>
      <c r="K95" s="395">
        <v>0.81441176470588228</v>
      </c>
      <c r="L95" s="395">
        <v>0.82485294117647057</v>
      </c>
      <c r="M95" s="395">
        <v>0.83529411764705885</v>
      </c>
      <c r="N95" s="395">
        <v>0.83529411764705885</v>
      </c>
      <c r="O95" s="395">
        <v>0.83529411764705885</v>
      </c>
      <c r="T95" s="157" t="str">
        <f t="shared" si="10"/>
        <v>Hot WaterSmall CommercialScenario 2</v>
      </c>
    </row>
    <row r="96" spans="1:20" ht="14.4" x14ac:dyDescent="0.3">
      <c r="A96" s="391" t="s">
        <v>13</v>
      </c>
      <c r="B96" s="198" t="s">
        <v>353</v>
      </c>
      <c r="C96" s="393" t="s">
        <v>40</v>
      </c>
      <c r="D96" s="394" t="s">
        <v>281</v>
      </c>
      <c r="E96" s="394" t="str">
        <f t="shared" si="7"/>
        <v>Scenario 2</v>
      </c>
      <c r="F96" s="395">
        <v>0.71</v>
      </c>
      <c r="G96" s="395">
        <v>0.74132352941176471</v>
      </c>
      <c r="H96" s="395">
        <v>0.76220588235294107</v>
      </c>
      <c r="I96" s="395">
        <v>0.78308823529411764</v>
      </c>
      <c r="J96" s="395">
        <v>0.8039705882352941</v>
      </c>
      <c r="K96" s="395">
        <v>0.81441176470588228</v>
      </c>
      <c r="L96" s="395">
        <v>0.82485294117647057</v>
      </c>
      <c r="M96" s="395">
        <v>0.83529411764705885</v>
      </c>
      <c r="N96" s="395">
        <v>0.83529411764705885</v>
      </c>
      <c r="O96" s="395">
        <v>0.83529411764705885</v>
      </c>
      <c r="T96" s="157" t="str">
        <f t="shared" si="10"/>
        <v>Hot WaterSmall CommercialScenario 2</v>
      </c>
    </row>
    <row r="97" spans="1:20" ht="14.4" x14ac:dyDescent="0.3">
      <c r="A97" s="391" t="s">
        <v>13</v>
      </c>
      <c r="B97" s="198" t="s">
        <v>353</v>
      </c>
      <c r="C97" s="393" t="s">
        <v>40</v>
      </c>
      <c r="D97" s="394" t="s">
        <v>282</v>
      </c>
      <c r="E97" s="394" t="str">
        <f t="shared" si="7"/>
        <v>Scenario 2</v>
      </c>
      <c r="F97" s="395">
        <v>0.71</v>
      </c>
      <c r="G97" s="395">
        <v>0.74132352941176471</v>
      </c>
      <c r="H97" s="395">
        <v>0.76220588235294107</v>
      </c>
      <c r="I97" s="395">
        <v>0.78308823529411764</v>
      </c>
      <c r="J97" s="395">
        <v>0.8039705882352941</v>
      </c>
      <c r="K97" s="395">
        <v>0.81441176470588228</v>
      </c>
      <c r="L97" s="395">
        <v>0.82485294117647057</v>
      </c>
      <c r="M97" s="395">
        <v>0.83529411764705885</v>
      </c>
      <c r="N97" s="395">
        <v>0.83529411764705885</v>
      </c>
      <c r="O97" s="395">
        <v>0.83529411764705885</v>
      </c>
      <c r="T97" s="157" t="str">
        <f t="shared" si="10"/>
        <v>Hot WaterSmall CommercialScenario 2</v>
      </c>
    </row>
    <row r="98" spans="1:20" ht="14.4" x14ac:dyDescent="0.3">
      <c r="A98" s="391" t="s">
        <v>13</v>
      </c>
      <c r="B98" s="198" t="s">
        <v>353</v>
      </c>
      <c r="C98" s="393" t="s">
        <v>42</v>
      </c>
      <c r="D98" s="394" t="s">
        <v>276</v>
      </c>
      <c r="E98" s="394" t="str">
        <f t="shared" si="7"/>
        <v>Scenario 2</v>
      </c>
      <c r="F98" s="395">
        <v>0.71</v>
      </c>
      <c r="G98" s="395">
        <v>0.74132352941176471</v>
      </c>
      <c r="H98" s="395">
        <v>0.76220588235294107</v>
      </c>
      <c r="I98" s="395">
        <v>0.78308823529411764</v>
      </c>
      <c r="J98" s="395">
        <v>0.8039705882352941</v>
      </c>
      <c r="K98" s="395">
        <v>0.81441176470588228</v>
      </c>
      <c r="L98" s="395">
        <v>0.82485294117647057</v>
      </c>
      <c r="M98" s="395">
        <v>0.83529411764705885</v>
      </c>
      <c r="N98" s="395">
        <v>0.83529411764705885</v>
      </c>
      <c r="O98" s="395">
        <v>0.83529411764705885</v>
      </c>
      <c r="T98" s="157" t="str">
        <f t="shared" si="10"/>
        <v>Hot WaterSmall IndustrialScenario 2</v>
      </c>
    </row>
    <row r="99" spans="1:20" ht="14.4" x14ac:dyDescent="0.3">
      <c r="A99" s="391" t="s">
        <v>13</v>
      </c>
      <c r="B99" s="198" t="s">
        <v>353</v>
      </c>
      <c r="C99" s="393" t="s">
        <v>42</v>
      </c>
      <c r="D99" s="394" t="s">
        <v>279</v>
      </c>
      <c r="E99" s="394" t="str">
        <f t="shared" si="7"/>
        <v>Scenario 2</v>
      </c>
      <c r="F99" s="395">
        <v>0.71</v>
      </c>
      <c r="G99" s="395">
        <v>0.74132352941176471</v>
      </c>
      <c r="H99" s="395">
        <v>0.76220588235294107</v>
      </c>
      <c r="I99" s="395">
        <v>0.78308823529411764</v>
      </c>
      <c r="J99" s="395">
        <v>0.8039705882352941</v>
      </c>
      <c r="K99" s="395">
        <v>0.81441176470588228</v>
      </c>
      <c r="L99" s="395">
        <v>0.82485294117647057</v>
      </c>
      <c r="M99" s="395">
        <v>0.83529411764705885</v>
      </c>
      <c r="N99" s="395">
        <v>0.83529411764705885</v>
      </c>
      <c r="O99" s="395">
        <v>0.83529411764705885</v>
      </c>
      <c r="T99" s="157" t="str">
        <f t="shared" si="10"/>
        <v>Hot WaterSmall IndustrialScenario 2</v>
      </c>
    </row>
    <row r="100" spans="1:20" ht="14.4" x14ac:dyDescent="0.3">
      <c r="A100" s="391" t="s">
        <v>13</v>
      </c>
      <c r="B100" s="198" t="s">
        <v>353</v>
      </c>
      <c r="C100" s="393" t="s">
        <v>42</v>
      </c>
      <c r="D100" s="394" t="s">
        <v>280</v>
      </c>
      <c r="E100" s="394" t="str">
        <f t="shared" si="7"/>
        <v>Scenario 2</v>
      </c>
      <c r="F100" s="395">
        <v>0.71</v>
      </c>
      <c r="G100" s="395">
        <v>0.74132352941176471</v>
      </c>
      <c r="H100" s="395">
        <v>0.76220588235294107</v>
      </c>
      <c r="I100" s="395">
        <v>0.78308823529411764</v>
      </c>
      <c r="J100" s="395">
        <v>0.8039705882352941</v>
      </c>
      <c r="K100" s="395">
        <v>0.81441176470588228</v>
      </c>
      <c r="L100" s="395">
        <v>0.82485294117647057</v>
      </c>
      <c r="M100" s="395">
        <v>0.83529411764705885</v>
      </c>
      <c r="N100" s="395">
        <v>0.83529411764705885</v>
      </c>
      <c r="O100" s="395">
        <v>0.83529411764705885</v>
      </c>
      <c r="T100" s="157" t="str">
        <f t="shared" si="10"/>
        <v>Hot WaterSmall IndustrialScenario 2</v>
      </c>
    </row>
    <row r="101" spans="1:20" ht="14.4" x14ac:dyDescent="0.3">
      <c r="A101" s="391" t="s">
        <v>13</v>
      </c>
      <c r="B101" s="198" t="s">
        <v>353</v>
      </c>
      <c r="C101" s="393" t="s">
        <v>42</v>
      </c>
      <c r="D101" s="394" t="s">
        <v>281</v>
      </c>
      <c r="E101" s="394" t="str">
        <f t="shared" si="7"/>
        <v>Scenario 2</v>
      </c>
      <c r="F101" s="395">
        <v>0.71</v>
      </c>
      <c r="G101" s="395">
        <v>0.74132352941176471</v>
      </c>
      <c r="H101" s="395">
        <v>0.76220588235294107</v>
      </c>
      <c r="I101" s="395">
        <v>0.78308823529411764</v>
      </c>
      <c r="J101" s="395">
        <v>0.8039705882352941</v>
      </c>
      <c r="K101" s="395">
        <v>0.81441176470588228</v>
      </c>
      <c r="L101" s="395">
        <v>0.82485294117647057</v>
      </c>
      <c r="M101" s="395">
        <v>0.83529411764705885</v>
      </c>
      <c r="N101" s="395">
        <v>0.83529411764705885</v>
      </c>
      <c r="O101" s="395">
        <v>0.83529411764705885</v>
      </c>
      <c r="T101" s="157" t="str">
        <f t="shared" si="10"/>
        <v>Hot WaterSmall IndustrialScenario 2</v>
      </c>
    </row>
    <row r="102" spans="1:20" ht="14.4" x14ac:dyDescent="0.3">
      <c r="A102" s="391" t="s">
        <v>13</v>
      </c>
      <c r="B102" s="198" t="s">
        <v>353</v>
      </c>
      <c r="C102" s="393" t="s">
        <v>42</v>
      </c>
      <c r="D102" s="394" t="s">
        <v>282</v>
      </c>
      <c r="E102" s="394" t="str">
        <f t="shared" si="7"/>
        <v>Scenario 2</v>
      </c>
      <c r="F102" s="395">
        <v>0.71</v>
      </c>
      <c r="G102" s="395">
        <v>0.74132352941176471</v>
      </c>
      <c r="H102" s="395">
        <v>0.76220588235294107</v>
      </c>
      <c r="I102" s="395">
        <v>0.78308823529411764</v>
      </c>
      <c r="J102" s="395">
        <v>0.8039705882352941</v>
      </c>
      <c r="K102" s="395">
        <v>0.81441176470588228</v>
      </c>
      <c r="L102" s="395">
        <v>0.82485294117647057</v>
      </c>
      <c r="M102" s="395">
        <v>0.83529411764705885</v>
      </c>
      <c r="N102" s="395">
        <v>0.83529411764705885</v>
      </c>
      <c r="O102" s="395">
        <v>0.83529411764705885</v>
      </c>
      <c r="T102" s="157" t="str">
        <f t="shared" si="10"/>
        <v>Hot WaterSmall IndustrialScenario 2</v>
      </c>
    </row>
  </sheetData>
  <autoFilter ref="A4:T102" xr:uid="{00000000-0001-0000-2100-000000000000}"/>
  <mergeCells count="3">
    <mergeCell ref="P5:P7"/>
    <mergeCell ref="P44:P53"/>
    <mergeCell ref="P42:P43"/>
  </mergeCells>
  <pageMargins left="0.7" right="0.7" top="0.75" bottom="0.75" header="0.3" footer="0.3"/>
  <pageSetup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9"/>
  </sheetPr>
  <dimension ref="A1:S25"/>
  <sheetViews>
    <sheetView workbookViewId="0">
      <selection activeCell="T33" sqref="T33"/>
    </sheetView>
  </sheetViews>
  <sheetFormatPr defaultColWidth="9.09765625" defaultRowHeight="13.8" x14ac:dyDescent="0.25"/>
  <cols>
    <col min="1" max="1" width="16.296875" customWidth="1"/>
    <col min="2" max="2" width="47.09765625" customWidth="1"/>
    <col min="3" max="19" width="7.59765625" customWidth="1"/>
  </cols>
  <sheetData>
    <row r="1" spans="1:19" x14ac:dyDescent="0.25">
      <c r="A1" t="s">
        <v>400</v>
      </c>
    </row>
    <row r="2" spans="1:19" x14ac:dyDescent="0.25">
      <c r="A2" s="140" t="s">
        <v>7</v>
      </c>
      <c r="B2" s="141" t="s">
        <v>401</v>
      </c>
      <c r="C2" s="10"/>
      <c r="D2" s="458"/>
      <c r="E2" s="458"/>
      <c r="F2" s="458"/>
      <c r="G2" s="458"/>
      <c r="H2" s="458"/>
      <c r="I2" s="30"/>
      <c r="J2" s="30"/>
      <c r="K2" s="30"/>
      <c r="L2" s="30"/>
    </row>
    <row r="3" spans="1:19" ht="14.4" x14ac:dyDescent="0.3">
      <c r="A3" s="142" t="s">
        <v>175</v>
      </c>
      <c r="B3" s="142" t="s">
        <v>402</v>
      </c>
      <c r="C3" s="136">
        <v>2021</v>
      </c>
      <c r="D3" s="136">
        <v>2022</v>
      </c>
      <c r="E3" s="136">
        <v>2023</v>
      </c>
      <c r="F3" s="136">
        <v>2024</v>
      </c>
      <c r="G3" s="136">
        <v>2025</v>
      </c>
      <c r="H3" s="136">
        <v>2026</v>
      </c>
      <c r="I3" s="136">
        <v>2027</v>
      </c>
      <c r="J3" s="136">
        <v>2028</v>
      </c>
      <c r="K3" s="136">
        <v>2029</v>
      </c>
      <c r="L3" s="136">
        <v>2030</v>
      </c>
      <c r="M3" s="136">
        <v>2031</v>
      </c>
      <c r="N3" s="136">
        <v>2032</v>
      </c>
      <c r="O3" s="136">
        <v>2033</v>
      </c>
      <c r="P3" s="136">
        <v>2034</v>
      </c>
      <c r="Q3" s="136">
        <v>2035</v>
      </c>
      <c r="R3" s="136">
        <v>2036</v>
      </c>
      <c r="S3" s="136">
        <v>2037</v>
      </c>
    </row>
    <row r="4" spans="1:19" x14ac:dyDescent="0.25">
      <c r="A4" s="139" t="str">
        <f>'Customer Count'!B4</f>
        <v>Interruptible Rider</v>
      </c>
      <c r="B4" s="139" t="str">
        <f>'Customer Count'!A4</f>
        <v>Manufacturing</v>
      </c>
      <c r="C4" s="143">
        <f>'Customer Count'!C4*'Battery Saturation &amp; Unit Load'!C4*'Battery Saturation &amp; Unit Load'!$T4/1000</f>
        <v>7.7284651892410378E-2</v>
      </c>
      <c r="D4" s="143">
        <f>'Customer Count'!D4*'Battery Saturation &amp; Unit Load'!D4*'Battery Saturation &amp; Unit Load'!$T4/1000</f>
        <v>0.10409769438569563</v>
      </c>
      <c r="E4" s="143">
        <f>'Customer Count'!E4*'Battery Saturation &amp; Unit Load'!E4*'Battery Saturation &amp; Unit Load'!$T4/1000</f>
        <v>0.13541912455484301</v>
      </c>
      <c r="F4" s="143">
        <f>'Customer Count'!F4*'Battery Saturation &amp; Unit Load'!F4*'Battery Saturation &amp; Unit Load'!$T4/1000</f>
        <v>0.16939883108520953</v>
      </c>
      <c r="G4" s="143">
        <f>'Customer Count'!G4*'Battery Saturation &amp; Unit Load'!G4*'Battery Saturation &amp; Unit Load'!$T4/1000</f>
        <v>0.2034287292057243</v>
      </c>
      <c r="H4" s="143">
        <f>'Customer Count'!H4*'Battery Saturation &amp; Unit Load'!H4*'Battery Saturation &amp; Unit Load'!$T4/1000</f>
        <v>0.23488558784356225</v>
      </c>
      <c r="I4" s="143">
        <f>'Customer Count'!I4*'Battery Saturation &amp; Unit Load'!I4*'Battery Saturation &amp; Unit Load'!$T4/1000</f>
        <v>0.26188279041844026</v>
      </c>
      <c r="J4" s="143">
        <f>'Customer Count'!J4*'Battery Saturation &amp; Unit Load'!J4*'Battery Saturation &amp; Unit Load'!$T4/1000</f>
        <v>0.28361480750144408</v>
      </c>
      <c r="K4" s="143">
        <f>'Customer Count'!K4*'Battery Saturation &amp; Unit Load'!K4*'Battery Saturation &amp; Unit Load'!$T4/1000</f>
        <v>0.30022394766677346</v>
      </c>
      <c r="L4" s="143">
        <f>'Customer Count'!L4*'Battery Saturation &amp; Unit Load'!L4*'Battery Saturation &amp; Unit Load'!$T4/1000</f>
        <v>0.31242136007956478</v>
      </c>
      <c r="M4" s="143">
        <f>'Customer Count'!M4*'Battery Saturation &amp; Unit Load'!M4*'Battery Saturation &amp; Unit Load'!$T4/1000</f>
        <v>0.32111891141645443</v>
      </c>
      <c r="N4" s="143">
        <f>'Customer Count'!N4*'Battery Saturation &amp; Unit Load'!N4*'Battery Saturation &amp; Unit Load'!$T4/1000</f>
        <v>0.32719140279383341</v>
      </c>
      <c r="O4" s="143">
        <f>'Customer Count'!O4*'Battery Saturation &amp; Unit Load'!O4*'Battery Saturation &amp; Unit Load'!$T4/1000</f>
        <v>0.33136895204949851</v>
      </c>
      <c r="P4" s="143">
        <f>'Customer Count'!P4*'Battery Saturation &amp; Unit Load'!P4*'Battery Saturation &amp; Unit Load'!$T4/1000</f>
        <v>0.33421375874296666</v>
      </c>
      <c r="Q4" s="143">
        <f>'Customer Count'!Q4*'Battery Saturation &amp; Unit Load'!Q4*'Battery Saturation &amp; Unit Load'!$T4/1000</f>
        <v>0.33613758907855407</v>
      </c>
      <c r="R4" s="143">
        <f>'Customer Count'!R4*'Battery Saturation &amp; Unit Load'!R4*'Battery Saturation &amp; Unit Load'!$T4/1000</f>
        <v>0.33743249461404728</v>
      </c>
      <c r="S4" s="143">
        <f>'Customer Count'!S4*'Battery Saturation &amp; Unit Load'!S4*'Battery Saturation &amp; Unit Load'!$T4/1000</f>
        <v>0.33830132188121803</v>
      </c>
    </row>
    <row r="5" spans="1:19" x14ac:dyDescent="0.25">
      <c r="A5" s="139" t="str">
        <f>'Customer Count'!B5</f>
        <v>Large Industrial</v>
      </c>
      <c r="B5" s="139" t="str">
        <f>'Customer Count'!A5</f>
        <v>Manufacturing</v>
      </c>
      <c r="C5" s="143">
        <f>'Customer Count'!C5*'Battery Saturation &amp; Unit Load'!C5*'Battery Saturation &amp; Unit Load'!$T5/1000</f>
        <v>6.3073422477854302E-2</v>
      </c>
      <c r="D5" s="143">
        <f>'Customer Count'!D5*'Battery Saturation &amp; Unit Load'!D5*'Battery Saturation &amp; Unit Load'!$T5/1000</f>
        <v>8.4956038439558859E-2</v>
      </c>
      <c r="E5" s="143">
        <f>'Customer Count'!E5*'Battery Saturation &amp; Unit Load'!E5*'Battery Saturation &amp; Unit Load'!$T5/1000</f>
        <v>0.1105180323063288</v>
      </c>
      <c r="F5" s="143">
        <f>'Customer Count'!F5*'Battery Saturation &amp; Unit Load'!F5*'Battery Saturation &amp; Unit Load'!$T5/1000</f>
        <v>0.13824949428725264</v>
      </c>
      <c r="G5" s="143">
        <f>'Customer Count'!G5*'Battery Saturation &amp; Unit Load'!G5*'Battery Saturation &amp; Unit Load'!$T5/1000</f>
        <v>0.166021918545844</v>
      </c>
      <c r="H5" s="143">
        <f>'Customer Count'!H5*'Battery Saturation &amp; Unit Load'!H5*'Battery Saturation &amp; Unit Load'!$T5/1000</f>
        <v>0.19169443807084091</v>
      </c>
      <c r="I5" s="143">
        <f>'Customer Count'!I5*'Battery Saturation &amp; Unit Load'!I5*'Battery Saturation &amp; Unit Load'!$T5/1000</f>
        <v>0.21372735045422084</v>
      </c>
      <c r="J5" s="143">
        <f>'Customer Count'!J5*'Battery Saturation &amp; Unit Load'!J5*'Battery Saturation &amp; Unit Load'!$T5/1000</f>
        <v>0.23146324834867535</v>
      </c>
      <c r="K5" s="143">
        <f>'Customer Count'!K5*'Battery Saturation &amp; Unit Load'!K5*'Battery Saturation &amp; Unit Load'!$T5/1000</f>
        <v>0.2450182723927779</v>
      </c>
      <c r="L5" s="143">
        <f>'Customer Count'!L5*'Battery Saturation &amp; Unit Load'!L5*'Battery Saturation &amp; Unit Load'!$T5/1000</f>
        <v>0.25497280446881826</v>
      </c>
      <c r="M5" s="143">
        <f>'Customer Count'!M5*'Battery Saturation &amp; Unit Load'!M5*'Battery Saturation &amp; Unit Load'!$T5/1000</f>
        <v>0.26207103570311507</v>
      </c>
      <c r="N5" s="143">
        <f>'Customer Count'!N5*'Battery Saturation &amp; Unit Load'!N5*'Battery Saturation &amp; Unit Load'!$T5/1000</f>
        <v>0.2670269073381682</v>
      </c>
      <c r="O5" s="143">
        <f>'Customer Count'!O5*'Battery Saturation &amp; Unit Load'!O5*'Battery Saturation &amp; Unit Load'!$T5/1000</f>
        <v>0.27043628193807484</v>
      </c>
      <c r="P5" s="143">
        <f>'Customer Count'!P5*'Battery Saturation &amp; Unit Load'!P5*'Battery Saturation &amp; Unit Load'!$T5/1000</f>
        <v>0.27275798087895559</v>
      </c>
      <c r="Q5" s="143">
        <f>'Customer Count'!Q5*'Battery Saturation &amp; Unit Load'!Q5*'Battery Saturation &amp; Unit Load'!$T5/1000</f>
        <v>0.27432805411550371</v>
      </c>
      <c r="R5" s="143">
        <f>'Customer Count'!R5*'Battery Saturation &amp; Unit Load'!R5*'Battery Saturation &amp; Unit Load'!$T5/1000</f>
        <v>0.2753848502827787</v>
      </c>
      <c r="S5" s="143">
        <f>'Customer Count'!S5*'Battery Saturation &amp; Unit Load'!S5*'Battery Saturation &amp; Unit Load'!$T5/1000</f>
        <v>0.27609391615731776</v>
      </c>
    </row>
    <row r="6" spans="1:19" x14ac:dyDescent="0.25">
      <c r="A6" s="139" t="str">
        <f>'Customer Count'!B6</f>
        <v>Small Commercial</v>
      </c>
      <c r="B6" s="139" t="str">
        <f>'Customer Count'!A6</f>
        <v>Manufacturing</v>
      </c>
      <c r="C6" s="143">
        <f>'Customer Count'!C6*'Battery Saturation &amp; Unit Load'!C6*'Battery Saturation &amp; Unit Load'!$T6/1000</f>
        <v>8.0648860491136842E-2</v>
      </c>
      <c r="D6" s="143">
        <f>'Customer Count'!D6*'Battery Saturation &amp; Unit Load'!D6*'Battery Saturation &amp; Unit Load'!$T6/1000</f>
        <v>0.10877191641975734</v>
      </c>
      <c r="E6" s="143">
        <f>'Customer Count'!E6*'Battery Saturation &amp; Unit Load'!E6*'Battery Saturation &amp; Unit Load'!$T6/1000</f>
        <v>0.14196429252081777</v>
      </c>
      <c r="F6" s="143">
        <f>'Customer Count'!F6*'Battery Saturation &amp; Unit Load'!F6*'Battery Saturation &amp; Unit Load'!$T6/1000</f>
        <v>0.17816743611808653</v>
      </c>
      <c r="G6" s="143">
        <f>'Customer Count'!G6*'Battery Saturation &amp; Unit Load'!G6*'Battery Saturation &amp; Unit Load'!$T6/1000</f>
        <v>0.21409839524087285</v>
      </c>
      <c r="H6" s="143">
        <f>'Customer Count'!H6*'Battery Saturation &amp; Unit Load'!H6*'Battery Saturation &amp; Unit Load'!$T6/1000</f>
        <v>0.24672168766777361</v>
      </c>
      <c r="I6" s="143">
        <f>'Customer Count'!I6*'Battery Saturation &amp; Unit Load'!I6*'Battery Saturation &amp; Unit Load'!$T6/1000</f>
        <v>0.27454028511367945</v>
      </c>
      <c r="J6" s="143">
        <f>'Customer Count'!J6*'Battery Saturation &amp; Unit Load'!J6*'Battery Saturation &amp; Unit Load'!$T6/1000</f>
        <v>0.29673891992904772</v>
      </c>
      <c r="K6" s="143">
        <f>'Customer Count'!K6*'Battery Saturation &amp; Unit Load'!K6*'Battery Saturation &amp; Unit Load'!$T6/1000</f>
        <v>0.31370468227495374</v>
      </c>
      <c r="L6" s="143">
        <f>'Customer Count'!L6*'Battery Saturation &amp; Unit Load'!L6*'Battery Saturation &amp; Unit Load'!$T6/1000</f>
        <v>0.32602109301837229</v>
      </c>
      <c r="M6" s="143">
        <f>'Customer Count'!M6*'Battery Saturation &amp; Unit Load'!M6*'Battery Saturation &amp; Unit Load'!$T6/1000</f>
        <v>0.33487693585812578</v>
      </c>
      <c r="N6" s="143">
        <f>'Customer Count'!N6*'Battery Saturation &amp; Unit Load'!N6*'Battery Saturation &amp; Unit Load'!$T6/1000</f>
        <v>0.34076063716950455</v>
      </c>
      <c r="O6" s="143">
        <f>'Customer Count'!O6*'Battery Saturation &amp; Unit Load'!O6*'Battery Saturation &amp; Unit Load'!$T6/1000</f>
        <v>0.34488409100389333</v>
      </c>
      <c r="P6" s="143">
        <f>'Customer Count'!P6*'Battery Saturation &amp; Unit Load'!P6*'Battery Saturation &amp; Unit Load'!$T6/1000</f>
        <v>0.34738632952366905</v>
      </c>
      <c r="Q6" s="143">
        <f>'Customer Count'!Q6*'Battery Saturation &amp; Unit Load'!Q6*'Battery Saturation &amp; Unit Load'!$T6/1000</f>
        <v>0.34938598495802214</v>
      </c>
      <c r="R6" s="143">
        <f>'Customer Count'!R6*'Battery Saturation &amp; Unit Load'!R6*'Battery Saturation &amp; Unit Load'!$T6/1000</f>
        <v>0.35073192739542153</v>
      </c>
      <c r="S6" s="143">
        <f>'Customer Count'!S6*'Battery Saturation &amp; Unit Load'!S6*'Battery Saturation &amp; Unit Load'!$T6/1000</f>
        <v>0.35163499828175387</v>
      </c>
    </row>
    <row r="7" spans="1:19" x14ac:dyDescent="0.25">
      <c r="A7" s="139" t="str">
        <f>'Customer Count'!B7</f>
        <v>Small Industrial</v>
      </c>
      <c r="B7" s="139" t="str">
        <f>'Customer Count'!A7</f>
        <v>Manufacturing</v>
      </c>
      <c r="C7" s="143">
        <f>'Customer Count'!C7*'Battery Saturation &amp; Unit Load'!C7*'Battery Saturation &amp; Unit Load'!$T7/1000</f>
        <v>2.0653136130205298E-3</v>
      </c>
      <c r="D7" s="143">
        <f>'Customer Count'!D7*'Battery Saturation &amp; Unit Load'!D7*'Battery Saturation &amp; Unit Load'!$T7/1000</f>
        <v>2.7818509889664281E-3</v>
      </c>
      <c r="E7" s="143">
        <f>'Customer Count'!E7*'Battery Saturation &amp; Unit Load'!E7*'Battery Saturation &amp; Unit Load'!$T7/1000</f>
        <v>3.6188681006908406E-3</v>
      </c>
      <c r="F7" s="143">
        <f>'Customer Count'!F7*'Battery Saturation &amp; Unit Load'!F7*'Battery Saturation &amp; Unit Load'!$T7/1000</f>
        <v>4.5269235650708308E-3</v>
      </c>
      <c r="G7" s="143">
        <f>'Customer Count'!G7*'Battery Saturation &amp; Unit Load'!G7*'Battery Saturation &amp; Unit Load'!$T7/1000</f>
        <v>5.4363203226035226E-3</v>
      </c>
      <c r="H7" s="143">
        <f>'Customer Count'!H7*'Battery Saturation &amp; Unit Load'!H7*'Battery Saturation &amp; Unit Load'!$T7/1000</f>
        <v>6.2769565521363013E-3</v>
      </c>
      <c r="I7" s="143">
        <f>'Customer Count'!I7*'Battery Saturation &amp; Unit Load'!I7*'Battery Saturation &amp; Unit Load'!$T7/1000</f>
        <v>6.9984153233938863E-3</v>
      </c>
      <c r="J7" s="143">
        <f>'Customer Count'!J7*'Battery Saturation &amp; Unit Load'!J7*'Battery Saturation &amp; Unit Load'!$T7/1000</f>
        <v>7.5791700996773537E-3</v>
      </c>
      <c r="K7" s="143">
        <f>'Customer Count'!K7*'Battery Saturation &amp; Unit Load'!K7*'Battery Saturation &amp; Unit Load'!$T7/1000</f>
        <v>8.0230238590469991E-3</v>
      </c>
      <c r="L7" s="143">
        <f>'Customer Count'!L7*'Battery Saturation &amp; Unit Load'!L7*'Battery Saturation &amp; Unit Load'!$T7/1000</f>
        <v>8.3489809706198542E-3</v>
      </c>
      <c r="M7" s="143">
        <f>'Customer Count'!M7*'Battery Saturation &amp; Unit Load'!M7*'Battery Saturation &amp; Unit Load'!$T7/1000</f>
        <v>8.581409670706773E-3</v>
      </c>
      <c r="N7" s="143">
        <f>'Customer Count'!N7*'Battery Saturation &amp; Unit Load'!N7*'Battery Saturation &amp; Unit Load'!$T7/1000</f>
        <v>8.7436876754535611E-3</v>
      </c>
      <c r="O7" s="143">
        <f>'Customer Count'!O7*'Battery Saturation &amp; Unit Load'!O7*'Battery Saturation &amp; Unit Load'!$T7/1000</f>
        <v>8.8553262626183214E-3</v>
      </c>
      <c r="P7" s="143">
        <f>'Customer Count'!P7*'Battery Saturation &amp; Unit Load'!P7*'Battery Saturation &amp; Unit Load'!$T7/1000</f>
        <v>8.9313493518936807E-3</v>
      </c>
      <c r="Q7" s="143">
        <f>'Customer Count'!Q7*'Battery Saturation &amp; Unit Load'!Q7*'Battery Saturation &amp; Unit Load'!$T7/1000</f>
        <v>8.982760762619342E-3</v>
      </c>
      <c r="R7" s="143">
        <f>'Customer Count'!R7*'Battery Saturation &amp; Unit Load'!R7*'Battery Saturation &amp; Unit Load'!$T7/1000</f>
        <v>9.0173651240875539E-3</v>
      </c>
      <c r="S7" s="143">
        <f>'Customer Count'!S7*'Battery Saturation &amp; Unit Load'!S7*'Battery Saturation &amp; Unit Load'!$T7/1000</f>
        <v>9.0405831982887427E-3</v>
      </c>
    </row>
    <row r="8" spans="1:19" x14ac:dyDescent="0.25">
      <c r="A8" s="139" t="str">
        <f>'Customer Count'!B8</f>
        <v>Interruptible Rider</v>
      </c>
      <c r="B8" s="139" t="str">
        <f>'Customer Count'!A8</f>
        <v>Miscellaneous</v>
      </c>
      <c r="C8" s="143">
        <f>'Customer Count'!C8*'Battery Saturation &amp; Unit Load'!C8*'Battery Saturation &amp; Unit Load'!$T8/1000</f>
        <v>0.2060924050464277</v>
      </c>
      <c r="D8" s="143">
        <f>'Customer Count'!D8*'Battery Saturation &amp; Unit Load'!D8*'Battery Saturation &amp; Unit Load'!$T8/1000</f>
        <v>0.27759385169518835</v>
      </c>
      <c r="E8" s="143">
        <f>'Customer Count'!E8*'Battery Saturation &amp; Unit Load'!E8*'Battery Saturation &amp; Unit Load'!$T8/1000</f>
        <v>0.3611176654795813</v>
      </c>
      <c r="F8" s="143">
        <f>'Customer Count'!F8*'Battery Saturation &amp; Unit Load'!F8*'Battery Saturation &amp; Unit Load'!$T8/1000</f>
        <v>0.45173021622722542</v>
      </c>
      <c r="G8" s="143">
        <f>'Customer Count'!G8*'Battery Saturation &amp; Unit Load'!G8*'Battery Saturation &amp; Unit Load'!$T8/1000</f>
        <v>0.54247661121526469</v>
      </c>
      <c r="H8" s="143">
        <f>'Customer Count'!H8*'Battery Saturation &amp; Unit Load'!H8*'Battery Saturation &amp; Unit Load'!$T8/1000</f>
        <v>0.62636156758283268</v>
      </c>
      <c r="I8" s="143">
        <f>'Customer Count'!I8*'Battery Saturation &amp; Unit Load'!I8*'Battery Saturation &amp; Unit Load'!$T8/1000</f>
        <v>0.69835410778250739</v>
      </c>
      <c r="J8" s="143">
        <f>'Customer Count'!J8*'Battery Saturation &amp; Unit Load'!J8*'Battery Saturation &amp; Unit Load'!$T8/1000</f>
        <v>0.75630615333718432</v>
      </c>
      <c r="K8" s="143">
        <f>'Customer Count'!K8*'Battery Saturation &amp; Unit Load'!K8*'Battery Saturation &amp; Unit Load'!$T8/1000</f>
        <v>0.80059719377806271</v>
      </c>
      <c r="L8" s="143">
        <f>'Customer Count'!L8*'Battery Saturation &amp; Unit Load'!L8*'Battery Saturation &amp; Unit Load'!$T8/1000</f>
        <v>0.83312362687883945</v>
      </c>
      <c r="M8" s="143">
        <f>'Customer Count'!M8*'Battery Saturation &amp; Unit Load'!M8*'Battery Saturation &amp; Unit Load'!$T8/1000</f>
        <v>0.85631709711054504</v>
      </c>
      <c r="N8" s="143">
        <f>'Customer Count'!N8*'Battery Saturation &amp; Unit Load'!N8*'Battery Saturation &amp; Unit Load'!$T8/1000</f>
        <v>0.87251040745022235</v>
      </c>
      <c r="O8" s="143">
        <f>'Customer Count'!O8*'Battery Saturation &amp; Unit Load'!O8*'Battery Saturation &amp; Unit Load'!$T8/1000</f>
        <v>0.88365053879866273</v>
      </c>
      <c r="P8" s="143">
        <f>'Customer Count'!P8*'Battery Saturation &amp; Unit Load'!P8*'Battery Saturation &amp; Unit Load'!$T8/1000</f>
        <v>0.89123668998124461</v>
      </c>
      <c r="Q8" s="143">
        <f>'Customer Count'!Q8*'Battery Saturation &amp; Unit Load'!Q8*'Battery Saturation &amp; Unit Load'!$T8/1000</f>
        <v>0.89636690420947751</v>
      </c>
      <c r="R8" s="143">
        <f>'Customer Count'!R8*'Battery Saturation &amp; Unit Load'!R8*'Battery Saturation &amp; Unit Load'!$T8/1000</f>
        <v>0.89981998563745957</v>
      </c>
      <c r="S8" s="143">
        <f>'Customer Count'!S8*'Battery Saturation &amp; Unit Load'!S8*'Battery Saturation &amp; Unit Load'!$T8/1000</f>
        <v>0.90213685834991475</v>
      </c>
    </row>
    <row r="9" spans="1:19" x14ac:dyDescent="0.25">
      <c r="A9" s="139" t="str">
        <f>'Customer Count'!B9</f>
        <v>Large Industrial</v>
      </c>
      <c r="B9" s="139" t="str">
        <f>'Customer Count'!A9</f>
        <v>Miscellaneous</v>
      </c>
      <c r="C9" s="143">
        <f>'Customer Count'!C9*'Battery Saturation &amp; Unit Load'!C9*'Battery Saturation &amp; Unit Load'!$T9/1000</f>
        <v>0.31011099384945034</v>
      </c>
      <c r="D9" s="143">
        <f>'Customer Count'!D9*'Battery Saturation &amp; Unit Load'!D9*'Battery Saturation &amp; Unit Load'!$T9/1000</f>
        <v>0.41770052232783111</v>
      </c>
      <c r="E9" s="143">
        <f>'Customer Count'!E9*'Battery Saturation &amp; Unit Load'!E9*'Battery Saturation &amp; Unit Load'!$T9/1000</f>
        <v>0.54338032550611648</v>
      </c>
      <c r="F9" s="143">
        <f>'Customer Count'!F9*'Battery Saturation &amp; Unit Load'!F9*'Battery Saturation &amp; Unit Load'!$T9/1000</f>
        <v>0.67972668024565885</v>
      </c>
      <c r="G9" s="143">
        <f>'Customer Count'!G9*'Battery Saturation &amp; Unit Load'!G9*'Battery Saturation &amp; Unit Load'!$T9/1000</f>
        <v>0.81627443285039958</v>
      </c>
      <c r="H9" s="143">
        <f>'Customer Count'!H9*'Battery Saturation &amp; Unit Load'!H9*'Battery Saturation &amp; Unit Load'!$T9/1000</f>
        <v>0.94249765384830109</v>
      </c>
      <c r="I9" s="143">
        <f>'Customer Count'!I9*'Battery Saturation &amp; Unit Load'!I9*'Battery Saturation &amp; Unit Load'!$T9/1000</f>
        <v>1.0508261397332526</v>
      </c>
      <c r="J9" s="143">
        <f>'Customer Count'!J9*'Battery Saturation &amp; Unit Load'!J9*'Battery Saturation &amp; Unit Load'!$T9/1000</f>
        <v>1.1380276377143204</v>
      </c>
      <c r="K9" s="143">
        <f>'Customer Count'!K9*'Battery Saturation &amp; Unit Load'!K9*'Battery Saturation &amp; Unit Load'!$T9/1000</f>
        <v>1.2046731725978246</v>
      </c>
      <c r="L9" s="143">
        <f>'Customer Count'!L9*'Battery Saturation &amp; Unit Load'!L9*'Battery Saturation &amp; Unit Load'!$T9/1000</f>
        <v>1.2536162886383564</v>
      </c>
      <c r="M9" s="143">
        <f>'Customer Count'!M9*'Battery Saturation &amp; Unit Load'!M9*'Battery Saturation &amp; Unit Load'!$T9/1000</f>
        <v>1.2885159255403158</v>
      </c>
      <c r="N9" s="143">
        <f>'Customer Count'!N9*'Battery Saturation &amp; Unit Load'!N9*'Battery Saturation &amp; Unit Load'!$T9/1000</f>
        <v>1.3128822944126604</v>
      </c>
      <c r="O9" s="143">
        <f>'Customer Count'!O9*'Battery Saturation &amp; Unit Load'!O9*'Battery Saturation &amp; Unit Load'!$T9/1000</f>
        <v>1.3296450528622012</v>
      </c>
      <c r="P9" s="143">
        <f>'Customer Count'!P9*'Battery Saturation &amp; Unit Load'!P9*'Battery Saturation &amp; Unit Load'!$T9/1000</f>
        <v>1.3410600726548652</v>
      </c>
      <c r="Q9" s="143">
        <f>'Customer Count'!Q9*'Battery Saturation &amp; Unit Load'!Q9*'Battery Saturation &amp; Unit Load'!$T9/1000</f>
        <v>1.3487795994012268</v>
      </c>
      <c r="R9" s="143">
        <f>'Customer Count'!R9*'Battery Saturation &amp; Unit Load'!R9*'Battery Saturation &amp; Unit Load'!$T9/1000</f>
        <v>1.3539755138903287</v>
      </c>
      <c r="S9" s="143">
        <f>'Customer Count'!S9*'Battery Saturation &amp; Unit Load'!S9*'Battery Saturation &amp; Unit Load'!$T9/1000</f>
        <v>1.3574617544401455</v>
      </c>
    </row>
    <row r="10" spans="1:19" x14ac:dyDescent="0.25">
      <c r="A10" s="139" t="str">
        <f>'Customer Count'!B10</f>
        <v>Small Commercial</v>
      </c>
      <c r="B10" s="139" t="str">
        <f>'Customer Count'!A10</f>
        <v>Miscellaneous</v>
      </c>
      <c r="C10" s="143">
        <f>'Customer Count'!C10*'Battery Saturation &amp; Unit Load'!C10*'Battery Saturation &amp; Unit Load'!$T10/1000</f>
        <v>0.59434127366545242</v>
      </c>
      <c r="D10" s="143">
        <f>'Customer Count'!D10*'Battery Saturation &amp; Unit Load'!D10*'Battery Saturation &amp; Unit Load'!$T10/1000</f>
        <v>0.80289815127440056</v>
      </c>
      <c r="E10" s="143">
        <f>'Customer Count'!E10*'Battery Saturation &amp; Unit Load'!E10*'Battery Saturation &amp; Unit Load'!$T10/1000</f>
        <v>1.0481015601618751</v>
      </c>
      <c r="F10" s="143">
        <f>'Customer Count'!F10*'Battery Saturation &amp; Unit Load'!F10*'Battery Saturation &amp; Unit Load'!$T10/1000</f>
        <v>1.3156264689215524</v>
      </c>
      <c r="G10" s="143">
        <f>'Customer Count'!G10*'Battery Saturation &amp; Unit Load'!G10*'Battery Saturation &amp; Unit Load'!$T10/1000</f>
        <v>1.5813134407295233</v>
      </c>
      <c r="H10" s="143">
        <f>'Customer Count'!H10*'Battery Saturation &amp; Unit Load'!H10*'Battery Saturation &amp; Unit Load'!$T10/1000</f>
        <v>1.8237422203371614</v>
      </c>
      <c r="I10" s="143">
        <f>'Customer Count'!I10*'Battery Saturation &amp; Unit Load'!I10*'Battery Saturation &amp; Unit Load'!$T10/1000</f>
        <v>2.0312028293260118</v>
      </c>
      <c r="J10" s="143">
        <f>'Customer Count'!J10*'Battery Saturation &amp; Unit Load'!J10*'Battery Saturation &amp; Unit Load'!$T10/1000</f>
        <v>2.1976192535597803</v>
      </c>
      <c r="K10" s="143">
        <f>'Customer Count'!K10*'Battery Saturation &amp; Unit Load'!K10*'Battery Saturation &amp; Unit Load'!$T10/1000</f>
        <v>2.3248750813114922</v>
      </c>
      <c r="L10" s="143">
        <f>'Customer Count'!L10*'Battery Saturation &amp; Unit Load'!L10*'Battery Saturation &amp; Unit Load'!$T10/1000</f>
        <v>2.417829013311795</v>
      </c>
      <c r="M10" s="143">
        <f>'Customer Count'!M10*'Battery Saturation &amp; Unit Load'!M10*'Battery Saturation &amp; Unit Load'!$T10/1000</f>
        <v>2.4838174834634934</v>
      </c>
      <c r="N10" s="143">
        <f>'Customer Count'!N10*'Battery Saturation &amp; Unit Load'!N10*'Battery Saturation &amp; Unit Load'!$T10/1000</f>
        <v>2.5294406189894452</v>
      </c>
      <c r="O10" s="143">
        <f>'Customer Count'!O10*'Battery Saturation &amp; Unit Load'!O10*'Battery Saturation &amp; Unit Load'!$T10/1000</f>
        <v>2.5615089343051198</v>
      </c>
      <c r="P10" s="143">
        <f>'Customer Count'!P10*'Battery Saturation &amp; Unit Load'!P10*'Battery Saturation &amp; Unit Load'!$T10/1000</f>
        <v>2.5832702233753499</v>
      </c>
      <c r="Q10" s="143">
        <f>'Customer Count'!Q10*'Battery Saturation &amp; Unit Load'!Q10*'Battery Saturation &amp; Unit Load'!$T10/1000</f>
        <v>2.5967565614701842</v>
      </c>
      <c r="R10" s="143">
        <f>'Customer Count'!R10*'Battery Saturation &amp; Unit Load'!R10*'Battery Saturation &amp; Unit Load'!$T10/1000</f>
        <v>2.6067600676385783</v>
      </c>
      <c r="S10" s="143">
        <f>'Customer Count'!S10*'Battery Saturation &amp; Unit Load'!S10*'Battery Saturation &amp; Unit Load'!$T10/1000</f>
        <v>2.613472000430725</v>
      </c>
    </row>
    <row r="11" spans="1:19" x14ac:dyDescent="0.25">
      <c r="A11" s="139" t="str">
        <f>'Customer Count'!B11</f>
        <v>Small Industrial</v>
      </c>
      <c r="B11" s="139" t="str">
        <f>'Customer Count'!A11</f>
        <v>Miscellaneous</v>
      </c>
      <c r="C11" s="143">
        <f>'Customer Count'!C11*'Battery Saturation &amp; Unit Load'!C11*'Battery Saturation &amp; Unit Load'!$T11/1000</f>
        <v>1.3424538484633444E-2</v>
      </c>
      <c r="D11" s="143">
        <f>'Customer Count'!D11*'Battery Saturation &amp; Unit Load'!D11*'Battery Saturation &amp; Unit Load'!$T11/1000</f>
        <v>1.8082031428281783E-2</v>
      </c>
      <c r="E11" s="143">
        <f>'Customer Count'!E11*'Battery Saturation &amp; Unit Load'!E11*'Battery Saturation &amp; Unit Load'!$T11/1000</f>
        <v>2.3522642654490462E-2</v>
      </c>
      <c r="F11" s="143">
        <f>'Customer Count'!F11*'Battery Saturation &amp; Unit Load'!F11*'Battery Saturation &amp; Unit Load'!$T11/1000</f>
        <v>2.9425003172960401E-2</v>
      </c>
      <c r="G11" s="143">
        <f>'Customer Count'!G11*'Battery Saturation &amp; Unit Load'!G11*'Battery Saturation &amp; Unit Load'!$T11/1000</f>
        <v>3.5336082096922898E-2</v>
      </c>
      <c r="H11" s="143">
        <f>'Customer Count'!H11*'Battery Saturation &amp; Unit Load'!H11*'Battery Saturation &amp; Unit Load'!$T11/1000</f>
        <v>4.0800217588885954E-2</v>
      </c>
      <c r="I11" s="143">
        <f>'Customer Count'!I11*'Battery Saturation &amp; Unit Load'!I11*'Battery Saturation &amp; Unit Load'!$T11/1000</f>
        <v>4.5489699602060264E-2</v>
      </c>
      <c r="J11" s="143">
        <f>'Customer Count'!J11*'Battery Saturation &amp; Unit Load'!J11*'Battery Saturation &amp; Unit Load'!$T11/1000</f>
        <v>4.9264605647902797E-2</v>
      </c>
      <c r="K11" s="143">
        <f>'Customer Count'!K11*'Battery Saturation &amp; Unit Load'!K11*'Battery Saturation &amp; Unit Load'!$T11/1000</f>
        <v>5.21496550838055E-2</v>
      </c>
      <c r="L11" s="143">
        <f>'Customer Count'!L11*'Battery Saturation &amp; Unit Load'!L11*'Battery Saturation &amp; Unit Load'!$T11/1000</f>
        <v>5.4268376309029052E-2</v>
      </c>
      <c r="M11" s="143">
        <f>'Customer Count'!M11*'Battery Saturation &amp; Unit Load'!M11*'Battery Saturation &amp; Unit Load'!$T11/1000</f>
        <v>5.5779162859594007E-2</v>
      </c>
      <c r="N11" s="143">
        <f>'Customer Count'!N11*'Battery Saturation &amp; Unit Load'!N11*'Battery Saturation &amp; Unit Load'!$T11/1000</f>
        <v>5.6833969890448151E-2</v>
      </c>
      <c r="O11" s="143">
        <f>'Customer Count'!O11*'Battery Saturation &amp; Unit Load'!O11*'Battery Saturation &amp; Unit Load'!$T11/1000</f>
        <v>5.7559620707019095E-2</v>
      </c>
      <c r="P11" s="143">
        <f>'Customer Count'!P11*'Battery Saturation &amp; Unit Load'!P11*'Battery Saturation &amp; Unit Load'!$T11/1000</f>
        <v>5.8053770787308931E-2</v>
      </c>
      <c r="Q11" s="143">
        <f>'Customer Count'!Q11*'Battery Saturation &amp; Unit Load'!Q11*'Battery Saturation &amp; Unit Load'!$T11/1000</f>
        <v>5.8387944957025734E-2</v>
      </c>
      <c r="R11" s="143">
        <f>'Customer Count'!R11*'Battery Saturation &amp; Unit Load'!R11*'Battery Saturation &amp; Unit Load'!$T11/1000</f>
        <v>5.8612873306569106E-2</v>
      </c>
      <c r="S11" s="143">
        <f>'Customer Count'!S11*'Battery Saturation &amp; Unit Load'!S11*'Battery Saturation &amp; Unit Load'!$T11/1000</f>
        <v>5.8763790788876821E-2</v>
      </c>
    </row>
    <row r="12" spans="1:19" x14ac:dyDescent="0.25">
      <c r="A12" s="139" t="str">
        <f>'Customer Count'!B12</f>
        <v>Large Commercial</v>
      </c>
      <c r="B12" s="139" t="str">
        <f>'Customer Count'!A12</f>
        <v>Offices</v>
      </c>
      <c r="C12" s="143">
        <f>'Customer Count'!C12*'Battery Saturation &amp; Unit Load'!C12*'Battery Saturation &amp; Unit Load'!$T12/1000</f>
        <v>5.3981944006214047</v>
      </c>
      <c r="D12" s="143">
        <f>'Customer Count'!D12*'Battery Saturation &amp; Unit Load'!D12*'Battery Saturation &amp; Unit Load'!$T12/1000</f>
        <v>7.2880933351648309</v>
      </c>
      <c r="E12" s="143">
        <f>'Customer Count'!E12*'Battery Saturation &amp; Unit Load'!E12*'Battery Saturation &amp; Unit Load'!$T12/1000</f>
        <v>9.5112049921061654</v>
      </c>
      <c r="F12" s="143">
        <f>'Customer Count'!F12*'Battery Saturation &amp; Unit Load'!F12*'Battery Saturation &amp; Unit Load'!$T12/1000</f>
        <v>11.935905829297479</v>
      </c>
      <c r="G12" s="143">
        <f>'Customer Count'!G12*'Battery Saturation &amp; Unit Load'!G12*'Battery Saturation &amp; Unit Load'!$T12/1000</f>
        <v>14.339525734691954</v>
      </c>
      <c r="H12" s="143">
        <f>'Customer Count'!H12*'Battery Saturation &amp; Unit Load'!H12*'Battery Saturation &amp; Unit Load'!$T12/1000</f>
        <v>16.529827725496389</v>
      </c>
      <c r="I12" s="143">
        <f>'Customer Count'!I12*'Battery Saturation &amp; Unit Load'!I12*'Battery Saturation &amp; Unit Load'!$T12/1000</f>
        <v>18.401907893475535</v>
      </c>
      <c r="J12" s="143">
        <f>'Customer Count'!J12*'Battery Saturation &amp; Unit Load'!J12*'Battery Saturation &amp; Unit Load'!$T12/1000</f>
        <v>19.897307013427575</v>
      </c>
      <c r="K12" s="143">
        <f>'Customer Count'!K12*'Battery Saturation &amp; Unit Load'!K12*'Battery Saturation &amp; Unit Load'!$T12/1000</f>
        <v>21.039295563880287</v>
      </c>
      <c r="L12" s="143">
        <f>'Customer Count'!L12*'Battery Saturation &amp; Unit Load'!L12*'Battery Saturation &amp; Unit Load'!$T12/1000</f>
        <v>21.871010872267053</v>
      </c>
      <c r="M12" s="143">
        <f>'Customer Count'!M12*'Battery Saturation &amp; Unit Load'!M12*'Battery Saturation &amp; Unit Load'!$T12/1000</f>
        <v>22.458489149829504</v>
      </c>
      <c r="N12" s="143">
        <f>'Customer Count'!N12*'Battery Saturation &amp; Unit Load'!N12*'Battery Saturation &amp; Unit Load'!$T12/1000</f>
        <v>22.86492606978355</v>
      </c>
      <c r="O12" s="143">
        <f>'Customer Count'!O12*'Battery Saturation &amp; Unit Load'!O12*'Battery Saturation &amp; Unit Load'!$T12/1000</f>
        <v>23.146123947342836</v>
      </c>
      <c r="P12" s="143">
        <f>'Customer Count'!P12*'Battery Saturation &amp; Unit Load'!P12*'Battery Saturation &amp; Unit Load'!$T12/1000</f>
        <v>23.333400404914908</v>
      </c>
      <c r="Q12" s="143">
        <f>'Customer Count'!Q12*'Battery Saturation &amp; Unit Load'!Q12*'Battery Saturation &amp; Unit Load'!$T12/1000</f>
        <v>23.453188943852609</v>
      </c>
      <c r="R12" s="143">
        <f>'Customer Count'!R12*'Battery Saturation &amp; Unit Load'!R12*'Battery Saturation &amp; Unit Load'!$T12/1000</f>
        <v>23.543537852082761</v>
      </c>
      <c r="S12" s="143">
        <f>'Customer Count'!S12*'Battery Saturation &amp; Unit Load'!S12*'Battery Saturation &amp; Unit Load'!$T12/1000</f>
        <v>23.604158177564308</v>
      </c>
    </row>
    <row r="13" spans="1:19" x14ac:dyDescent="0.25">
      <c r="A13" s="139" t="str">
        <f>'Customer Count'!B13</f>
        <v>Large Industrial</v>
      </c>
      <c r="B13" s="139" t="str">
        <f>'Customer Count'!A13</f>
        <v>Offices</v>
      </c>
      <c r="C13" s="143">
        <f>'Customer Count'!C13*'Battery Saturation &amp; Unit Load'!C13*'Battery Saturation &amp; Unit Load'!$T13/1000</f>
        <v>3.6792829778748343E-2</v>
      </c>
      <c r="D13" s="143">
        <f>'Customer Count'!D13*'Battery Saturation &amp; Unit Load'!D13*'Battery Saturation &amp; Unit Load'!$T13/1000</f>
        <v>4.9557689089742667E-2</v>
      </c>
      <c r="E13" s="143">
        <f>'Customer Count'!E13*'Battery Saturation &amp; Unit Load'!E13*'Battery Saturation &amp; Unit Load'!$T13/1000</f>
        <v>6.4468852178691791E-2</v>
      </c>
      <c r="F13" s="143">
        <f>'Customer Count'!F13*'Battery Saturation &amp; Unit Load'!F13*'Battery Saturation &amp; Unit Load'!$T13/1000</f>
        <v>8.0645538334230701E-2</v>
      </c>
      <c r="G13" s="143">
        <f>'Customer Count'!G13*'Battery Saturation &amp; Unit Load'!G13*'Battery Saturation &amp; Unit Load'!$T13/1000</f>
        <v>9.6846119151742335E-2</v>
      </c>
      <c r="H13" s="143">
        <f>'Customer Count'!H13*'Battery Saturation &amp; Unit Load'!H13*'Battery Saturation &amp; Unit Load'!$T13/1000</f>
        <v>0.11182175554132386</v>
      </c>
      <c r="I13" s="143">
        <f>'Customer Count'!I13*'Battery Saturation &amp; Unit Load'!I13*'Battery Saturation &amp; Unit Load'!$T13/1000</f>
        <v>0.12467428776496217</v>
      </c>
      <c r="J13" s="143">
        <f>'Customer Count'!J13*'Battery Saturation &amp; Unit Load'!J13*'Battery Saturation &amp; Unit Load'!$T13/1000</f>
        <v>0.13502022820339393</v>
      </c>
      <c r="K13" s="143">
        <f>'Customer Count'!K13*'Battery Saturation &amp; Unit Load'!K13*'Battery Saturation &amp; Unit Load'!$T13/1000</f>
        <v>0.14292732556245374</v>
      </c>
      <c r="L13" s="143">
        <f>'Customer Count'!L13*'Battery Saturation &amp; Unit Load'!L13*'Battery Saturation &amp; Unit Load'!$T13/1000</f>
        <v>0.14873413594014398</v>
      </c>
      <c r="M13" s="143">
        <f>'Customer Count'!M13*'Battery Saturation &amp; Unit Load'!M13*'Battery Saturation &amp; Unit Load'!$T13/1000</f>
        <v>0.15287477082681711</v>
      </c>
      <c r="N13" s="143">
        <f>'Customer Count'!N13*'Battery Saturation &amp; Unit Load'!N13*'Battery Saturation &amp; Unit Load'!$T13/1000</f>
        <v>0.15576569594726475</v>
      </c>
      <c r="O13" s="143">
        <f>'Customer Count'!O13*'Battery Saturation &amp; Unit Load'!O13*'Battery Saturation &amp; Unit Load'!$T13/1000</f>
        <v>0.15775449779721032</v>
      </c>
      <c r="P13" s="143">
        <f>'Customer Count'!P13*'Battery Saturation &amp; Unit Load'!P13*'Battery Saturation &amp; Unit Load'!$T13/1000</f>
        <v>0.15910882217939079</v>
      </c>
      <c r="Q13" s="143">
        <f>'Customer Count'!Q13*'Battery Saturation &amp; Unit Load'!Q13*'Battery Saturation &amp; Unit Load'!$T13/1000</f>
        <v>0.16002469823404386</v>
      </c>
      <c r="R13" s="143">
        <f>'Customer Count'!R13*'Battery Saturation &amp; Unit Load'!R13*'Battery Saturation &amp; Unit Load'!$T13/1000</f>
        <v>0.16064116266495426</v>
      </c>
      <c r="S13" s="143">
        <f>'Customer Count'!S13*'Battery Saturation &amp; Unit Load'!S13*'Battery Saturation &amp; Unit Load'!$T13/1000</f>
        <v>0.16105478442510202</v>
      </c>
    </row>
    <row r="14" spans="1:19" x14ac:dyDescent="0.25">
      <c r="A14" s="139" t="str">
        <f>'Customer Count'!B14</f>
        <v>Small Commercial</v>
      </c>
      <c r="B14" s="139" t="str">
        <f>'Customer Count'!A14</f>
        <v>Offices</v>
      </c>
      <c r="C14" s="143">
        <f>'Customer Count'!C14*'Battery Saturation &amp; Unit Load'!C14*'Battery Saturation &amp; Unit Load'!$T14/1000</f>
        <v>0.20615566705426699</v>
      </c>
      <c r="D14" s="143">
        <f>'Customer Count'!D14*'Battery Saturation &amp; Unit Load'!D14*'Battery Saturation &amp; Unit Load'!$T14/1000</f>
        <v>0.27825041784069249</v>
      </c>
      <c r="E14" s="143">
        <f>'Customer Count'!E14*'Battery Saturation &amp; Unit Load'!E14*'Battery Saturation &amp; Unit Load'!$T14/1000</f>
        <v>0.3630866853215679</v>
      </c>
      <c r="F14" s="143">
        <f>'Customer Count'!F14*'Battery Saturation &amp; Unit Load'!F14*'Battery Saturation &amp; Unit Load'!$T14/1000</f>
        <v>0.4555879645028697</v>
      </c>
      <c r="G14" s="143">
        <f>'Customer Count'!G14*'Battery Saturation &amp; Unit Load'!G14*'Battery Saturation &amp; Unit Load'!$T14/1000</f>
        <v>0.54724889683146172</v>
      </c>
      <c r="H14" s="143">
        <f>'Customer Count'!H14*'Battery Saturation &amp; Unit Load'!H14*'Battery Saturation &amp; Unit Load'!$T14/1000</f>
        <v>0.63074375279664663</v>
      </c>
      <c r="I14" s="143">
        <f>'Customer Count'!I14*'Battery Saturation &amp; Unit Load'!I14*'Battery Saturation &amp; Unit Load'!$T14/1000</f>
        <v>0.70216193339283972</v>
      </c>
      <c r="J14" s="143">
        <f>'Customer Count'!J14*'Battery Saturation &amp; Unit Load'!J14*'Battery Saturation &amp; Unit Load'!$T14/1000</f>
        <v>0.75906788632341982</v>
      </c>
      <c r="K14" s="143">
        <f>'Customer Count'!K14*'Battery Saturation &amp; Unit Load'!K14*'Battery Saturation &amp; Unit Load'!$T14/1000</f>
        <v>0.8024907696278526</v>
      </c>
      <c r="L14" s="143">
        <f>'Customer Count'!L14*'Battery Saturation &amp; Unit Load'!L14*'Battery Saturation &amp; Unit Load'!$T14/1000</f>
        <v>0.83380805512259593</v>
      </c>
      <c r="M14" s="143">
        <f>'Customer Count'!M14*'Battery Saturation &amp; Unit Load'!M14*'Battery Saturation &amp; Unit Load'!$T14/1000</f>
        <v>0.85591901040053853</v>
      </c>
      <c r="N14" s="143">
        <f>'Customer Count'!N14*'Battery Saturation &amp; Unit Load'!N14*'Battery Saturation &amp; Unit Load'!$T14/1000</f>
        <v>0.87165583275967473</v>
      </c>
      <c r="O14" s="143">
        <f>'Customer Count'!O14*'Battery Saturation &amp; Unit Load'!O14*'Battery Saturation &amp; Unit Load'!$T14/1000</f>
        <v>0.88210301456500073</v>
      </c>
      <c r="P14" s="143">
        <f>'Customer Count'!P14*'Battery Saturation &amp; Unit Load'!P14*'Battery Saturation &amp; Unit Load'!$T14/1000</f>
        <v>0.88898798651040578</v>
      </c>
      <c r="Q14" s="143">
        <f>'Customer Count'!Q14*'Battery Saturation &amp; Unit Load'!Q14*'Battery Saturation &amp; Unit Load'!$T14/1000</f>
        <v>0.89341340312038142</v>
      </c>
      <c r="R14" s="143">
        <f>'Customer Count'!R14*'Battery Saturation &amp; Unit Load'!R14*'Battery Saturation &amp; Unit Load'!$T14/1000</f>
        <v>0.89685510675238467</v>
      </c>
      <c r="S14" s="143">
        <f>'Customer Count'!S14*'Battery Saturation &amp; Unit Load'!S14*'Battery Saturation &amp; Unit Load'!$T14/1000</f>
        <v>0.89916434544126378</v>
      </c>
    </row>
    <row r="15" spans="1:19" x14ac:dyDescent="0.25">
      <c r="A15" s="139" t="str">
        <f>'Customer Count'!B15</f>
        <v>Small Industrial</v>
      </c>
      <c r="B15" s="139" t="str">
        <f>'Customer Count'!A15</f>
        <v>Offices</v>
      </c>
      <c r="C15" s="143">
        <f>'Customer Count'!C15*'Battery Saturation &amp; Unit Load'!C15*'Battery Saturation &amp; Unit Load'!$T15/1000</f>
        <v>5.2806313969274918E-3</v>
      </c>
      <c r="D15" s="143">
        <f>'Customer Count'!D15*'Battery Saturation &amp; Unit Load'!D15*'Battery Saturation &amp; Unit Load'!$T15/1000</f>
        <v>7.112687187698254E-3</v>
      </c>
      <c r="E15" s="143">
        <f>'Customer Count'!E15*'Battery Saturation &amp; Unit Load'!E15*'Battery Saturation &amp; Unit Load'!$T15/1000</f>
        <v>9.2527877574481721E-3</v>
      </c>
      <c r="F15" s="143">
        <f>'Customer Count'!F15*'Battery Saturation &amp; Unit Load'!F15*'Battery Saturation &amp; Unit Load'!$T15/1000</f>
        <v>1.1574520478874284E-2</v>
      </c>
      <c r="G15" s="143">
        <f>'Customer Count'!G15*'Battery Saturation &amp; Unit Load'!G15*'Battery Saturation &amp; Unit Load'!$T15/1000</f>
        <v>1.389968264302037E-2</v>
      </c>
      <c r="H15" s="143">
        <f>'Customer Count'!H15*'Battery Saturation &amp; Unit Load'!H15*'Battery Saturation &amp; Unit Load'!$T15/1000</f>
        <v>1.6049036638984857E-2</v>
      </c>
      <c r="I15" s="143">
        <f>'Customer Count'!I15*'Battery Saturation &amp; Unit Load'!I15*'Battery Saturation &amp; Unit Load'!$T15/1000</f>
        <v>1.789367554276846E-2</v>
      </c>
      <c r="J15" s="143">
        <f>'Customer Count'!J15*'Battery Saturation &amp; Unit Load'!J15*'Battery Saturation &amp; Unit Load'!$T15/1000</f>
        <v>1.9378559913947775E-2</v>
      </c>
      <c r="K15" s="143">
        <f>'Customer Count'!K15*'Battery Saturation &amp; Unit Load'!K15*'Battery Saturation &amp; Unit Load'!$T15/1000</f>
        <v>2.0513413275972444E-2</v>
      </c>
      <c r="L15" s="143">
        <f>'Customer Count'!L15*'Battery Saturation &amp; Unit Load'!L15*'Battery Saturation &amp; Unit Load'!$T15/1000</f>
        <v>2.1346826345334854E-2</v>
      </c>
      <c r="M15" s="143">
        <f>'Customer Count'!M15*'Battery Saturation &amp; Unit Load'!M15*'Battery Saturation &amp; Unit Load'!$T15/1000</f>
        <v>2.1941104271693452E-2</v>
      </c>
      <c r="N15" s="143">
        <f>'Customer Count'!N15*'Battery Saturation &amp; Unit Load'!N15*'Battery Saturation &amp; Unit Load'!$T15/1000</f>
        <v>2.2356019624739223E-2</v>
      </c>
      <c r="O15" s="143">
        <f>'Customer Count'!O15*'Battery Saturation &amp; Unit Load'!O15*'Battery Saturation &amp; Unit Load'!$T15/1000</f>
        <v>2.2641459194194573E-2</v>
      </c>
      <c r="P15" s="143">
        <f>'Customer Count'!P15*'Battery Saturation &amp; Unit Load'!P15*'Battery Saturation &amp; Unit Load'!$T15/1000</f>
        <v>2.2835836411091798E-2</v>
      </c>
      <c r="Q15" s="143">
        <f>'Customer Count'!Q15*'Battery Saturation &amp; Unit Load'!Q15*'Battery Saturation &amp; Unit Load'!$T15/1000</f>
        <v>2.2967286040788088E-2</v>
      </c>
      <c r="R15" s="143">
        <f>'Customer Count'!R15*'Battery Saturation &amp; Unit Load'!R15*'Battery Saturation &amp; Unit Load'!$T15/1000</f>
        <v>2.3055763101360226E-2</v>
      </c>
      <c r="S15" s="143">
        <f>'Customer Count'!S15*'Battery Saturation &amp; Unit Load'!S15*'Battery Saturation &amp; Unit Load'!$T15/1000</f>
        <v>2.3115127495624627E-2</v>
      </c>
    </row>
    <row r="16" spans="1:19" x14ac:dyDescent="0.25">
      <c r="A16" s="139" t="str">
        <f>'Customer Count'!B16</f>
        <v>Residential</v>
      </c>
      <c r="B16" s="139" t="str">
        <f>'Customer Count'!A16</f>
        <v>Residential LI</v>
      </c>
      <c r="C16" s="143">
        <f>'Customer Count'!C16*'Battery Saturation &amp; Unit Load'!C16*'Battery Saturation &amp; Unit Load'!$T16/1000</f>
        <v>2.0621153141440121</v>
      </c>
      <c r="D16" s="143">
        <f>'Customer Count'!D16*'Battery Saturation &amp; Unit Load'!D16*'Battery Saturation &amp; Unit Load'!$T16/1000</f>
        <v>2.7971516286536806</v>
      </c>
      <c r="E16" s="143">
        <f>'Customer Count'!E16*'Battery Saturation &amp; Unit Load'!E16*'Battery Saturation &amp; Unit Load'!$T16/1000</f>
        <v>3.6618827112655459</v>
      </c>
      <c r="F16" s="143">
        <f>'Customer Count'!F16*'Battery Saturation &amp; Unit Load'!F16*'Battery Saturation &amp; Unit Load'!$T16/1000</f>
        <v>4.6069133520629348</v>
      </c>
      <c r="G16" s="143">
        <f>'Customer Count'!G16*'Battery Saturation &amp; Unit Load'!G16*'Battery Saturation &amp; Unit Load'!$T16/1000</f>
        <v>5.5621828001598264</v>
      </c>
      <c r="H16" s="143">
        <f>'Customer Count'!H16*'Battery Saturation &amp; Unit Load'!H16*'Battery Saturation &amp; Unit Load'!$T16/1000</f>
        <v>6.4548032725415077</v>
      </c>
      <c r="I16" s="143">
        <f>'Customer Count'!I16*'Battery Saturation &amp; Unit Load'!I16*'Battery Saturation &amp; Unit Load'!$T16/1000</f>
        <v>7.2309602973489797</v>
      </c>
      <c r="J16" s="143">
        <f>'Customer Count'!J16*'Battery Saturation &amp; Unit Load'!J16*'Battery Saturation &amp; Unit Load'!$T16/1000</f>
        <v>7.8658292050192129</v>
      </c>
      <c r="K16" s="143">
        <f>'Customer Count'!K16*'Battery Saturation &amp; Unit Load'!K16*'Battery Saturation &amp; Unit Load'!$T16/1000</f>
        <v>8.3609092452930085</v>
      </c>
      <c r="L16" s="143">
        <f>'Customer Count'!L16*'Battery Saturation &amp; Unit Load'!L16*'Battery Saturation &amp; Unit Load'!$T16/1000</f>
        <v>8.7341684444782253</v>
      </c>
      <c r="M16" s="143">
        <f>'Customer Count'!M16*'Battery Saturation &amp; Unit Load'!M16*'Battery Saturation &amp; Unit Load'!$T16/1000</f>
        <v>9.0092447458414817</v>
      </c>
      <c r="N16" s="143">
        <f>'Customer Count'!N16*'Battery Saturation &amp; Unit Load'!N16*'Battery Saturation &amp; Unit Load'!$T16/1000</f>
        <v>9.2095074457830126</v>
      </c>
      <c r="O16" s="143">
        <f>'Customer Count'!O16*'Battery Saturation &amp; Unit Load'!O16*'Battery Saturation &amp; Unit Load'!$T16/1000</f>
        <v>9.3548353177067813</v>
      </c>
      <c r="P16" s="143">
        <f>'Customer Count'!P16*'Battery Saturation &amp; Unit Load'!P16*'Battery Saturation &amp; Unit Load'!$T16/1000</f>
        <v>9.4605707466019542</v>
      </c>
      <c r="Q16" s="143">
        <f>'Customer Count'!Q16*'Battery Saturation &amp; Unit Load'!Q16*'Battery Saturation &amp; Unit Load'!$T16/1000</f>
        <v>9.5378930416819152</v>
      </c>
      <c r="R16" s="143">
        <f>'Customer Count'!R16*'Battery Saturation &amp; Unit Load'!R16*'Battery Saturation &amp; Unit Load'!$T16/1000</f>
        <v>9.5746359436896125</v>
      </c>
      <c r="S16" s="143">
        <f>'Customer Count'!S16*'Battery Saturation &amp; Unit Load'!S16*'Battery Saturation &amp; Unit Load'!$T16/1000</f>
        <v>9.5992888888383128</v>
      </c>
    </row>
    <row r="17" spans="1:19" x14ac:dyDescent="0.25">
      <c r="A17" s="139" t="str">
        <f>'Customer Count'!B17</f>
        <v>Residential</v>
      </c>
      <c r="B17" s="139" t="str">
        <f>'Customer Count'!A17</f>
        <v>Residential Market Rate</v>
      </c>
      <c r="C17" s="143">
        <f>'Customer Count'!C17*'Battery Saturation &amp; Unit Load'!C17*'Battery Saturation &amp; Unit Load'!$T17/1000</f>
        <v>12.837610358966474</v>
      </c>
      <c r="D17" s="143">
        <f>'Customer Count'!D17*'Battery Saturation &amp; Unit Load'!D17*'Battery Saturation &amp; Unit Load'!$T17/1000</f>
        <v>17.413400151011071</v>
      </c>
      <c r="E17" s="143">
        <f>'Customer Count'!E17*'Battery Saturation &amp; Unit Load'!E17*'Battery Saturation &amp; Unit Load'!$T17/1000</f>
        <v>22.796669718068006</v>
      </c>
      <c r="F17" s="143">
        <f>'Customer Count'!F17*'Battery Saturation &amp; Unit Load'!F17*'Battery Saturation &amp; Unit Load'!$T17/1000</f>
        <v>28.680026527524166</v>
      </c>
      <c r="G17" s="143">
        <f>'Customer Count'!G17*'Battery Saturation &amp; Unit Load'!G17*'Battery Saturation &amp; Unit Load'!$T17/1000</f>
        <v>34.62690509776823</v>
      </c>
      <c r="H17" s="143">
        <f>'Customer Count'!H17*'Battery Saturation &amp; Unit Load'!H17*'Battery Saturation &amp; Unit Load'!$T17/1000</f>
        <v>40.184071653150376</v>
      </c>
      <c r="I17" s="143">
        <f>'Customer Count'!I17*'Battery Saturation &amp; Unit Load'!I17*'Battery Saturation &amp; Unit Load'!$T17/1000</f>
        <v>45.01565550398</v>
      </c>
      <c r="J17" s="143">
        <f>'Customer Count'!J17*'Battery Saturation &amp; Unit Load'!J17*'Battery Saturation &amp; Unit Load'!$T17/1000</f>
        <v>48.968000209251471</v>
      </c>
      <c r="K17" s="143">
        <f>'Customer Count'!K17*'Battery Saturation &amp; Unit Load'!K17*'Battery Saturation &amp; Unit Load'!$T17/1000</f>
        <v>52.050650730329501</v>
      </c>
      <c r="L17" s="143">
        <f>'Customer Count'!L17*'Battery Saturation &amp; Unit Load'!L17*'Battery Saturation &amp; Unit Load'!$T17/1000</f>
        <v>54.373838956414048</v>
      </c>
      <c r="M17" s="143">
        <f>'Customer Count'!M17*'Battery Saturation &amp; Unit Load'!M17*'Battery Saturation &amp; Unit Load'!$T17/1000</f>
        <v>56.086215960116832</v>
      </c>
      <c r="N17" s="143">
        <f>'Customer Count'!N17*'Battery Saturation &amp; Unit Load'!N17*'Battery Saturation &amp; Unit Load'!$T17/1000</f>
        <v>57.333305819670542</v>
      </c>
      <c r="O17" s="143">
        <f>'Customer Count'!O17*'Battery Saturation &amp; Unit Load'!O17*'Battery Saturation &amp; Unit Load'!$T17/1000</f>
        <v>58.238051126070999</v>
      </c>
      <c r="P17" s="143">
        <f>'Customer Count'!P17*'Battery Saturation &amp; Unit Load'!P17*'Battery Saturation &amp; Unit Load'!$T17/1000</f>
        <v>58.896085097800913</v>
      </c>
      <c r="Q17" s="143">
        <f>'Customer Count'!Q17*'Battery Saturation &amp; Unit Load'!Q17*'Battery Saturation &amp; Unit Load'!$T17/1000</f>
        <v>59.377706799050209</v>
      </c>
      <c r="R17" s="143">
        <f>'Customer Count'!R17*'Battery Saturation &amp; Unit Load'!R17*'Battery Saturation &amp; Unit Load'!$T17/1000</f>
        <v>59.606448016091015</v>
      </c>
      <c r="S17" s="143">
        <f>'Customer Count'!S17*'Battery Saturation &amp; Unit Load'!S17*'Battery Saturation &amp; Unit Load'!$T17/1000</f>
        <v>59.759923772463573</v>
      </c>
    </row>
    <row r="18" spans="1:19" x14ac:dyDescent="0.25">
      <c r="A18" s="139" t="str">
        <f>'Customer Count'!B18</f>
        <v>Interruptible Rider</v>
      </c>
      <c r="B18" s="139" t="str">
        <f>'Customer Count'!A18</f>
        <v>Retail Trade</v>
      </c>
      <c r="C18" s="143">
        <f>'Customer Count'!C18*'Battery Saturation &amp; Unit Load'!C18*'Battery Saturation &amp; Unit Load'!$T18/1000</f>
        <v>0.30913860756964151</v>
      </c>
      <c r="D18" s="143">
        <f>'Customer Count'!D18*'Battery Saturation &amp; Unit Load'!D18*'Battery Saturation &amp; Unit Load'!$T18/1000</f>
        <v>0.41639077754278253</v>
      </c>
      <c r="E18" s="143">
        <f>'Customer Count'!E18*'Battery Saturation &amp; Unit Load'!E18*'Battery Saturation &amp; Unit Load'!$T18/1000</f>
        <v>0.54167649821937203</v>
      </c>
      <c r="F18" s="143">
        <f>'Customer Count'!F18*'Battery Saturation &amp; Unit Load'!F18*'Battery Saturation &amp; Unit Load'!$T18/1000</f>
        <v>0.67759532434083813</v>
      </c>
      <c r="G18" s="143">
        <f>'Customer Count'!G18*'Battery Saturation &amp; Unit Load'!G18*'Battery Saturation &amp; Unit Load'!$T18/1000</f>
        <v>0.81371491682289721</v>
      </c>
      <c r="H18" s="143">
        <f>'Customer Count'!H18*'Battery Saturation &amp; Unit Load'!H18*'Battery Saturation &amp; Unit Load'!$T18/1000</f>
        <v>0.93954235137424902</v>
      </c>
      <c r="I18" s="143">
        <f>'Customer Count'!I18*'Battery Saturation &amp; Unit Load'!I18*'Battery Saturation &amp; Unit Load'!$T18/1000</f>
        <v>1.047531161673761</v>
      </c>
      <c r="J18" s="143">
        <f>'Customer Count'!J18*'Battery Saturation &amp; Unit Load'!J18*'Battery Saturation &amp; Unit Load'!$T18/1000</f>
        <v>1.1344592300057763</v>
      </c>
      <c r="K18" s="143">
        <f>'Customer Count'!K18*'Battery Saturation &amp; Unit Load'!K18*'Battery Saturation &amp; Unit Load'!$T18/1000</f>
        <v>1.2008957906670938</v>
      </c>
      <c r="L18" s="143">
        <f>'Customer Count'!L18*'Battery Saturation &amp; Unit Load'!L18*'Battery Saturation &amp; Unit Load'!$T18/1000</f>
        <v>1.2496854403182591</v>
      </c>
      <c r="M18" s="143">
        <f>'Customer Count'!M18*'Battery Saturation &amp; Unit Load'!M18*'Battery Saturation &amp; Unit Load'!$T18/1000</f>
        <v>1.2844756456658177</v>
      </c>
      <c r="N18" s="143">
        <f>'Customer Count'!N18*'Battery Saturation &amp; Unit Load'!N18*'Battery Saturation &amp; Unit Load'!$T18/1000</f>
        <v>1.3087656111753336</v>
      </c>
      <c r="O18" s="143">
        <f>'Customer Count'!O18*'Battery Saturation &amp; Unit Load'!O18*'Battery Saturation &amp; Unit Load'!$T18/1000</f>
        <v>1.325475808197994</v>
      </c>
      <c r="P18" s="143">
        <f>'Customer Count'!P18*'Battery Saturation &amp; Unit Load'!P18*'Battery Saturation &amp; Unit Load'!$T18/1000</f>
        <v>1.3368550349718666</v>
      </c>
      <c r="Q18" s="143">
        <f>'Customer Count'!Q18*'Battery Saturation &amp; Unit Load'!Q18*'Battery Saturation &amp; Unit Load'!$T18/1000</f>
        <v>1.3445503563142163</v>
      </c>
      <c r="R18" s="143">
        <f>'Customer Count'!R18*'Battery Saturation &amp; Unit Load'!R18*'Battery Saturation &amp; Unit Load'!$T18/1000</f>
        <v>1.3497299784561891</v>
      </c>
      <c r="S18" s="143">
        <f>'Customer Count'!S18*'Battery Saturation &amp; Unit Load'!S18*'Battery Saturation &amp; Unit Load'!$T18/1000</f>
        <v>1.3532052875248721</v>
      </c>
    </row>
    <row r="19" spans="1:19" x14ac:dyDescent="0.25">
      <c r="A19" s="139" t="str">
        <f>'Customer Count'!B19</f>
        <v>Large Industrial</v>
      </c>
      <c r="B19" s="139" t="str">
        <f>'Customer Count'!A19</f>
        <v>Retail Trade</v>
      </c>
      <c r="C19" s="143">
        <f>'Customer Count'!C19*'Battery Saturation &amp; Unit Load'!C19*'Battery Saturation &amp; Unit Load'!$T19/1000</f>
        <v>0.18396414889374171</v>
      </c>
      <c r="D19" s="143">
        <f>'Customer Count'!D19*'Battery Saturation &amp; Unit Load'!D19*'Battery Saturation &amp; Unit Load'!$T19/1000</f>
        <v>0.24778844544871337</v>
      </c>
      <c r="E19" s="143">
        <f>'Customer Count'!E19*'Battery Saturation &amp; Unit Load'!E19*'Battery Saturation &amp; Unit Load'!$T19/1000</f>
        <v>0.32234426089345891</v>
      </c>
      <c r="F19" s="143">
        <f>'Customer Count'!F19*'Battery Saturation &amp; Unit Load'!F19*'Battery Saturation &amp; Unit Load'!$T19/1000</f>
        <v>0.40322769167115352</v>
      </c>
      <c r="G19" s="143">
        <f>'Customer Count'!G19*'Battery Saturation &amp; Unit Load'!G19*'Battery Saturation &amp; Unit Load'!$T19/1000</f>
        <v>0.48423059575871169</v>
      </c>
      <c r="H19" s="143">
        <f>'Customer Count'!H19*'Battery Saturation &amp; Unit Load'!H19*'Battery Saturation &amp; Unit Load'!$T19/1000</f>
        <v>0.55910877770661938</v>
      </c>
      <c r="I19" s="143">
        <f>'Customer Count'!I19*'Battery Saturation &amp; Unit Load'!I19*'Battery Saturation &amp; Unit Load'!$T19/1000</f>
        <v>0.62337143882481083</v>
      </c>
      <c r="J19" s="143">
        <f>'Customer Count'!J19*'Battery Saturation &amp; Unit Load'!J19*'Battery Saturation &amp; Unit Load'!$T19/1000</f>
        <v>0.67510114101696983</v>
      </c>
      <c r="K19" s="143">
        <f>'Customer Count'!K19*'Battery Saturation &amp; Unit Load'!K19*'Battery Saturation &amp; Unit Load'!$T19/1000</f>
        <v>0.71463662781226878</v>
      </c>
      <c r="L19" s="143">
        <f>'Customer Count'!L19*'Battery Saturation &amp; Unit Load'!L19*'Battery Saturation &amp; Unit Load'!$T19/1000</f>
        <v>0.74367067970071987</v>
      </c>
      <c r="M19" s="143">
        <f>'Customer Count'!M19*'Battery Saturation &amp; Unit Load'!M19*'Battery Saturation &amp; Unit Load'!$T19/1000</f>
        <v>0.76437385413408565</v>
      </c>
      <c r="N19" s="143">
        <f>'Customer Count'!N19*'Battery Saturation &amp; Unit Load'!N19*'Battery Saturation &amp; Unit Load'!$T19/1000</f>
        <v>0.77882847973632385</v>
      </c>
      <c r="O19" s="143">
        <f>'Customer Count'!O19*'Battery Saturation &amp; Unit Load'!O19*'Battery Saturation &amp; Unit Load'!$T19/1000</f>
        <v>0.78877248898605157</v>
      </c>
      <c r="P19" s="143">
        <f>'Customer Count'!P19*'Battery Saturation &amp; Unit Load'!P19*'Battery Saturation &amp; Unit Load'!$T19/1000</f>
        <v>0.79554411089695387</v>
      </c>
      <c r="Q19" s="143">
        <f>'Customer Count'!Q19*'Battery Saturation &amp; Unit Load'!Q19*'Battery Saturation &amp; Unit Load'!$T19/1000</f>
        <v>0.8001234911702193</v>
      </c>
      <c r="R19" s="143">
        <f>'Customer Count'!R19*'Battery Saturation &amp; Unit Load'!R19*'Battery Saturation &amp; Unit Load'!$T19/1000</f>
        <v>0.80320581332477126</v>
      </c>
      <c r="S19" s="143">
        <f>'Customer Count'!S19*'Battery Saturation &amp; Unit Load'!S19*'Battery Saturation &amp; Unit Load'!$T19/1000</f>
        <v>0.80527392212550997</v>
      </c>
    </row>
    <row r="20" spans="1:19" x14ac:dyDescent="0.25">
      <c r="A20" s="139" t="str">
        <f>'Customer Count'!B20</f>
        <v>Small Commercial</v>
      </c>
      <c r="B20" s="139" t="str">
        <f>'Customer Count'!A20</f>
        <v>Retail Trade</v>
      </c>
      <c r="C20" s="143">
        <f>'Customer Count'!C20*'Battery Saturation &amp; Unit Load'!C20*'Battery Saturation &amp; Unit Load'!$T20/1000</f>
        <v>0.3597119458066223</v>
      </c>
      <c r="D20" s="143">
        <f>'Customer Count'!D20*'Battery Saturation &amp; Unit Load'!D20*'Battery Saturation &amp; Unit Load'!$T20/1000</f>
        <v>0.48565268000942213</v>
      </c>
      <c r="E20" s="143">
        <f>'Customer Count'!E20*'Battery Saturation &amp; Unit Load'!E20*'Battery Saturation &amp; Unit Load'!$T20/1000</f>
        <v>0.63372934508147771</v>
      </c>
      <c r="F20" s="143">
        <f>'Customer Count'!F20*'Battery Saturation &amp; Unit Load'!F20*'Battery Saturation &amp; Unit Load'!$T20/1000</f>
        <v>0.79530317374824921</v>
      </c>
      <c r="G20" s="143">
        <f>'Customer Count'!G20*'Battery Saturation &amp; Unit Load'!G20*'Battery Saturation &amp; Unit Load'!$T20/1000</f>
        <v>0.95520822492081714</v>
      </c>
      <c r="H20" s="143">
        <f>'Customer Count'!H20*'Battery Saturation &amp; Unit Load'!H20*'Battery Saturation &amp; Unit Load'!$T20/1000</f>
        <v>1.1008202798553637</v>
      </c>
      <c r="I20" s="143">
        <f>'Customer Count'!I20*'Battery Saturation &amp; Unit Load'!I20*'Battery Saturation &amp; Unit Load'!$T20/1000</f>
        <v>1.2251899242082329</v>
      </c>
      <c r="J20" s="143">
        <f>'Customer Count'!J20*'Battery Saturation &amp; Unit Load'!J20*'Battery Saturation &amp; Unit Load'!$T20/1000</f>
        <v>1.3243312059259664</v>
      </c>
      <c r="K20" s="143">
        <f>'Customer Count'!K20*'Battery Saturation &amp; Unit Load'!K20*'Battery Saturation &amp; Unit Load'!$T20/1000</f>
        <v>1.4000333062526988</v>
      </c>
      <c r="L20" s="143">
        <f>'Customer Count'!L20*'Battery Saturation &amp; Unit Load'!L20*'Battery Saturation &amp; Unit Load'!$T20/1000</f>
        <v>1.4551986854054761</v>
      </c>
      <c r="M20" s="143">
        <f>'Customer Count'!M20*'Battery Saturation &amp; Unit Load'!M20*'Battery Saturation &amp; Unit Load'!$T20/1000</f>
        <v>1.4939476987197045</v>
      </c>
      <c r="N20" s="143">
        <f>'Customer Count'!N20*'Battery Saturation &amp; Unit Load'!N20*'Battery Saturation &amp; Unit Load'!$T20/1000</f>
        <v>1.5206275073690541</v>
      </c>
      <c r="O20" s="143">
        <f>'Customer Count'!O20*'Battery Saturation &amp; Unit Load'!O20*'Battery Saturation &amp; Unit Load'!$T20/1000</f>
        <v>1.5391333527332618</v>
      </c>
      <c r="P20" s="143">
        <f>'Customer Count'!P20*'Battery Saturation &amp; Unit Load'!P20*'Battery Saturation &amp; Unit Load'!$T20/1000</f>
        <v>1.5514296406317785</v>
      </c>
      <c r="Q20" s="143">
        <f>'Customer Count'!Q20*'Battery Saturation &amp; Unit Load'!Q20*'Battery Saturation &amp; Unit Load'!$T20/1000</f>
        <v>1.5592070259413779</v>
      </c>
      <c r="R20" s="143">
        <f>'Customer Count'!R20*'Battery Saturation &amp; Unit Load'!R20*'Battery Saturation &amp; Unit Load'!$T20/1000</f>
        <v>1.5652135716966631</v>
      </c>
      <c r="S20" s="143">
        <f>'Customer Count'!S20*'Battery Saturation &amp; Unit Load'!S20*'Battery Saturation &amp; Unit Load'!$T20/1000</f>
        <v>1.5692437118039195</v>
      </c>
    </row>
    <row r="21" spans="1:19" x14ac:dyDescent="0.25">
      <c r="A21" s="139" t="str">
        <f>'Customer Count'!B21</f>
        <v>Small Industrial</v>
      </c>
      <c r="B21" s="139" t="str">
        <f>'Customer Count'!A21</f>
        <v>Retail Trade</v>
      </c>
      <c r="C21" s="143">
        <f>'Customer Count'!C21*'Battery Saturation &amp; Unit Load'!C21*'Battery Saturation &amp; Unit Load'!$T21/1000</f>
        <v>9.2469723128419164E-3</v>
      </c>
      <c r="D21" s="143">
        <f>'Customer Count'!D21*'Battery Saturation &amp; Unit Load'!D21*'Battery Saturation &amp; Unit Load'!$T21/1000</f>
        <v>1.2455105564236053E-2</v>
      </c>
      <c r="E21" s="143">
        <f>'Customer Count'!E21*'Battery Saturation &amp; Unit Load'!E21*'Battery Saturation &amp; Unit Load'!$T21/1000</f>
        <v>1.6202659450820351E-2</v>
      </c>
      <c r="F21" s="143">
        <f>'Customer Count'!F21*'Battery Saturation &amp; Unit Load'!F21*'Battery Saturation &amp; Unit Load'!$T21/1000</f>
        <v>2.0268271416339852E-2</v>
      </c>
      <c r="G21" s="143">
        <f>'Customer Count'!G21*'Battery Saturation &amp; Unit Load'!G21*'Battery Saturation &amp; Unit Load'!$T21/1000</f>
        <v>2.4339888717111225E-2</v>
      </c>
      <c r="H21" s="143">
        <f>'Customer Count'!H21*'Battery Saturation &amp; Unit Load'!H21*'Battery Saturation &amp; Unit Load'!$T21/1000</f>
        <v>2.8103646381155711E-2</v>
      </c>
      <c r="I21" s="143">
        <f>'Customer Count'!I21*'Battery Saturation &amp; Unit Load'!I21*'Battery Saturation &amp; Unit Load'!$T21/1000</f>
        <v>3.1333814061558989E-2</v>
      </c>
      <c r="J21" s="143">
        <f>'Customer Count'!J21*'Battery Saturation &amp; Unit Load'!J21*'Battery Saturation &amp; Unit Load'!$T21/1000</f>
        <v>3.3934011582646334E-2</v>
      </c>
      <c r="K21" s="143">
        <f>'Customer Count'!K21*'Battery Saturation &amp; Unit Load'!K21*'Battery Saturation &amp; Unit Load'!$T21/1000</f>
        <v>3.5921265914369518E-2</v>
      </c>
      <c r="L21" s="143">
        <f>'Customer Count'!L21*'Battery Saturation &amp; Unit Load'!L21*'Battery Saturation &amp; Unit Load'!$T21/1000</f>
        <v>3.7380664800275257E-2</v>
      </c>
      <c r="M21" s="143">
        <f>'Customer Count'!M21*'Battery Saturation &amp; Unit Load'!M21*'Battery Saturation &amp; Unit Load'!$T21/1000</f>
        <v>3.8421311480209865E-2</v>
      </c>
      <c r="N21" s="143">
        <f>'Customer Count'!N21*'Battery Saturation &amp; Unit Load'!N21*'Battery Saturation &amp; Unit Load'!$T21/1000</f>
        <v>3.9147874365098909E-2</v>
      </c>
      <c r="O21" s="143">
        <f>'Customer Count'!O21*'Battery Saturation &amp; Unit Load'!O21*'Battery Saturation &amp; Unit Load'!$T21/1000</f>
        <v>3.9647710766722938E-2</v>
      </c>
      <c r="P21" s="143">
        <f>'Customer Count'!P21*'Battery Saturation &amp; Unit Load'!P21*'Battery Saturation &amp; Unit Load'!$T21/1000</f>
        <v>3.9988086870978524E-2</v>
      </c>
      <c r="Q21" s="143">
        <f>'Customer Count'!Q21*'Battery Saturation &amp; Unit Load'!Q21*'Battery Saturation &amp; Unit Load'!$T21/1000</f>
        <v>4.0218269778091155E-2</v>
      </c>
      <c r="R21" s="143">
        <f>'Customer Count'!R21*'Battery Saturation &amp; Unit Load'!R21*'Battery Saturation &amp; Unit Load'!$T21/1000</f>
        <v>4.0373202941937462E-2</v>
      </c>
      <c r="S21" s="143">
        <f>'Customer Count'!S21*'Battery Saturation &amp; Unit Load'!S21*'Battery Saturation &amp; Unit Load'!$T21/1000</f>
        <v>4.0477156592338234E-2</v>
      </c>
    </row>
    <row r="22" spans="1:19" x14ac:dyDescent="0.25">
      <c r="A22" s="139" t="str">
        <f>'Customer Count'!B22</f>
        <v>Large Commercial</v>
      </c>
      <c r="B22" s="139" t="str">
        <f>'Customer Count'!A22</f>
        <v>Services</v>
      </c>
      <c r="C22" s="143">
        <f>'Customer Count'!C22*'Battery Saturation &amp; Unit Load'!C22*'Battery Saturation &amp; Unit Load'!$T22/1000</f>
        <v>30.589768270187957</v>
      </c>
      <c r="D22" s="143">
        <f>'Customer Count'!D22*'Battery Saturation &amp; Unit Load'!D22*'Battery Saturation &amp; Unit Load'!$T22/1000</f>
        <v>41.299195565934035</v>
      </c>
      <c r="E22" s="143">
        <f>'Customer Count'!E22*'Battery Saturation &amp; Unit Load'!E22*'Battery Saturation &amp; Unit Load'!$T22/1000</f>
        <v>53.896828288601618</v>
      </c>
      <c r="F22" s="143">
        <f>'Customer Count'!F22*'Battery Saturation &amp; Unit Load'!F22*'Battery Saturation &amp; Unit Load'!$T22/1000</f>
        <v>67.63679969935238</v>
      </c>
      <c r="G22" s="143">
        <f>'Customer Count'!G22*'Battery Saturation &amp; Unit Load'!G22*'Battery Saturation &amp; Unit Load'!$T22/1000</f>
        <v>81.257312496587716</v>
      </c>
      <c r="H22" s="143">
        <f>'Customer Count'!H22*'Battery Saturation &amp; Unit Load'!H22*'Battery Saturation &amp; Unit Load'!$T22/1000</f>
        <v>93.669023777812896</v>
      </c>
      <c r="I22" s="143">
        <f>'Customer Count'!I22*'Battery Saturation &amp; Unit Load'!I22*'Battery Saturation &amp; Unit Load'!$T22/1000</f>
        <v>104.27747806302803</v>
      </c>
      <c r="J22" s="143">
        <f>'Customer Count'!J22*'Battery Saturation &amp; Unit Load'!J22*'Battery Saturation &amp; Unit Load'!$T22/1000</f>
        <v>112.75140640942294</v>
      </c>
      <c r="K22" s="143">
        <f>'Customer Count'!K22*'Battery Saturation &amp; Unit Load'!K22*'Battery Saturation &amp; Unit Load'!$T22/1000</f>
        <v>119.22267486198831</v>
      </c>
      <c r="L22" s="143">
        <f>'Customer Count'!L22*'Battery Saturation &amp; Unit Load'!L22*'Battery Saturation &amp; Unit Load'!$T22/1000</f>
        <v>123.93572827617996</v>
      </c>
      <c r="M22" s="143">
        <f>'Customer Count'!M22*'Battery Saturation &amp; Unit Load'!M22*'Battery Saturation &amp; Unit Load'!$T22/1000</f>
        <v>127.26477184903383</v>
      </c>
      <c r="N22" s="143">
        <f>'Customer Count'!N22*'Battery Saturation &amp; Unit Load'!N22*'Battery Saturation &amp; Unit Load'!$T22/1000</f>
        <v>129.56791439544011</v>
      </c>
      <c r="O22" s="143">
        <f>'Customer Count'!O22*'Battery Saturation &amp; Unit Load'!O22*'Battery Saturation &amp; Unit Load'!$T22/1000</f>
        <v>131.16136903494274</v>
      </c>
      <c r="P22" s="143">
        <f>'Customer Count'!P22*'Battery Saturation &amp; Unit Load'!P22*'Battery Saturation &amp; Unit Load'!$T22/1000</f>
        <v>132.2226022945178</v>
      </c>
      <c r="Q22" s="143">
        <f>'Customer Count'!Q22*'Battery Saturation &amp; Unit Load'!Q22*'Battery Saturation &amp; Unit Load'!$T22/1000</f>
        <v>132.90140401516473</v>
      </c>
      <c r="R22" s="143">
        <f>'Customer Count'!R22*'Battery Saturation &amp; Unit Load'!R22*'Battery Saturation &amp; Unit Load'!$T22/1000</f>
        <v>133.41338116180231</v>
      </c>
      <c r="S22" s="143">
        <f>'Customer Count'!S22*'Battery Saturation &amp; Unit Load'!S22*'Battery Saturation &amp; Unit Load'!$T22/1000</f>
        <v>133.75689633953107</v>
      </c>
    </row>
    <row r="23" spans="1:19" x14ac:dyDescent="0.25">
      <c r="A23" s="139" t="str">
        <f>'Customer Count'!B23</f>
        <v>Large Industrial</v>
      </c>
      <c r="B23" s="139" t="str">
        <f>'Customer Count'!A23</f>
        <v>Services</v>
      </c>
      <c r="C23" s="143">
        <f>'Customer Count'!C23*'Battery Saturation &amp; Unit Load'!C23*'Battery Saturation &amp; Unit Load'!$T23/1000</f>
        <v>0.39946500902641052</v>
      </c>
      <c r="D23" s="143">
        <f>'Customer Count'!D23*'Battery Saturation &amp; Unit Load'!D23*'Battery Saturation &amp; Unit Load'!$T23/1000</f>
        <v>0.53805491011720608</v>
      </c>
      <c r="E23" s="143">
        <f>'Customer Count'!E23*'Battery Saturation &amp; Unit Load'!E23*'Battery Saturation &amp; Unit Load'!$T23/1000</f>
        <v>0.69994753794008224</v>
      </c>
      <c r="F23" s="143">
        <f>'Customer Count'!F23*'Battery Saturation &amp; Unit Load'!F23*'Battery Saturation &amp; Unit Load'!$T23/1000</f>
        <v>0.87558013048593342</v>
      </c>
      <c r="G23" s="143">
        <f>'Customer Count'!G23*'Battery Saturation &amp; Unit Load'!G23*'Battery Saturation &amp; Unit Load'!$T23/1000</f>
        <v>1.0514721507903453</v>
      </c>
      <c r="H23" s="143">
        <f>'Customer Count'!H23*'Battery Saturation &amp; Unit Load'!H23*'Battery Saturation &amp; Unit Load'!$T23/1000</f>
        <v>1.2140647744486592</v>
      </c>
      <c r="I23" s="143">
        <f>'Customer Count'!I23*'Battery Saturation &amp; Unit Load'!I23*'Battery Saturation &amp; Unit Load'!$T23/1000</f>
        <v>1.3536065528767323</v>
      </c>
      <c r="J23" s="143">
        <f>'Customer Count'!J23*'Battery Saturation &amp; Unit Load'!J23*'Battery Saturation &amp; Unit Load'!$T23/1000</f>
        <v>1.4659339062082772</v>
      </c>
      <c r="K23" s="143">
        <f>'Customer Count'!K23*'Battery Saturation &amp; Unit Load'!K23*'Battery Saturation &amp; Unit Load'!$T23/1000</f>
        <v>1.5517823918209266</v>
      </c>
      <c r="L23" s="143">
        <f>'Customer Count'!L23*'Battery Saturation &amp; Unit Load'!L23*'Battery Saturation &amp; Unit Load'!$T23/1000</f>
        <v>1.6148277616358488</v>
      </c>
      <c r="M23" s="143">
        <f>'Customer Count'!M23*'Battery Saturation &amp; Unit Load'!M23*'Battery Saturation &amp; Unit Load'!$T23/1000</f>
        <v>1.6597832261197287</v>
      </c>
      <c r="N23" s="143">
        <f>'Customer Count'!N23*'Battery Saturation &amp; Unit Load'!N23*'Battery Saturation &amp; Unit Load'!$T23/1000</f>
        <v>1.6911704131417316</v>
      </c>
      <c r="O23" s="143">
        <f>'Customer Count'!O23*'Battery Saturation &amp; Unit Load'!O23*'Battery Saturation &amp; Unit Load'!$T23/1000</f>
        <v>1.7127631189411407</v>
      </c>
      <c r="P23" s="143">
        <f>'Customer Count'!P23*'Battery Saturation &amp; Unit Load'!P23*'Battery Saturation &amp; Unit Load'!$T23/1000</f>
        <v>1.7274672122333854</v>
      </c>
      <c r="Q23" s="143">
        <f>'Customer Count'!Q23*'Battery Saturation &amp; Unit Load'!Q23*'Battery Saturation &amp; Unit Load'!$T23/1000</f>
        <v>1.7374110093981905</v>
      </c>
      <c r="R23" s="143">
        <f>'Customer Count'!R23*'Battery Saturation &amp; Unit Load'!R23*'Battery Saturation &amp; Unit Load'!$T23/1000</f>
        <v>1.7441040517909319</v>
      </c>
      <c r="S23" s="143">
        <f>'Customer Count'!S23*'Battery Saturation &amp; Unit Load'!S23*'Battery Saturation &amp; Unit Load'!$T23/1000</f>
        <v>1.7485948023296789</v>
      </c>
    </row>
    <row r="24" spans="1:19" x14ac:dyDescent="0.25">
      <c r="A24" s="139" t="str">
        <f>'Customer Count'!B24</f>
        <v>Small Commercial</v>
      </c>
      <c r="B24" s="139" t="str">
        <f>'Customer Count'!A24</f>
        <v>Services</v>
      </c>
      <c r="C24" s="143">
        <f>'Customer Count'!C24*'Battery Saturation &amp; Unit Load'!C24*'Battery Saturation &amp; Unit Load'!$T24/1000</f>
        <v>0.78310520749086143</v>
      </c>
      <c r="D24" s="143">
        <f>'Customer Count'!D24*'Battery Saturation &amp; Unit Load'!D24*'Battery Saturation &amp; Unit Load'!$T24/1000</f>
        <v>1.0570801936499201</v>
      </c>
      <c r="E24" s="143">
        <f>'Customer Count'!E24*'Battery Saturation &amp; Unit Load'!E24*'Battery Saturation &amp; Unit Load'!$T24/1000</f>
        <v>1.3795064236577896</v>
      </c>
      <c r="F24" s="143">
        <f>'Customer Count'!F24*'Battery Saturation &amp; Unit Load'!F24*'Battery Saturation &amp; Unit Load'!$T24/1000</f>
        <v>1.7311180436913889</v>
      </c>
      <c r="G24" s="143">
        <f>'Customer Count'!G24*'Battery Saturation &amp; Unit Load'!G24*'Battery Saturation &amp; Unit Load'!$T24/1000</f>
        <v>2.0792945842884767</v>
      </c>
      <c r="H24" s="143">
        <f>'Customer Count'!H24*'Battery Saturation &amp; Unit Load'!H24*'Battery Saturation &amp; Unit Load'!$T24/1000</f>
        <v>2.3963105784583885</v>
      </c>
      <c r="I24" s="143">
        <f>'Customer Count'!I24*'Battery Saturation &amp; Unit Load'!I24*'Battery Saturation &amp; Unit Load'!$T24/1000</f>
        <v>2.6670654399394351</v>
      </c>
      <c r="J24" s="143">
        <f>'Customer Count'!J24*'Battery Saturation &amp; Unit Load'!J24*'Battery Saturation &amp; Unit Load'!$T24/1000</f>
        <v>2.8829402214221451</v>
      </c>
      <c r="K24" s="143">
        <f>'Customer Count'!K24*'Battery Saturation &amp; Unit Load'!K24*'Battery Saturation &amp; Unit Load'!$T24/1000</f>
        <v>3.0476523170979744</v>
      </c>
      <c r="L24" s="143">
        <f>'Customer Count'!L24*'Battery Saturation &amp; Unit Load'!L24*'Battery Saturation &amp; Unit Load'!$T24/1000</f>
        <v>3.1676132232909313</v>
      </c>
      <c r="M24" s="143">
        <f>'Customer Count'!M24*'Battery Saturation &amp; Unit Load'!M24*'Battery Saturation &amp; Unit Load'!$T24/1000</f>
        <v>3.2520516119748644</v>
      </c>
      <c r="N24" s="143">
        <f>'Customer Count'!N24*'Battery Saturation &amp; Unit Load'!N24*'Battery Saturation &amp; Unit Load'!$T24/1000</f>
        <v>3.3104065325024266</v>
      </c>
      <c r="O24" s="143">
        <f>'Customer Count'!O24*'Battery Saturation &amp; Unit Load'!O24*'Battery Saturation &amp; Unit Load'!$T24/1000</f>
        <v>3.3506273785203557</v>
      </c>
      <c r="P24" s="143">
        <f>'Customer Count'!P24*'Battery Saturation &amp; Unit Load'!P24*'Battery Saturation &amp; Unit Load'!$T24/1000</f>
        <v>3.3773288762733471</v>
      </c>
      <c r="Q24" s="143">
        <f>'Customer Count'!Q24*'Battery Saturation &amp; Unit Load'!Q24*'Battery Saturation &amp; Unit Load'!$T24/1000</f>
        <v>3.3944635726713712</v>
      </c>
      <c r="R24" s="143">
        <f>'Customer Count'!R24*'Battery Saturation &amp; Unit Load'!R24*'Battery Saturation &amp; Unit Load'!$T24/1000</f>
        <v>3.4075400919691146</v>
      </c>
      <c r="S24" s="143">
        <f>'Customer Count'!S24*'Battery Saturation &amp; Unit Load'!S24*'Battery Saturation &amp; Unit Load'!$T24/1000</f>
        <v>3.4163138875967887</v>
      </c>
    </row>
    <row r="25" spans="1:19" x14ac:dyDescent="0.25">
      <c r="A25" s="139" t="str">
        <f>'Customer Count'!B25</f>
        <v>Small Industrial</v>
      </c>
      <c r="B25" s="139" t="str">
        <f>'Customer Count'!A25</f>
        <v>Services</v>
      </c>
      <c r="C25" s="143">
        <f>'Customer Count'!C25*'Battery Saturation &amp; Unit Load'!C25*'Battery Saturation &amp; Unit Load'!$T25/1000</f>
        <v>2.0113338254074933E-2</v>
      </c>
      <c r="D25" s="143">
        <f>'Customer Count'!D25*'Battery Saturation &amp; Unit Load'!D25*'Battery Saturation &amp; Unit Load'!$T25/1000</f>
        <v>2.7091435199366239E-2</v>
      </c>
      <c r="E25" s="143">
        <f>'Customer Count'!E25*'Battery Saturation &amp; Unit Load'!E25*'Battery Saturation &amp; Unit Load'!$T25/1000</f>
        <v>3.5242840480591481E-2</v>
      </c>
      <c r="F25" s="143">
        <f>'Customer Count'!F25*'Battery Saturation &amp; Unit Load'!F25*'Battery Saturation &amp; Unit Load'!$T25/1000</f>
        <v>4.4086062446201162E-2</v>
      </c>
      <c r="G25" s="143">
        <f>'Customer Count'!G25*'Battery Saturation &amp; Unit Load'!G25*'Battery Saturation &amp; Unit Load'!$T25/1000</f>
        <v>5.2942346778082038E-2</v>
      </c>
      <c r="H25" s="143">
        <f>'Customer Count'!H25*'Battery Saturation &amp; Unit Load'!H25*'Battery Saturation &amp; Unit Load'!$T25/1000</f>
        <v>6.112899733160012E-2</v>
      </c>
      <c r="I25" s="143">
        <f>'Customer Count'!I25*'Battery Saturation &amp; Unit Load'!I25*'Battery Saturation &amp; Unit Load'!$T25/1000</f>
        <v>6.8155021956233644E-2</v>
      </c>
      <c r="J25" s="143">
        <f>'Customer Count'!J25*'Battery Saturation &amp; Unit Load'!J25*'Battery Saturation &amp; Unit Load'!$T25/1000</f>
        <v>7.3810781538903317E-2</v>
      </c>
      <c r="K25" s="143">
        <f>'Customer Count'!K25*'Battery Saturation &amp; Unit Load'!K25*'Battery Saturation &amp; Unit Load'!$T25/1000</f>
        <v>7.813331190003725E-2</v>
      </c>
      <c r="L25" s="143">
        <f>'Customer Count'!L25*'Battery Saturation &amp; Unit Load'!L25*'Battery Saturation &amp; Unit Load'!$T25/1000</f>
        <v>8.1307689679786535E-2</v>
      </c>
      <c r="M25" s="143">
        <f>'Customer Count'!M25*'Battery Saturation &amp; Unit Load'!M25*'Battery Saturation &amp; Unit Load'!$T25/1000</f>
        <v>8.3571228270405709E-2</v>
      </c>
      <c r="N25" s="143">
        <f>'Customer Count'!N25*'Battery Saturation &amp; Unit Load'!N25*'Battery Saturation &amp; Unit Load'!$T25/1000</f>
        <v>8.5151594748451173E-2</v>
      </c>
      <c r="O25" s="143">
        <f>'Customer Count'!O25*'Battery Saturation &amp; Unit Load'!O25*'Battery Saturation &amp; Unit Load'!$T25/1000</f>
        <v>8.623880235299887E-2</v>
      </c>
      <c r="P25" s="143">
        <f>'Customer Count'!P25*'Battery Saturation &amp; Unit Load'!P25*'Battery Saturation &amp; Unit Load'!$T25/1000</f>
        <v>8.6979163574691876E-2</v>
      </c>
      <c r="Q25" s="143">
        <f>'Customer Count'!Q25*'Battery Saturation &amp; Unit Load'!Q25*'Battery Saturation &amp; Unit Load'!$T25/1000</f>
        <v>8.7479840608690657E-2</v>
      </c>
      <c r="R25" s="143">
        <f>'Customer Count'!R25*'Battery Saturation &amp; Unit Load'!R25*'Battery Saturation &amp; Unit Load'!$T25/1000</f>
        <v>8.7816839901625393E-2</v>
      </c>
      <c r="S25" s="143">
        <f>'Customer Count'!S25*'Battery Saturation &amp; Unit Load'!S25*'Battery Saturation &amp; Unit Load'!$T25/1000</f>
        <v>8.8042952283334697E-2</v>
      </c>
    </row>
  </sheetData>
  <mergeCells count="1">
    <mergeCell ref="D2:H2"/>
  </mergeCells>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9"/>
  </sheetPr>
  <dimension ref="A1:AA25"/>
  <sheetViews>
    <sheetView zoomScale="110" zoomScaleNormal="110" workbookViewId="0">
      <selection activeCell="A4" sqref="A4"/>
    </sheetView>
  </sheetViews>
  <sheetFormatPr defaultColWidth="9.09765625" defaultRowHeight="13.8" x14ac:dyDescent="0.25"/>
  <cols>
    <col min="1" max="1" width="32.19921875" customWidth="1"/>
    <col min="2" max="2" width="22.19921875" customWidth="1"/>
    <col min="3" max="3" width="12" customWidth="1"/>
    <col min="4" max="19" width="12" style="10" customWidth="1"/>
    <col min="20" max="20" width="9.796875" customWidth="1"/>
    <col min="28" max="28" width="8.8984375" customWidth="1"/>
  </cols>
  <sheetData>
    <row r="1" spans="1:27" ht="81" customHeight="1" x14ac:dyDescent="0.25">
      <c r="Y1" t="s">
        <v>403</v>
      </c>
    </row>
    <row r="2" spans="1:27" x14ac:dyDescent="0.25">
      <c r="A2" s="140" t="s">
        <v>7</v>
      </c>
      <c r="B2" s="144" t="s">
        <v>278</v>
      </c>
      <c r="C2" s="34"/>
      <c r="D2" s="458"/>
      <c r="E2" s="458"/>
      <c r="F2" s="458"/>
      <c r="G2" s="458"/>
      <c r="H2" s="458"/>
      <c r="I2" s="458"/>
      <c r="J2" s="458"/>
      <c r="K2" s="458"/>
      <c r="L2" s="458"/>
      <c r="M2" s="458"/>
      <c r="N2" s="458"/>
      <c r="O2" s="458"/>
      <c r="P2" s="458"/>
      <c r="Q2" s="458"/>
      <c r="R2" s="458"/>
      <c r="S2" s="30"/>
      <c r="Y2" t="s">
        <v>404</v>
      </c>
      <c r="Z2">
        <v>3.4</v>
      </c>
      <c r="AA2">
        <v>35</v>
      </c>
    </row>
    <row r="3" spans="1:27" ht="14.4" x14ac:dyDescent="0.3">
      <c r="A3" s="142" t="s">
        <v>175</v>
      </c>
      <c r="B3" s="142" t="s">
        <v>402</v>
      </c>
      <c r="C3" s="136">
        <v>2021</v>
      </c>
      <c r="D3" s="136">
        <v>2022</v>
      </c>
      <c r="E3" s="136">
        <f t="shared" ref="E3:K3" si="0">D3+1</f>
        <v>2023</v>
      </c>
      <c r="F3" s="136">
        <f t="shared" si="0"/>
        <v>2024</v>
      </c>
      <c r="G3" s="136">
        <f t="shared" si="0"/>
        <v>2025</v>
      </c>
      <c r="H3" s="136">
        <f t="shared" si="0"/>
        <v>2026</v>
      </c>
      <c r="I3" s="136">
        <f t="shared" si="0"/>
        <v>2027</v>
      </c>
      <c r="J3" s="136">
        <f t="shared" si="0"/>
        <v>2028</v>
      </c>
      <c r="K3" s="136">
        <f t="shared" si="0"/>
        <v>2029</v>
      </c>
      <c r="L3" s="136">
        <v>2030</v>
      </c>
      <c r="M3" s="136">
        <v>2031</v>
      </c>
      <c r="N3" s="136">
        <v>2032</v>
      </c>
      <c r="O3" s="136">
        <v>2033</v>
      </c>
      <c r="P3" s="136">
        <v>2034</v>
      </c>
      <c r="Q3" s="136">
        <v>2035</v>
      </c>
      <c r="R3" s="136">
        <v>2036</v>
      </c>
      <c r="S3" s="136">
        <v>2037</v>
      </c>
      <c r="T3" t="s">
        <v>405</v>
      </c>
      <c r="U3" t="s">
        <v>406</v>
      </c>
      <c r="V3" s="45" t="s">
        <v>407</v>
      </c>
      <c r="X3" t="s">
        <v>408</v>
      </c>
      <c r="Y3" t="s">
        <v>409</v>
      </c>
      <c r="Z3">
        <v>1.5</v>
      </c>
      <c r="AA3">
        <v>1.9</v>
      </c>
    </row>
    <row r="4" spans="1:27" x14ac:dyDescent="0.25">
      <c r="A4" s="139" t="str">
        <f>'Customer Count'!B4</f>
        <v>Interruptible Rider</v>
      </c>
      <c r="B4" s="139" t="str">
        <f>'Customer Count'!A4</f>
        <v>Manufacturing</v>
      </c>
      <c r="C4" s="145">
        <f t="shared" ref="C4:C25" si="1">$U4/(1+$Z$2*$Z$3^-(C$3-$C$3))</f>
        <v>5.3081973554861814E-2</v>
      </c>
      <c r="D4" s="145">
        <f t="shared" ref="D4:S19" si="2">$U4/(1+$Z$2*$Z$3^-(D$3-$C$3))</f>
        <v>7.1498168461650607E-2</v>
      </c>
      <c r="E4" s="145">
        <f t="shared" si="2"/>
        <v>9.3010891715598579E-2</v>
      </c>
      <c r="F4" s="145">
        <f t="shared" si="2"/>
        <v>0.11634941805013994</v>
      </c>
      <c r="G4" s="145">
        <f t="shared" si="2"/>
        <v>0.13972241783569242</v>
      </c>
      <c r="H4" s="145">
        <f t="shared" si="2"/>
        <v>0.16132815839925599</v>
      </c>
      <c r="I4" s="145">
        <f t="shared" si="2"/>
        <v>0.17987084129999445</v>
      </c>
      <c r="J4" s="145">
        <f t="shared" si="2"/>
        <v>0.19479719896412337</v>
      </c>
      <c r="K4" s="145">
        <f t="shared" si="2"/>
        <v>0.2062049742136304</v>
      </c>
      <c r="L4" s="145">
        <f t="shared" si="2"/>
        <v>0.21458261074662377</v>
      </c>
      <c r="M4" s="145">
        <f t="shared" si="2"/>
        <v>0.22055641251388211</v>
      </c>
      <c r="N4" s="145">
        <f t="shared" si="2"/>
        <v>0.22472722546073853</v>
      </c>
      <c r="O4" s="145">
        <f t="shared" si="2"/>
        <v>0.22759652167523214</v>
      </c>
      <c r="P4" s="145">
        <f t="shared" si="2"/>
        <v>0.22955044072608838</v>
      </c>
      <c r="Q4" s="145">
        <f t="shared" si="2"/>
        <v>0.2308717989582488</v>
      </c>
      <c r="R4" s="145">
        <f t="shared" si="2"/>
        <v>0.23176118824458197</v>
      </c>
      <c r="S4" s="145">
        <f t="shared" si="2"/>
        <v>0.23235793112807065</v>
      </c>
      <c r="T4" s="44">
        <v>485.31636835578706</v>
      </c>
      <c r="U4" s="45">
        <f>SUMIF($Y$8:$Y$13,A4,$Z$8:$Z$13)</f>
        <v>0.23356068364139199</v>
      </c>
      <c r="V4">
        <v>1</v>
      </c>
      <c r="X4" s="45">
        <v>0.09</v>
      </c>
    </row>
    <row r="5" spans="1:27" x14ac:dyDescent="0.25">
      <c r="A5" s="139" t="str">
        <f>'Customer Count'!B5</f>
        <v>Large Industrial</v>
      </c>
      <c r="B5" s="139" t="str">
        <f>'Customer Count'!A5</f>
        <v>Manufacturing</v>
      </c>
      <c r="C5" s="145">
        <f t="shared" si="1"/>
        <v>5.2561185398211918E-2</v>
      </c>
      <c r="D5" s="145">
        <f t="shared" ref="D5:R5" si="3">$U5/(1+$Z$2*$Z$3^-(D$3-$C$3))</f>
        <v>7.0796698699632385E-2</v>
      </c>
      <c r="E5" s="145">
        <f t="shared" si="3"/>
        <v>9.2098360255273987E-2</v>
      </c>
      <c r="F5" s="145">
        <f t="shared" si="3"/>
        <v>0.11520791190604386</v>
      </c>
      <c r="G5" s="145">
        <f t="shared" si="3"/>
        <v>0.13835159878820333</v>
      </c>
      <c r="H5" s="145">
        <f t="shared" si="3"/>
        <v>0.15974536505903408</v>
      </c>
      <c r="I5" s="145">
        <f t="shared" si="3"/>
        <v>0.17810612537851739</v>
      </c>
      <c r="J5" s="145">
        <f t="shared" si="3"/>
        <v>0.19288604029056278</v>
      </c>
      <c r="K5" s="145">
        <f t="shared" si="3"/>
        <v>0.20418189366064823</v>
      </c>
      <c r="L5" s="145">
        <f t="shared" si="3"/>
        <v>0.21247733705734853</v>
      </c>
      <c r="M5" s="145">
        <f t="shared" si="3"/>
        <v>0.21839252975259588</v>
      </c>
      <c r="N5" s="145">
        <f t="shared" si="3"/>
        <v>0.22252242278180681</v>
      </c>
      <c r="O5" s="145">
        <f t="shared" si="3"/>
        <v>0.22536356828172902</v>
      </c>
      <c r="P5" s="145">
        <f t="shared" si="3"/>
        <v>0.22729831739912967</v>
      </c>
      <c r="Q5" s="145">
        <f t="shared" si="3"/>
        <v>0.2286067117629198</v>
      </c>
      <c r="R5" s="145">
        <f t="shared" si="3"/>
        <v>0.22948737523564894</v>
      </c>
      <c r="S5" s="145">
        <f t="shared" si="2"/>
        <v>0.23007826346443144</v>
      </c>
      <c r="T5" s="44">
        <v>100</v>
      </c>
      <c r="U5" s="45">
        <f t="shared" ref="U5:U25" si="4">SUMIF($Y$8:$Y$13,A5,$Z$8:$Z$13)</f>
        <v>0.23126921575213247</v>
      </c>
      <c r="V5">
        <v>1</v>
      </c>
      <c r="X5" s="45">
        <v>0.08</v>
      </c>
    </row>
    <row r="6" spans="1:27" x14ac:dyDescent="0.25">
      <c r="A6" s="139" t="str">
        <f>'Customer Count'!B6</f>
        <v>Small Commercial</v>
      </c>
      <c r="B6" s="139" t="str">
        <f>'Customer Count'!A6</f>
        <v>Manufacturing</v>
      </c>
      <c r="C6" s="145">
        <f t="shared" si="1"/>
        <v>1.0956627172869616E-2</v>
      </c>
      <c r="D6" s="145">
        <f t="shared" si="2"/>
        <v>1.4757905987946832E-2</v>
      </c>
      <c r="E6" s="145">
        <f t="shared" si="2"/>
        <v>1.9198337878125527E-2</v>
      </c>
      <c r="F6" s="145">
        <f t="shared" si="2"/>
        <v>2.4015632991455919E-2</v>
      </c>
      <c r="G6" s="145">
        <f t="shared" si="2"/>
        <v>2.8840043754879852E-2</v>
      </c>
      <c r="H6" s="145">
        <f t="shared" si="2"/>
        <v>3.3299675307652626E-2</v>
      </c>
      <c r="I6" s="145">
        <f t="shared" si="2"/>
        <v>3.7127062454781944E-2</v>
      </c>
      <c r="J6" s="145">
        <f t="shared" si="2"/>
        <v>4.0208005475970469E-2</v>
      </c>
      <c r="K6" s="145">
        <f t="shared" si="2"/>
        <v>4.2562679424774506E-2</v>
      </c>
      <c r="L6" s="145">
        <f t="shared" si="2"/>
        <v>4.4291903753386784E-2</v>
      </c>
      <c r="M6" s="145">
        <f t="shared" si="2"/>
        <v>4.552495358904958E-2</v>
      </c>
      <c r="N6" s="145">
        <f t="shared" si="2"/>
        <v>4.638584928312646E-2</v>
      </c>
      <c r="O6" s="145">
        <f t="shared" si="2"/>
        <v>4.697809947213348E-2</v>
      </c>
      <c r="P6" s="145">
        <f t="shared" si="2"/>
        <v>4.7381407057223039E-2</v>
      </c>
      <c r="Q6" s="145">
        <f t="shared" si="2"/>
        <v>4.7654148037673226E-2</v>
      </c>
      <c r="R6" s="145">
        <f t="shared" si="2"/>
        <v>4.783772649509109E-2</v>
      </c>
      <c r="S6" s="145">
        <f t="shared" si="2"/>
        <v>4.7960899935236286E-2</v>
      </c>
      <c r="T6" s="44">
        <v>5</v>
      </c>
      <c r="U6" s="45">
        <f t="shared" si="4"/>
        <v>4.8209159560626318E-2</v>
      </c>
      <c r="V6">
        <v>1</v>
      </c>
      <c r="X6" s="22">
        <v>0</v>
      </c>
    </row>
    <row r="7" spans="1:27" x14ac:dyDescent="0.25">
      <c r="A7" s="139" t="str">
        <f>'Customer Count'!B7</f>
        <v>Small Industrial</v>
      </c>
      <c r="B7" s="139" t="str">
        <f>'Customer Count'!A7</f>
        <v>Manufacturing</v>
      </c>
      <c r="C7" s="145">
        <f t="shared" si="1"/>
        <v>4.6938945750466584E-3</v>
      </c>
      <c r="D7" s="145">
        <f t="shared" si="2"/>
        <v>6.3223886112873367E-3</v>
      </c>
      <c r="E7" s="145">
        <f t="shared" si="2"/>
        <v>8.2247002288428194E-3</v>
      </c>
      <c r="F7" s="145">
        <f t="shared" si="2"/>
        <v>1.0288462647888252E-2</v>
      </c>
      <c r="G7" s="145">
        <f t="shared" si="2"/>
        <v>1.2355273460462552E-2</v>
      </c>
      <c r="H7" s="145">
        <f t="shared" si="2"/>
        <v>1.426581034576432E-2</v>
      </c>
      <c r="I7" s="145">
        <f t="shared" si="2"/>
        <v>1.5905489371349741E-2</v>
      </c>
      <c r="J7" s="145">
        <f t="shared" si="2"/>
        <v>1.7225386590175803E-2</v>
      </c>
      <c r="K7" s="145">
        <f t="shared" si="2"/>
        <v>1.8234145134197726E-2</v>
      </c>
      <c r="L7" s="145">
        <f t="shared" si="2"/>
        <v>1.8974956751408759E-2</v>
      </c>
      <c r="M7" s="145">
        <f t="shared" si="2"/>
        <v>1.9503203797060845E-2</v>
      </c>
      <c r="N7" s="145">
        <f t="shared" si="2"/>
        <v>1.9872017444212641E-2</v>
      </c>
      <c r="O7" s="145">
        <f t="shared" si="2"/>
        <v>2.0125741505950732E-2</v>
      </c>
      <c r="P7" s="145">
        <f t="shared" si="2"/>
        <v>2.0298521254303821E-2</v>
      </c>
      <c r="Q7" s="145">
        <f t="shared" si="2"/>
        <v>2.0415365369589416E-2</v>
      </c>
      <c r="R7" s="145">
        <f t="shared" si="2"/>
        <v>2.0494011645653534E-2</v>
      </c>
      <c r="S7" s="145">
        <f t="shared" si="2"/>
        <v>2.0546779996110778E-2</v>
      </c>
      <c r="T7" s="44">
        <v>5</v>
      </c>
      <c r="U7" s="45">
        <f t="shared" si="4"/>
        <v>2.06531361302053E-2</v>
      </c>
      <c r="V7">
        <v>1</v>
      </c>
      <c r="X7" s="22">
        <v>5.0000000000000001E-3</v>
      </c>
    </row>
    <row r="8" spans="1:27" x14ac:dyDescent="0.25">
      <c r="A8" s="139" t="str">
        <f>'Customer Count'!B8</f>
        <v>Interruptible Rider</v>
      </c>
      <c r="B8" s="139" t="str">
        <f>'Customer Count'!A8</f>
        <v>Miscellaneous</v>
      </c>
      <c r="C8" s="145">
        <f t="shared" si="1"/>
        <v>5.3081973554861814E-2</v>
      </c>
      <c r="D8" s="145">
        <f t="shared" si="2"/>
        <v>7.1498168461650607E-2</v>
      </c>
      <c r="E8" s="145">
        <f t="shared" si="2"/>
        <v>9.3010891715598579E-2</v>
      </c>
      <c r="F8" s="145">
        <f t="shared" si="2"/>
        <v>0.11634941805013994</v>
      </c>
      <c r="G8" s="145">
        <f t="shared" si="2"/>
        <v>0.13972241783569242</v>
      </c>
      <c r="H8" s="145">
        <f t="shared" si="2"/>
        <v>0.16132815839925599</v>
      </c>
      <c r="I8" s="145">
        <f t="shared" si="2"/>
        <v>0.17987084129999445</v>
      </c>
      <c r="J8" s="145">
        <f t="shared" si="2"/>
        <v>0.19479719896412337</v>
      </c>
      <c r="K8" s="145">
        <f t="shared" si="2"/>
        <v>0.2062049742136304</v>
      </c>
      <c r="L8" s="145">
        <f t="shared" si="2"/>
        <v>0.21458261074662377</v>
      </c>
      <c r="M8" s="145">
        <f t="shared" si="2"/>
        <v>0.22055641251388211</v>
      </c>
      <c r="N8" s="145">
        <f t="shared" si="2"/>
        <v>0.22472722546073853</v>
      </c>
      <c r="O8" s="145">
        <f t="shared" si="2"/>
        <v>0.22759652167523214</v>
      </c>
      <c r="P8" s="145">
        <f t="shared" si="2"/>
        <v>0.22955044072608838</v>
      </c>
      <c r="Q8" s="145">
        <f t="shared" si="2"/>
        <v>0.2308717989582488</v>
      </c>
      <c r="R8" s="145">
        <f t="shared" si="2"/>
        <v>0.23176118824458197</v>
      </c>
      <c r="S8" s="145">
        <f t="shared" si="2"/>
        <v>0.23235793112807065</v>
      </c>
      <c r="T8" s="44">
        <v>485.31636835578706</v>
      </c>
      <c r="U8" s="45">
        <f t="shared" si="4"/>
        <v>0.23356068364139199</v>
      </c>
      <c r="V8">
        <v>1</v>
      </c>
      <c r="X8" s="45">
        <v>0.09</v>
      </c>
      <c r="Y8" t="s">
        <v>40</v>
      </c>
      <c r="Z8">
        <v>4.8209159560626318E-2</v>
      </c>
    </row>
    <row r="9" spans="1:27" x14ac:dyDescent="0.25">
      <c r="A9" s="139" t="str">
        <f>'Customer Count'!B9</f>
        <v>Large Industrial</v>
      </c>
      <c r="B9" s="139" t="str">
        <f>'Customer Count'!A9</f>
        <v>Miscellaneous</v>
      </c>
      <c r="C9" s="145">
        <f t="shared" si="1"/>
        <v>5.2561185398211918E-2</v>
      </c>
      <c r="D9" s="145">
        <f t="shared" si="2"/>
        <v>7.0796698699632385E-2</v>
      </c>
      <c r="E9" s="145">
        <f t="shared" si="2"/>
        <v>9.2098360255273987E-2</v>
      </c>
      <c r="F9" s="145">
        <f t="shared" si="2"/>
        <v>0.11520791190604386</v>
      </c>
      <c r="G9" s="145">
        <f t="shared" si="2"/>
        <v>0.13835159878820333</v>
      </c>
      <c r="H9" s="145">
        <f t="shared" si="2"/>
        <v>0.15974536505903408</v>
      </c>
      <c r="I9" s="145">
        <f t="shared" si="2"/>
        <v>0.17810612537851739</v>
      </c>
      <c r="J9" s="145">
        <f t="shared" si="2"/>
        <v>0.19288604029056278</v>
      </c>
      <c r="K9" s="145">
        <f t="shared" si="2"/>
        <v>0.20418189366064823</v>
      </c>
      <c r="L9" s="145">
        <f t="shared" si="2"/>
        <v>0.21247733705734853</v>
      </c>
      <c r="M9" s="145">
        <f t="shared" si="2"/>
        <v>0.21839252975259588</v>
      </c>
      <c r="N9" s="145">
        <f t="shared" si="2"/>
        <v>0.22252242278180681</v>
      </c>
      <c r="O9" s="145">
        <f t="shared" si="2"/>
        <v>0.22536356828172902</v>
      </c>
      <c r="P9" s="145">
        <f t="shared" si="2"/>
        <v>0.22729831739912967</v>
      </c>
      <c r="Q9" s="145">
        <f t="shared" si="2"/>
        <v>0.2286067117629198</v>
      </c>
      <c r="R9" s="145">
        <f t="shared" si="2"/>
        <v>0.22948737523564894</v>
      </c>
      <c r="S9" s="145">
        <f t="shared" si="2"/>
        <v>0.23007826346443144</v>
      </c>
      <c r="T9" s="44">
        <v>100</v>
      </c>
      <c r="U9" s="45">
        <f t="shared" si="4"/>
        <v>0.23126921575213247</v>
      </c>
      <c r="V9">
        <v>1</v>
      </c>
      <c r="X9" s="45">
        <v>0.08</v>
      </c>
      <c r="Y9" t="s">
        <v>43</v>
      </c>
      <c r="Z9">
        <v>0.23126921575213247</v>
      </c>
    </row>
    <row r="10" spans="1:27" x14ac:dyDescent="0.25">
      <c r="A10" s="139" t="str">
        <f>'Customer Count'!B10</f>
        <v>Small Commercial</v>
      </c>
      <c r="B10" s="139" t="str">
        <f>'Customer Count'!A10</f>
        <v>Miscellaneous</v>
      </c>
      <c r="C10" s="145">
        <f t="shared" si="1"/>
        <v>1.0956627172869616E-2</v>
      </c>
      <c r="D10" s="145">
        <f t="shared" si="2"/>
        <v>1.4757905987946832E-2</v>
      </c>
      <c r="E10" s="145">
        <f t="shared" si="2"/>
        <v>1.9198337878125527E-2</v>
      </c>
      <c r="F10" s="145">
        <f t="shared" si="2"/>
        <v>2.4015632991455919E-2</v>
      </c>
      <c r="G10" s="145">
        <f t="shared" si="2"/>
        <v>2.8840043754879852E-2</v>
      </c>
      <c r="H10" s="145">
        <f t="shared" si="2"/>
        <v>3.3299675307652626E-2</v>
      </c>
      <c r="I10" s="145">
        <f t="shared" si="2"/>
        <v>3.7127062454781944E-2</v>
      </c>
      <c r="J10" s="145">
        <f t="shared" si="2"/>
        <v>4.0208005475970469E-2</v>
      </c>
      <c r="K10" s="145">
        <f t="shared" si="2"/>
        <v>4.2562679424774506E-2</v>
      </c>
      <c r="L10" s="145">
        <f t="shared" si="2"/>
        <v>4.4291903753386784E-2</v>
      </c>
      <c r="M10" s="145">
        <f t="shared" si="2"/>
        <v>4.552495358904958E-2</v>
      </c>
      <c r="N10" s="145">
        <f t="shared" si="2"/>
        <v>4.638584928312646E-2</v>
      </c>
      <c r="O10" s="145">
        <f t="shared" si="2"/>
        <v>4.697809947213348E-2</v>
      </c>
      <c r="P10" s="145">
        <f t="shared" si="2"/>
        <v>4.7381407057223039E-2</v>
      </c>
      <c r="Q10" s="145">
        <f t="shared" si="2"/>
        <v>4.7654148037673226E-2</v>
      </c>
      <c r="R10" s="145">
        <f t="shared" si="2"/>
        <v>4.783772649509109E-2</v>
      </c>
      <c r="S10" s="145">
        <f t="shared" si="2"/>
        <v>4.7960899935236286E-2</v>
      </c>
      <c r="T10" s="44">
        <v>5</v>
      </c>
      <c r="U10" s="45">
        <f t="shared" si="4"/>
        <v>4.8209159560626318E-2</v>
      </c>
      <c r="V10">
        <v>1</v>
      </c>
      <c r="X10" s="22">
        <v>0</v>
      </c>
      <c r="Y10" t="s">
        <v>41</v>
      </c>
      <c r="Z10">
        <v>0.26185866919457002</v>
      </c>
    </row>
    <row r="11" spans="1:27" x14ac:dyDescent="0.25">
      <c r="A11" s="139" t="str">
        <f>'Customer Count'!B11</f>
        <v>Small Industrial</v>
      </c>
      <c r="B11" s="139" t="str">
        <f>'Customer Count'!A11</f>
        <v>Miscellaneous</v>
      </c>
      <c r="C11" s="145">
        <f t="shared" si="1"/>
        <v>4.6938945750466584E-3</v>
      </c>
      <c r="D11" s="145">
        <f t="shared" si="2"/>
        <v>6.3223886112873367E-3</v>
      </c>
      <c r="E11" s="145">
        <f t="shared" si="2"/>
        <v>8.2247002288428194E-3</v>
      </c>
      <c r="F11" s="145">
        <f t="shared" si="2"/>
        <v>1.0288462647888252E-2</v>
      </c>
      <c r="G11" s="145">
        <f t="shared" si="2"/>
        <v>1.2355273460462552E-2</v>
      </c>
      <c r="H11" s="145">
        <f t="shared" si="2"/>
        <v>1.426581034576432E-2</v>
      </c>
      <c r="I11" s="145">
        <f t="shared" si="2"/>
        <v>1.5905489371349741E-2</v>
      </c>
      <c r="J11" s="145">
        <f t="shared" si="2"/>
        <v>1.7225386590175803E-2</v>
      </c>
      <c r="K11" s="145">
        <f t="shared" si="2"/>
        <v>1.8234145134197726E-2</v>
      </c>
      <c r="L11" s="145">
        <f t="shared" si="2"/>
        <v>1.8974956751408759E-2</v>
      </c>
      <c r="M11" s="145">
        <f t="shared" si="2"/>
        <v>1.9503203797060845E-2</v>
      </c>
      <c r="N11" s="145">
        <f t="shared" si="2"/>
        <v>1.9872017444212641E-2</v>
      </c>
      <c r="O11" s="145">
        <f t="shared" si="2"/>
        <v>2.0125741505950732E-2</v>
      </c>
      <c r="P11" s="145">
        <f t="shared" si="2"/>
        <v>2.0298521254303821E-2</v>
      </c>
      <c r="Q11" s="145">
        <f t="shared" si="2"/>
        <v>2.0415365369589416E-2</v>
      </c>
      <c r="R11" s="145">
        <f t="shared" si="2"/>
        <v>2.0494011645653534E-2</v>
      </c>
      <c r="S11" s="145">
        <f t="shared" si="2"/>
        <v>2.0546779996110778E-2</v>
      </c>
      <c r="T11" s="44">
        <v>5</v>
      </c>
      <c r="U11" s="45">
        <f t="shared" si="4"/>
        <v>2.06531361302053E-2</v>
      </c>
      <c r="V11">
        <v>1</v>
      </c>
      <c r="X11" s="22">
        <v>5.0000000000000001E-3</v>
      </c>
      <c r="Y11" t="s">
        <v>45</v>
      </c>
      <c r="Z11">
        <v>2.7373762693035823E-2</v>
      </c>
    </row>
    <row r="12" spans="1:27" x14ac:dyDescent="0.25">
      <c r="A12" s="139" t="str">
        <f>'Customer Count'!B12</f>
        <v>Large Commercial</v>
      </c>
      <c r="B12" s="139" t="str">
        <f>'Customer Count'!A12</f>
        <v>Offices</v>
      </c>
      <c r="C12" s="145">
        <f t="shared" si="1"/>
        <v>5.9513333907856819E-2</v>
      </c>
      <c r="D12" s="145">
        <f t="shared" si="2"/>
        <v>8.0160817100378576E-2</v>
      </c>
      <c r="E12" s="145">
        <f t="shared" si="2"/>
        <v>0.10428000100668718</v>
      </c>
      <c r="F12" s="145">
        <f t="shared" si="2"/>
        <v>0.13044620052128028</v>
      </c>
      <c r="G12" s="145">
        <f t="shared" si="2"/>
        <v>0.1566510502567221</v>
      </c>
      <c r="H12" s="145">
        <f t="shared" si="2"/>
        <v>0.18087452135952392</v>
      </c>
      <c r="I12" s="145">
        <f t="shared" si="2"/>
        <v>0.20166381770847405</v>
      </c>
      <c r="J12" s="145">
        <f t="shared" si="2"/>
        <v>0.21839863836798287</v>
      </c>
      <c r="K12" s="145">
        <f t="shared" si="2"/>
        <v>0.23118856858540435</v>
      </c>
      <c r="L12" s="145">
        <f t="shared" si="2"/>
        <v>0.24058123142284382</v>
      </c>
      <c r="M12" s="145">
        <f t="shared" si="2"/>
        <v>0.24727881320937534</v>
      </c>
      <c r="N12" s="145">
        <f t="shared" si="2"/>
        <v>0.25195495780141725</v>
      </c>
      <c r="O12" s="145">
        <f t="shared" si="2"/>
        <v>0.25517189515807415</v>
      </c>
      <c r="P12" s="145">
        <f t="shared" si="2"/>
        <v>0.25736254914312889</v>
      </c>
      <c r="Q12" s="145">
        <f t="shared" si="2"/>
        <v>0.25884400185515333</v>
      </c>
      <c r="R12" s="145">
        <f t="shared" si="2"/>
        <v>0.25984114868348124</v>
      </c>
      <c r="S12" s="145">
        <f t="shared" si="2"/>
        <v>0.26051019235506767</v>
      </c>
      <c r="T12" s="44">
        <v>485.31636835578706</v>
      </c>
      <c r="U12" s="45">
        <f t="shared" si="4"/>
        <v>0.26185866919457002</v>
      </c>
      <c r="V12">
        <v>1</v>
      </c>
      <c r="X12" s="45">
        <v>0.11</v>
      </c>
      <c r="Y12" t="s">
        <v>44</v>
      </c>
      <c r="Z12">
        <v>0.23356068364139199</v>
      </c>
    </row>
    <row r="13" spans="1:27" x14ac:dyDescent="0.25">
      <c r="A13" s="139" t="str">
        <f>'Customer Count'!B13</f>
        <v>Large Industrial</v>
      </c>
      <c r="B13" s="139" t="str">
        <f>'Customer Count'!A13</f>
        <v>Offices</v>
      </c>
      <c r="C13" s="145">
        <f t="shared" si="1"/>
        <v>5.2561185398211918E-2</v>
      </c>
      <c r="D13" s="145">
        <f t="shared" si="2"/>
        <v>7.0796698699632385E-2</v>
      </c>
      <c r="E13" s="145">
        <f t="shared" si="2"/>
        <v>9.2098360255273987E-2</v>
      </c>
      <c r="F13" s="145">
        <f t="shared" si="2"/>
        <v>0.11520791190604386</v>
      </c>
      <c r="G13" s="145">
        <f t="shared" si="2"/>
        <v>0.13835159878820333</v>
      </c>
      <c r="H13" s="145">
        <f t="shared" si="2"/>
        <v>0.15974536505903408</v>
      </c>
      <c r="I13" s="145">
        <f t="shared" si="2"/>
        <v>0.17810612537851739</v>
      </c>
      <c r="J13" s="145">
        <f t="shared" si="2"/>
        <v>0.19288604029056278</v>
      </c>
      <c r="K13" s="145">
        <f t="shared" si="2"/>
        <v>0.20418189366064823</v>
      </c>
      <c r="L13" s="145">
        <f t="shared" si="2"/>
        <v>0.21247733705734853</v>
      </c>
      <c r="M13" s="145">
        <f t="shared" si="2"/>
        <v>0.21839252975259588</v>
      </c>
      <c r="N13" s="145">
        <f t="shared" si="2"/>
        <v>0.22252242278180681</v>
      </c>
      <c r="O13" s="145">
        <f t="shared" si="2"/>
        <v>0.22536356828172902</v>
      </c>
      <c r="P13" s="145">
        <f t="shared" si="2"/>
        <v>0.22729831739912967</v>
      </c>
      <c r="Q13" s="145">
        <f t="shared" si="2"/>
        <v>0.2286067117629198</v>
      </c>
      <c r="R13" s="145">
        <f t="shared" si="2"/>
        <v>0.22948737523564894</v>
      </c>
      <c r="S13" s="145">
        <f t="shared" si="2"/>
        <v>0.23007826346443144</v>
      </c>
      <c r="T13" s="44">
        <v>100</v>
      </c>
      <c r="U13" s="45">
        <f t="shared" si="4"/>
        <v>0.23126921575213247</v>
      </c>
      <c r="V13">
        <v>1</v>
      </c>
      <c r="X13" s="45">
        <v>0.08</v>
      </c>
      <c r="Y13" t="s">
        <v>42</v>
      </c>
      <c r="Z13">
        <v>2.06531361302053E-2</v>
      </c>
    </row>
    <row r="14" spans="1:27" x14ac:dyDescent="0.25">
      <c r="A14" s="139" t="str">
        <f>'Customer Count'!B14</f>
        <v>Small Commercial</v>
      </c>
      <c r="B14" s="139" t="str">
        <f>'Customer Count'!A14</f>
        <v>Offices</v>
      </c>
      <c r="C14" s="145">
        <f t="shared" si="1"/>
        <v>1.0956627172869616E-2</v>
      </c>
      <c r="D14" s="145">
        <f t="shared" si="2"/>
        <v>1.4757905987946832E-2</v>
      </c>
      <c r="E14" s="145">
        <f t="shared" si="2"/>
        <v>1.9198337878125527E-2</v>
      </c>
      <c r="F14" s="145">
        <f t="shared" si="2"/>
        <v>2.4015632991455919E-2</v>
      </c>
      <c r="G14" s="145">
        <f t="shared" si="2"/>
        <v>2.8840043754879852E-2</v>
      </c>
      <c r="H14" s="145">
        <f t="shared" si="2"/>
        <v>3.3299675307652626E-2</v>
      </c>
      <c r="I14" s="145">
        <f t="shared" si="2"/>
        <v>3.7127062454781944E-2</v>
      </c>
      <c r="J14" s="145">
        <f t="shared" si="2"/>
        <v>4.0208005475970469E-2</v>
      </c>
      <c r="K14" s="145">
        <f t="shared" si="2"/>
        <v>4.2562679424774506E-2</v>
      </c>
      <c r="L14" s="145">
        <f t="shared" si="2"/>
        <v>4.4291903753386784E-2</v>
      </c>
      <c r="M14" s="145">
        <f t="shared" si="2"/>
        <v>4.552495358904958E-2</v>
      </c>
      <c r="N14" s="145">
        <f t="shared" si="2"/>
        <v>4.638584928312646E-2</v>
      </c>
      <c r="O14" s="145">
        <f t="shared" si="2"/>
        <v>4.697809947213348E-2</v>
      </c>
      <c r="P14" s="145">
        <f t="shared" si="2"/>
        <v>4.7381407057223039E-2</v>
      </c>
      <c r="Q14" s="145">
        <f t="shared" si="2"/>
        <v>4.7654148037673226E-2</v>
      </c>
      <c r="R14" s="145">
        <f t="shared" si="2"/>
        <v>4.783772649509109E-2</v>
      </c>
      <c r="S14" s="145">
        <f t="shared" si="2"/>
        <v>4.7960899935236286E-2</v>
      </c>
      <c r="T14" s="44">
        <v>5</v>
      </c>
      <c r="U14" s="45">
        <f t="shared" si="4"/>
        <v>4.8209159560626318E-2</v>
      </c>
      <c r="V14">
        <v>1</v>
      </c>
      <c r="X14" s="22">
        <v>0</v>
      </c>
    </row>
    <row r="15" spans="1:27" x14ac:dyDescent="0.25">
      <c r="A15" s="139" t="str">
        <f>'Customer Count'!B15</f>
        <v>Small Industrial</v>
      </c>
      <c r="B15" s="139" t="str">
        <f>'Customer Count'!A15</f>
        <v>Offices</v>
      </c>
      <c r="C15" s="145">
        <f t="shared" si="1"/>
        <v>4.6938945750466584E-3</v>
      </c>
      <c r="D15" s="145">
        <f t="shared" si="2"/>
        <v>6.3223886112873367E-3</v>
      </c>
      <c r="E15" s="145">
        <f t="shared" si="2"/>
        <v>8.2247002288428194E-3</v>
      </c>
      <c r="F15" s="145">
        <f t="shared" si="2"/>
        <v>1.0288462647888252E-2</v>
      </c>
      <c r="G15" s="145">
        <f t="shared" si="2"/>
        <v>1.2355273460462552E-2</v>
      </c>
      <c r="H15" s="145">
        <f t="shared" si="2"/>
        <v>1.426581034576432E-2</v>
      </c>
      <c r="I15" s="145">
        <f t="shared" si="2"/>
        <v>1.5905489371349741E-2</v>
      </c>
      <c r="J15" s="145">
        <f t="shared" si="2"/>
        <v>1.7225386590175803E-2</v>
      </c>
      <c r="K15" s="145">
        <f t="shared" si="2"/>
        <v>1.8234145134197726E-2</v>
      </c>
      <c r="L15" s="145">
        <f t="shared" si="2"/>
        <v>1.8974956751408759E-2</v>
      </c>
      <c r="M15" s="145">
        <f t="shared" si="2"/>
        <v>1.9503203797060845E-2</v>
      </c>
      <c r="N15" s="145">
        <f t="shared" si="2"/>
        <v>1.9872017444212641E-2</v>
      </c>
      <c r="O15" s="145">
        <f t="shared" si="2"/>
        <v>2.0125741505950732E-2</v>
      </c>
      <c r="P15" s="145">
        <f t="shared" si="2"/>
        <v>2.0298521254303821E-2</v>
      </c>
      <c r="Q15" s="145">
        <f t="shared" si="2"/>
        <v>2.0415365369589416E-2</v>
      </c>
      <c r="R15" s="145">
        <f t="shared" si="2"/>
        <v>2.0494011645653534E-2</v>
      </c>
      <c r="S15" s="145">
        <f t="shared" si="2"/>
        <v>2.0546779996110778E-2</v>
      </c>
      <c r="T15" s="44">
        <v>5</v>
      </c>
      <c r="U15" s="45">
        <f t="shared" si="4"/>
        <v>2.06531361302053E-2</v>
      </c>
      <c r="V15">
        <v>1</v>
      </c>
      <c r="X15" s="22">
        <v>5.0000000000000001E-3</v>
      </c>
    </row>
    <row r="16" spans="1:27" x14ac:dyDescent="0.25">
      <c r="A16" s="139" t="str">
        <f>'Customer Count'!B16</f>
        <v>Residential</v>
      </c>
      <c r="B16" s="139" t="str">
        <f>'Customer Count'!A16</f>
        <v>Residential LI</v>
      </c>
      <c r="C16" s="145">
        <f t="shared" si="1"/>
        <v>6.2213097029626867E-3</v>
      </c>
      <c r="D16" s="145">
        <f t="shared" si="2"/>
        <v>8.3797232733783134E-3</v>
      </c>
      <c r="E16" s="145">
        <f t="shared" si="2"/>
        <v>1.0901055939704531E-2</v>
      </c>
      <c r="F16" s="145">
        <f t="shared" si="2"/>
        <v>1.3636376249298291E-2</v>
      </c>
      <c r="G16" s="145">
        <f t="shared" si="2"/>
        <v>1.6375736913854518E-2</v>
      </c>
      <c r="H16" s="145">
        <f t="shared" si="2"/>
        <v>1.8907971388310702E-2</v>
      </c>
      <c r="I16" s="145">
        <f t="shared" si="2"/>
        <v>2.1081209595629744E-2</v>
      </c>
      <c r="J16" s="145">
        <f t="shared" si="2"/>
        <v>2.2830607508835844E-2</v>
      </c>
      <c r="K16" s="145">
        <f t="shared" si="2"/>
        <v>2.4167620775225131E-2</v>
      </c>
      <c r="L16" s="145">
        <f t="shared" si="2"/>
        <v>2.5149495938490096E-2</v>
      </c>
      <c r="M16" s="145">
        <f t="shared" si="2"/>
        <v>2.5849637029887327E-2</v>
      </c>
      <c r="N16" s="145">
        <f t="shared" si="2"/>
        <v>2.6338464353323262E-2</v>
      </c>
      <c r="O16" s="145">
        <f t="shared" si="2"/>
        <v>2.6674751404923817E-2</v>
      </c>
      <c r="P16" s="145">
        <f t="shared" si="2"/>
        <v>2.6903754487059263E-2</v>
      </c>
      <c r="Q16" s="145">
        <f t="shared" si="2"/>
        <v>2.705862022094787E-2</v>
      </c>
      <c r="R16" s="145">
        <f t="shared" si="2"/>
        <v>2.7162858361058789E-2</v>
      </c>
      <c r="S16" s="145">
        <f t="shared" si="2"/>
        <v>2.723279777820169E-2</v>
      </c>
      <c r="T16" s="44">
        <v>5</v>
      </c>
      <c r="U16" s="45">
        <f t="shared" si="4"/>
        <v>2.7373762693035823E-2</v>
      </c>
      <c r="V16">
        <v>1</v>
      </c>
      <c r="X16" s="45">
        <v>2.5000000000000001E-2</v>
      </c>
    </row>
    <row r="17" spans="1:24" x14ac:dyDescent="0.25">
      <c r="A17" s="139" t="str">
        <f>'Customer Count'!B17</f>
        <v>Residential</v>
      </c>
      <c r="B17" s="139" t="str">
        <f>'Customer Count'!A17</f>
        <v>Residential Market Rate</v>
      </c>
      <c r="C17" s="145">
        <f t="shared" si="1"/>
        <v>6.2213097029626867E-3</v>
      </c>
      <c r="D17" s="145">
        <f t="shared" si="2"/>
        <v>8.3797232733783134E-3</v>
      </c>
      <c r="E17" s="145">
        <f t="shared" si="2"/>
        <v>1.0901055939704531E-2</v>
      </c>
      <c r="F17" s="145">
        <f t="shared" si="2"/>
        <v>1.3636376249298291E-2</v>
      </c>
      <c r="G17" s="145">
        <f t="shared" si="2"/>
        <v>1.6375736913854518E-2</v>
      </c>
      <c r="H17" s="145">
        <f t="shared" si="2"/>
        <v>1.8907971388310702E-2</v>
      </c>
      <c r="I17" s="145">
        <f t="shared" si="2"/>
        <v>2.1081209595629744E-2</v>
      </c>
      <c r="J17" s="145">
        <f t="shared" si="2"/>
        <v>2.2830607508835844E-2</v>
      </c>
      <c r="K17" s="145">
        <f t="shared" si="2"/>
        <v>2.4167620775225131E-2</v>
      </c>
      <c r="L17" s="145">
        <f t="shared" si="2"/>
        <v>2.5149495938490096E-2</v>
      </c>
      <c r="M17" s="145">
        <f t="shared" si="2"/>
        <v>2.5849637029887327E-2</v>
      </c>
      <c r="N17" s="145">
        <f t="shared" si="2"/>
        <v>2.6338464353323262E-2</v>
      </c>
      <c r="O17" s="145">
        <f t="shared" si="2"/>
        <v>2.6674751404923817E-2</v>
      </c>
      <c r="P17" s="145">
        <f t="shared" si="2"/>
        <v>2.6903754487059263E-2</v>
      </c>
      <c r="Q17" s="145">
        <f t="shared" si="2"/>
        <v>2.705862022094787E-2</v>
      </c>
      <c r="R17" s="145">
        <f t="shared" si="2"/>
        <v>2.7162858361058789E-2</v>
      </c>
      <c r="S17" s="145">
        <f t="shared" si="2"/>
        <v>2.723279777820169E-2</v>
      </c>
      <c r="T17" s="44">
        <v>5</v>
      </c>
      <c r="U17" s="45">
        <f t="shared" si="4"/>
        <v>2.7373762693035823E-2</v>
      </c>
      <c r="V17">
        <v>1</v>
      </c>
      <c r="X17" s="45">
        <v>2.5000000000000001E-2</v>
      </c>
    </row>
    <row r="18" spans="1:24" x14ac:dyDescent="0.25">
      <c r="A18" s="139" t="str">
        <f>'Customer Count'!B18</f>
        <v>Interruptible Rider</v>
      </c>
      <c r="B18" s="139" t="str">
        <f>'Customer Count'!A18</f>
        <v>Retail Trade</v>
      </c>
      <c r="C18" s="145">
        <f t="shared" si="1"/>
        <v>5.3081973554861814E-2</v>
      </c>
      <c r="D18" s="145">
        <f t="shared" si="2"/>
        <v>7.1498168461650607E-2</v>
      </c>
      <c r="E18" s="145">
        <f t="shared" si="2"/>
        <v>9.3010891715598579E-2</v>
      </c>
      <c r="F18" s="145">
        <f t="shared" si="2"/>
        <v>0.11634941805013994</v>
      </c>
      <c r="G18" s="145">
        <f t="shared" si="2"/>
        <v>0.13972241783569242</v>
      </c>
      <c r="H18" s="145">
        <f t="shared" si="2"/>
        <v>0.16132815839925599</v>
      </c>
      <c r="I18" s="145">
        <f t="shared" si="2"/>
        <v>0.17987084129999445</v>
      </c>
      <c r="J18" s="145">
        <f t="shared" si="2"/>
        <v>0.19479719896412337</v>
      </c>
      <c r="K18" s="145">
        <f t="shared" si="2"/>
        <v>0.2062049742136304</v>
      </c>
      <c r="L18" s="145">
        <f t="shared" si="2"/>
        <v>0.21458261074662377</v>
      </c>
      <c r="M18" s="145">
        <f t="shared" si="2"/>
        <v>0.22055641251388211</v>
      </c>
      <c r="N18" s="145">
        <f t="shared" si="2"/>
        <v>0.22472722546073853</v>
      </c>
      <c r="O18" s="145">
        <f t="shared" si="2"/>
        <v>0.22759652167523214</v>
      </c>
      <c r="P18" s="145">
        <f t="shared" si="2"/>
        <v>0.22955044072608838</v>
      </c>
      <c r="Q18" s="145">
        <f t="shared" si="2"/>
        <v>0.2308717989582488</v>
      </c>
      <c r="R18" s="145">
        <f t="shared" si="2"/>
        <v>0.23176118824458197</v>
      </c>
      <c r="S18" s="145">
        <f t="shared" si="2"/>
        <v>0.23235793112807065</v>
      </c>
      <c r="T18" s="44">
        <v>485.31636835578706</v>
      </c>
      <c r="U18" s="45">
        <f t="shared" si="4"/>
        <v>0.23356068364139199</v>
      </c>
      <c r="V18">
        <v>1</v>
      </c>
      <c r="X18" s="45">
        <v>0.09</v>
      </c>
    </row>
    <row r="19" spans="1:24" x14ac:dyDescent="0.25">
      <c r="A19" s="139" t="str">
        <f>'Customer Count'!B19</f>
        <v>Large Industrial</v>
      </c>
      <c r="B19" s="139" t="str">
        <f>'Customer Count'!A19</f>
        <v>Retail Trade</v>
      </c>
      <c r="C19" s="145">
        <f t="shared" si="1"/>
        <v>5.2561185398211918E-2</v>
      </c>
      <c r="D19" s="145">
        <f t="shared" si="2"/>
        <v>7.0796698699632385E-2</v>
      </c>
      <c r="E19" s="145">
        <f t="shared" si="2"/>
        <v>9.2098360255273987E-2</v>
      </c>
      <c r="F19" s="145">
        <f t="shared" si="2"/>
        <v>0.11520791190604386</v>
      </c>
      <c r="G19" s="145">
        <f t="shared" si="2"/>
        <v>0.13835159878820333</v>
      </c>
      <c r="H19" s="145">
        <f t="shared" si="2"/>
        <v>0.15974536505903408</v>
      </c>
      <c r="I19" s="145">
        <f t="shared" si="2"/>
        <v>0.17810612537851739</v>
      </c>
      <c r="J19" s="145">
        <f t="shared" si="2"/>
        <v>0.19288604029056278</v>
      </c>
      <c r="K19" s="145">
        <f t="shared" si="2"/>
        <v>0.20418189366064823</v>
      </c>
      <c r="L19" s="145">
        <f t="shared" si="2"/>
        <v>0.21247733705734853</v>
      </c>
      <c r="M19" s="145">
        <f t="shared" si="2"/>
        <v>0.21839252975259588</v>
      </c>
      <c r="N19" s="145">
        <f t="shared" si="2"/>
        <v>0.22252242278180681</v>
      </c>
      <c r="O19" s="145">
        <f t="shared" si="2"/>
        <v>0.22536356828172902</v>
      </c>
      <c r="P19" s="145">
        <f t="shared" si="2"/>
        <v>0.22729831739912967</v>
      </c>
      <c r="Q19" s="145">
        <f t="shared" si="2"/>
        <v>0.2286067117629198</v>
      </c>
      <c r="R19" s="145">
        <f t="shared" si="2"/>
        <v>0.22948737523564894</v>
      </c>
      <c r="S19" s="145">
        <f t="shared" si="2"/>
        <v>0.23007826346443144</v>
      </c>
      <c r="T19" s="44">
        <v>100</v>
      </c>
      <c r="U19" s="45">
        <f t="shared" si="4"/>
        <v>0.23126921575213247</v>
      </c>
      <c r="V19">
        <v>1</v>
      </c>
      <c r="X19" s="45">
        <v>0.08</v>
      </c>
    </row>
    <row r="20" spans="1:24" x14ac:dyDescent="0.25">
      <c r="A20" s="139" t="str">
        <f>'Customer Count'!B20</f>
        <v>Small Commercial</v>
      </c>
      <c r="B20" s="139" t="str">
        <f>'Customer Count'!A20</f>
        <v>Retail Trade</v>
      </c>
      <c r="C20" s="145">
        <f t="shared" si="1"/>
        <v>1.0956627172869616E-2</v>
      </c>
      <c r="D20" s="145">
        <f t="shared" ref="D20:S25" si="5">$U20/(1+$Z$2*$Z$3^-(D$3-$C$3))</f>
        <v>1.4757905987946832E-2</v>
      </c>
      <c r="E20" s="145">
        <f t="shared" si="5"/>
        <v>1.9198337878125527E-2</v>
      </c>
      <c r="F20" s="145">
        <f t="shared" si="5"/>
        <v>2.4015632991455919E-2</v>
      </c>
      <c r="G20" s="145">
        <f t="shared" si="5"/>
        <v>2.8840043754879852E-2</v>
      </c>
      <c r="H20" s="145">
        <f t="shared" si="5"/>
        <v>3.3299675307652626E-2</v>
      </c>
      <c r="I20" s="145">
        <f t="shared" si="5"/>
        <v>3.7127062454781944E-2</v>
      </c>
      <c r="J20" s="145">
        <f t="shared" si="5"/>
        <v>4.0208005475970469E-2</v>
      </c>
      <c r="K20" s="145">
        <f t="shared" si="5"/>
        <v>4.2562679424774506E-2</v>
      </c>
      <c r="L20" s="145">
        <f t="shared" si="5"/>
        <v>4.4291903753386784E-2</v>
      </c>
      <c r="M20" s="145">
        <f t="shared" si="5"/>
        <v>4.552495358904958E-2</v>
      </c>
      <c r="N20" s="145">
        <f t="shared" si="5"/>
        <v>4.638584928312646E-2</v>
      </c>
      <c r="O20" s="145">
        <f t="shared" si="5"/>
        <v>4.697809947213348E-2</v>
      </c>
      <c r="P20" s="145">
        <f t="shared" si="5"/>
        <v>4.7381407057223039E-2</v>
      </c>
      <c r="Q20" s="145">
        <f t="shared" si="5"/>
        <v>4.7654148037673226E-2</v>
      </c>
      <c r="R20" s="145">
        <f t="shared" si="5"/>
        <v>4.783772649509109E-2</v>
      </c>
      <c r="S20" s="145">
        <f t="shared" si="5"/>
        <v>4.7960899935236286E-2</v>
      </c>
      <c r="T20" s="44">
        <v>5</v>
      </c>
      <c r="U20" s="45">
        <f t="shared" si="4"/>
        <v>4.8209159560626318E-2</v>
      </c>
      <c r="V20">
        <v>1</v>
      </c>
      <c r="X20" s="22">
        <v>0</v>
      </c>
    </row>
    <row r="21" spans="1:24" x14ac:dyDescent="0.25">
      <c r="A21" s="139" t="str">
        <f>'Customer Count'!B21</f>
        <v>Small Industrial</v>
      </c>
      <c r="B21" s="139" t="str">
        <f>'Customer Count'!A21</f>
        <v>Retail Trade</v>
      </c>
      <c r="C21" s="145">
        <f t="shared" si="1"/>
        <v>4.6938945750466584E-3</v>
      </c>
      <c r="D21" s="145">
        <f t="shared" si="5"/>
        <v>6.3223886112873367E-3</v>
      </c>
      <c r="E21" s="145">
        <f t="shared" si="5"/>
        <v>8.2247002288428194E-3</v>
      </c>
      <c r="F21" s="145">
        <f t="shared" si="5"/>
        <v>1.0288462647888252E-2</v>
      </c>
      <c r="G21" s="145">
        <f t="shared" si="5"/>
        <v>1.2355273460462552E-2</v>
      </c>
      <c r="H21" s="145">
        <f t="shared" si="5"/>
        <v>1.426581034576432E-2</v>
      </c>
      <c r="I21" s="145">
        <f t="shared" si="5"/>
        <v>1.5905489371349741E-2</v>
      </c>
      <c r="J21" s="145">
        <f t="shared" si="5"/>
        <v>1.7225386590175803E-2</v>
      </c>
      <c r="K21" s="145">
        <f t="shared" si="5"/>
        <v>1.8234145134197726E-2</v>
      </c>
      <c r="L21" s="145">
        <f t="shared" si="5"/>
        <v>1.8974956751408759E-2</v>
      </c>
      <c r="M21" s="145">
        <f t="shared" si="5"/>
        <v>1.9503203797060845E-2</v>
      </c>
      <c r="N21" s="145">
        <f t="shared" si="5"/>
        <v>1.9872017444212641E-2</v>
      </c>
      <c r="O21" s="145">
        <f t="shared" si="5"/>
        <v>2.0125741505950732E-2</v>
      </c>
      <c r="P21" s="145">
        <f t="shared" si="5"/>
        <v>2.0298521254303821E-2</v>
      </c>
      <c r="Q21" s="145">
        <f t="shared" si="5"/>
        <v>2.0415365369589416E-2</v>
      </c>
      <c r="R21" s="145">
        <f t="shared" si="5"/>
        <v>2.0494011645653534E-2</v>
      </c>
      <c r="S21" s="145">
        <f t="shared" si="5"/>
        <v>2.0546779996110778E-2</v>
      </c>
      <c r="T21" s="44">
        <v>5</v>
      </c>
      <c r="U21" s="45">
        <f t="shared" si="4"/>
        <v>2.06531361302053E-2</v>
      </c>
      <c r="V21">
        <v>1</v>
      </c>
      <c r="X21" s="22">
        <v>5.0000000000000001E-3</v>
      </c>
    </row>
    <row r="22" spans="1:24" x14ac:dyDescent="0.25">
      <c r="A22" s="139" t="str">
        <f>'Customer Count'!B22</f>
        <v>Large Commercial</v>
      </c>
      <c r="B22" s="139" t="str">
        <f>'Customer Count'!A22</f>
        <v>Services</v>
      </c>
      <c r="C22" s="145">
        <f t="shared" si="1"/>
        <v>5.9513333907856819E-2</v>
      </c>
      <c r="D22" s="145">
        <f t="shared" si="5"/>
        <v>8.0160817100378576E-2</v>
      </c>
      <c r="E22" s="145">
        <f t="shared" si="5"/>
        <v>0.10428000100668718</v>
      </c>
      <c r="F22" s="145">
        <f t="shared" si="5"/>
        <v>0.13044620052128028</v>
      </c>
      <c r="G22" s="145">
        <f t="shared" si="5"/>
        <v>0.1566510502567221</v>
      </c>
      <c r="H22" s="145">
        <f t="shared" si="5"/>
        <v>0.18087452135952392</v>
      </c>
      <c r="I22" s="145">
        <f t="shared" si="5"/>
        <v>0.20166381770847405</v>
      </c>
      <c r="J22" s="145">
        <f t="shared" si="5"/>
        <v>0.21839863836798287</v>
      </c>
      <c r="K22" s="145">
        <f t="shared" si="5"/>
        <v>0.23118856858540435</v>
      </c>
      <c r="L22" s="145">
        <f t="shared" si="5"/>
        <v>0.24058123142284382</v>
      </c>
      <c r="M22" s="145">
        <f t="shared" si="5"/>
        <v>0.24727881320937534</v>
      </c>
      <c r="N22" s="145">
        <f t="shared" si="5"/>
        <v>0.25195495780141725</v>
      </c>
      <c r="O22" s="145">
        <f t="shared" si="5"/>
        <v>0.25517189515807415</v>
      </c>
      <c r="P22" s="145">
        <f t="shared" si="5"/>
        <v>0.25736254914312889</v>
      </c>
      <c r="Q22" s="145">
        <f t="shared" si="5"/>
        <v>0.25884400185515333</v>
      </c>
      <c r="R22" s="145">
        <f t="shared" si="5"/>
        <v>0.25984114868348124</v>
      </c>
      <c r="S22" s="145">
        <f t="shared" si="5"/>
        <v>0.26051019235506767</v>
      </c>
      <c r="T22" s="44">
        <v>485.31636835578706</v>
      </c>
      <c r="U22" s="45">
        <f t="shared" si="4"/>
        <v>0.26185866919457002</v>
      </c>
      <c r="V22">
        <v>1</v>
      </c>
      <c r="X22" s="45">
        <v>0.11</v>
      </c>
    </row>
    <row r="23" spans="1:24" x14ac:dyDescent="0.25">
      <c r="A23" s="139" t="str">
        <f>'Customer Count'!B23</f>
        <v>Large Industrial</v>
      </c>
      <c r="B23" s="139" t="str">
        <f>'Customer Count'!A23</f>
        <v>Services</v>
      </c>
      <c r="C23" s="145">
        <f t="shared" si="1"/>
        <v>5.2561185398211918E-2</v>
      </c>
      <c r="D23" s="145">
        <f t="shared" si="5"/>
        <v>7.0796698699632385E-2</v>
      </c>
      <c r="E23" s="145">
        <f t="shared" si="5"/>
        <v>9.2098360255273987E-2</v>
      </c>
      <c r="F23" s="145">
        <f t="shared" si="5"/>
        <v>0.11520791190604386</v>
      </c>
      <c r="G23" s="145">
        <f t="shared" si="5"/>
        <v>0.13835159878820333</v>
      </c>
      <c r="H23" s="145">
        <f t="shared" si="5"/>
        <v>0.15974536505903408</v>
      </c>
      <c r="I23" s="145">
        <f t="shared" si="5"/>
        <v>0.17810612537851739</v>
      </c>
      <c r="J23" s="145">
        <f t="shared" si="5"/>
        <v>0.19288604029056278</v>
      </c>
      <c r="K23" s="145">
        <f t="shared" si="5"/>
        <v>0.20418189366064823</v>
      </c>
      <c r="L23" s="145">
        <f t="shared" si="5"/>
        <v>0.21247733705734853</v>
      </c>
      <c r="M23" s="145">
        <f t="shared" si="5"/>
        <v>0.21839252975259588</v>
      </c>
      <c r="N23" s="145">
        <f t="shared" si="5"/>
        <v>0.22252242278180681</v>
      </c>
      <c r="O23" s="145">
        <f t="shared" si="5"/>
        <v>0.22536356828172902</v>
      </c>
      <c r="P23" s="145">
        <f t="shared" si="5"/>
        <v>0.22729831739912967</v>
      </c>
      <c r="Q23" s="145">
        <f t="shared" si="5"/>
        <v>0.2286067117629198</v>
      </c>
      <c r="R23" s="145">
        <f t="shared" si="5"/>
        <v>0.22948737523564894</v>
      </c>
      <c r="S23" s="145">
        <f t="shared" si="5"/>
        <v>0.23007826346443144</v>
      </c>
      <c r="T23" s="44">
        <v>100</v>
      </c>
      <c r="U23" s="45">
        <f t="shared" si="4"/>
        <v>0.23126921575213247</v>
      </c>
      <c r="V23">
        <v>1</v>
      </c>
      <c r="X23" s="45">
        <v>0.08</v>
      </c>
    </row>
    <row r="24" spans="1:24" x14ac:dyDescent="0.25">
      <c r="A24" s="139" t="str">
        <f>'Customer Count'!B24</f>
        <v>Small Commercial</v>
      </c>
      <c r="B24" s="139" t="str">
        <f>'Customer Count'!A24</f>
        <v>Services</v>
      </c>
      <c r="C24" s="145">
        <f t="shared" si="1"/>
        <v>1.0956627172869616E-2</v>
      </c>
      <c r="D24" s="145">
        <f t="shared" si="5"/>
        <v>1.4757905987946832E-2</v>
      </c>
      <c r="E24" s="145">
        <f t="shared" si="5"/>
        <v>1.9198337878125527E-2</v>
      </c>
      <c r="F24" s="145">
        <f t="shared" si="5"/>
        <v>2.4015632991455919E-2</v>
      </c>
      <c r="G24" s="145">
        <f t="shared" si="5"/>
        <v>2.8840043754879852E-2</v>
      </c>
      <c r="H24" s="145">
        <f t="shared" si="5"/>
        <v>3.3299675307652626E-2</v>
      </c>
      <c r="I24" s="145">
        <f t="shared" si="5"/>
        <v>3.7127062454781944E-2</v>
      </c>
      <c r="J24" s="145">
        <f t="shared" si="5"/>
        <v>4.0208005475970469E-2</v>
      </c>
      <c r="K24" s="145">
        <f t="shared" si="5"/>
        <v>4.2562679424774506E-2</v>
      </c>
      <c r="L24" s="145">
        <f t="shared" si="5"/>
        <v>4.4291903753386784E-2</v>
      </c>
      <c r="M24" s="145">
        <f t="shared" si="5"/>
        <v>4.552495358904958E-2</v>
      </c>
      <c r="N24" s="145">
        <f t="shared" si="5"/>
        <v>4.638584928312646E-2</v>
      </c>
      <c r="O24" s="145">
        <f t="shared" si="5"/>
        <v>4.697809947213348E-2</v>
      </c>
      <c r="P24" s="145">
        <f t="shared" si="5"/>
        <v>4.7381407057223039E-2</v>
      </c>
      <c r="Q24" s="145">
        <f t="shared" si="5"/>
        <v>4.7654148037673226E-2</v>
      </c>
      <c r="R24" s="145">
        <f t="shared" si="5"/>
        <v>4.783772649509109E-2</v>
      </c>
      <c r="S24" s="145">
        <f t="shared" si="5"/>
        <v>4.7960899935236286E-2</v>
      </c>
      <c r="T24" s="44">
        <v>5</v>
      </c>
      <c r="U24" s="45">
        <f t="shared" si="4"/>
        <v>4.8209159560626318E-2</v>
      </c>
      <c r="V24">
        <v>1</v>
      </c>
      <c r="X24" s="22">
        <v>0</v>
      </c>
    </row>
    <row r="25" spans="1:24" x14ac:dyDescent="0.25">
      <c r="A25" s="139" t="str">
        <f>'Customer Count'!B25</f>
        <v>Small Industrial</v>
      </c>
      <c r="B25" s="139" t="str">
        <f>'Customer Count'!A25</f>
        <v>Services</v>
      </c>
      <c r="C25" s="145">
        <f t="shared" si="1"/>
        <v>4.6938945750466584E-3</v>
      </c>
      <c r="D25" s="145">
        <f t="shared" si="5"/>
        <v>6.3223886112873367E-3</v>
      </c>
      <c r="E25" s="145">
        <f t="shared" si="5"/>
        <v>8.2247002288428194E-3</v>
      </c>
      <c r="F25" s="145">
        <f t="shared" si="5"/>
        <v>1.0288462647888252E-2</v>
      </c>
      <c r="G25" s="145">
        <f t="shared" si="5"/>
        <v>1.2355273460462552E-2</v>
      </c>
      <c r="H25" s="145">
        <f t="shared" si="5"/>
        <v>1.426581034576432E-2</v>
      </c>
      <c r="I25" s="145">
        <f t="shared" si="5"/>
        <v>1.5905489371349741E-2</v>
      </c>
      <c r="J25" s="145">
        <f t="shared" si="5"/>
        <v>1.7225386590175803E-2</v>
      </c>
      <c r="K25" s="145">
        <f t="shared" si="5"/>
        <v>1.8234145134197726E-2</v>
      </c>
      <c r="L25" s="145">
        <f t="shared" si="5"/>
        <v>1.8974956751408759E-2</v>
      </c>
      <c r="M25" s="145">
        <f t="shared" si="5"/>
        <v>1.9503203797060845E-2</v>
      </c>
      <c r="N25" s="145">
        <f t="shared" si="5"/>
        <v>1.9872017444212641E-2</v>
      </c>
      <c r="O25" s="145">
        <f t="shared" si="5"/>
        <v>2.0125741505950732E-2</v>
      </c>
      <c r="P25" s="145">
        <f t="shared" si="5"/>
        <v>2.0298521254303821E-2</v>
      </c>
      <c r="Q25" s="145">
        <f t="shared" si="5"/>
        <v>2.0415365369589416E-2</v>
      </c>
      <c r="R25" s="145">
        <f t="shared" si="5"/>
        <v>2.0494011645653534E-2</v>
      </c>
      <c r="S25" s="145">
        <f t="shared" si="5"/>
        <v>2.0546779996110778E-2</v>
      </c>
      <c r="T25" s="44">
        <v>5</v>
      </c>
      <c r="U25" s="45">
        <f t="shared" si="4"/>
        <v>2.06531361302053E-2</v>
      </c>
      <c r="V25">
        <v>1</v>
      </c>
      <c r="X25" s="22">
        <v>5.0000000000000001E-3</v>
      </c>
    </row>
  </sheetData>
  <mergeCells count="3">
    <mergeCell ref="D2:H2"/>
    <mergeCell ref="I2:M2"/>
    <mergeCell ref="N2:R2"/>
  </mergeCells>
  <pageMargins left="0.7" right="0.7" top="0.75" bottom="0.75" header="0.3" footer="0.3"/>
  <pageSetup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5">
    <tabColor theme="8" tint="0.79998168889431442"/>
  </sheetPr>
  <dimension ref="A1:V33"/>
  <sheetViews>
    <sheetView zoomScale="90" zoomScaleNormal="90" workbookViewId="0">
      <selection sqref="A1:XFD1048576"/>
    </sheetView>
  </sheetViews>
  <sheetFormatPr defaultColWidth="31.796875" defaultRowHeight="13.8" outlineLevelRow="1" x14ac:dyDescent="0.25"/>
  <cols>
    <col min="1" max="1" width="10.09765625" customWidth="1"/>
    <col min="2" max="2" width="18.09765625" customWidth="1"/>
    <col min="3" max="3" width="16.5" style="10" customWidth="1"/>
    <col min="4" max="4" width="27.5" customWidth="1"/>
    <col min="5" max="5" width="40.296875" customWidth="1"/>
    <col min="6" max="6" width="19.59765625" customWidth="1"/>
    <col min="7" max="7" width="16.296875" customWidth="1"/>
    <col min="8" max="8" width="18.59765625" customWidth="1"/>
    <col min="9" max="9" width="17.5" customWidth="1"/>
    <col min="10" max="10" width="31.69921875" customWidth="1"/>
    <col min="11" max="11" width="37.796875" customWidth="1"/>
  </cols>
  <sheetData>
    <row r="1" spans="1:22" ht="24" customHeight="1" outlineLevel="1" x14ac:dyDescent="0.25">
      <c r="A1" s="31"/>
      <c r="B1" s="31"/>
      <c r="C1" s="34"/>
      <c r="D1" s="31"/>
    </row>
    <row r="2" spans="1:22" ht="16.5" customHeight="1" outlineLevel="1" thickBot="1" x14ac:dyDescent="0.3">
      <c r="A2" s="31"/>
      <c r="B2" s="31"/>
      <c r="C2" s="34"/>
      <c r="D2" s="31"/>
    </row>
    <row r="3" spans="1:22" ht="51.75" customHeight="1" thickBot="1" x14ac:dyDescent="0.3">
      <c r="A3" s="31"/>
      <c r="B3" s="31"/>
      <c r="C3" s="34"/>
      <c r="D3" s="31"/>
      <c r="T3" s="47" t="s">
        <v>414</v>
      </c>
      <c r="U3" s="48" t="s">
        <v>351</v>
      </c>
      <c r="V3" s="49" t="s">
        <v>415</v>
      </c>
    </row>
    <row r="4" spans="1:22" s="18" customFormat="1" ht="14.4" thickBot="1" x14ac:dyDescent="0.3">
      <c r="A4" s="33" t="s">
        <v>23</v>
      </c>
      <c r="B4" s="33" t="s">
        <v>416</v>
      </c>
      <c r="C4" s="30" t="s">
        <v>417</v>
      </c>
      <c r="D4" s="18" t="s">
        <v>24</v>
      </c>
      <c r="E4" s="18" t="s">
        <v>418</v>
      </c>
      <c r="F4" s="18" t="s">
        <v>6</v>
      </c>
      <c r="G4" s="18" t="s">
        <v>419</v>
      </c>
      <c r="H4" s="18" t="s">
        <v>420</v>
      </c>
      <c r="I4" s="18" t="s">
        <v>421</v>
      </c>
      <c r="J4" s="18" t="s">
        <v>422</v>
      </c>
      <c r="K4" s="18" t="s">
        <v>423</v>
      </c>
      <c r="L4" s="18" t="s">
        <v>424</v>
      </c>
      <c r="M4" s="18" t="s">
        <v>425</v>
      </c>
      <c r="N4" s="18" t="s">
        <v>426</v>
      </c>
      <c r="O4" s="18" t="s">
        <v>399</v>
      </c>
      <c r="P4" s="18" t="s">
        <v>427</v>
      </c>
      <c r="Q4" s="18" t="s">
        <v>315</v>
      </c>
      <c r="R4" s="18" t="s">
        <v>0</v>
      </c>
      <c r="T4" s="47" t="s">
        <v>428</v>
      </c>
      <c r="U4" s="396" t="s">
        <v>429</v>
      </c>
      <c r="V4" s="50" t="s">
        <v>40</v>
      </c>
    </row>
    <row r="5" spans="1:22" x14ac:dyDescent="0.25">
      <c r="A5" t="s">
        <v>13</v>
      </c>
      <c r="B5" t="s">
        <v>40</v>
      </c>
      <c r="C5" s="10">
        <v>2021</v>
      </c>
      <c r="D5" t="s">
        <v>50</v>
      </c>
      <c r="E5" s="29" t="s">
        <v>80</v>
      </c>
      <c r="F5" t="s">
        <v>15</v>
      </c>
      <c r="G5" t="s">
        <v>355</v>
      </c>
      <c r="H5" s="26" t="s">
        <v>430</v>
      </c>
      <c r="I5" t="s">
        <v>221</v>
      </c>
      <c r="J5" t="s">
        <v>35</v>
      </c>
      <c r="K5" t="s">
        <v>431</v>
      </c>
      <c r="L5" t="s">
        <v>211</v>
      </c>
      <c r="M5" t="s">
        <v>380</v>
      </c>
      <c r="N5" t="s">
        <v>353</v>
      </c>
      <c r="O5" t="s">
        <v>276</v>
      </c>
      <c r="P5" t="s">
        <v>380</v>
      </c>
      <c r="Q5" t="s">
        <v>397</v>
      </c>
      <c r="R5" t="s">
        <v>0</v>
      </c>
      <c r="T5" s="459" t="s">
        <v>432</v>
      </c>
      <c r="U5" s="51" t="s">
        <v>433</v>
      </c>
      <c r="V5" s="462" t="s">
        <v>40</v>
      </c>
    </row>
    <row r="6" spans="1:22" x14ac:dyDescent="0.25">
      <c r="A6" t="s">
        <v>20</v>
      </c>
      <c r="B6" t="s">
        <v>41</v>
      </c>
      <c r="C6" s="10">
        <v>2022</v>
      </c>
      <c r="D6" t="s">
        <v>52</v>
      </c>
      <c r="E6" t="s">
        <v>81</v>
      </c>
      <c r="F6" t="s">
        <v>16</v>
      </c>
      <c r="H6" t="s">
        <v>71</v>
      </c>
      <c r="I6" t="s">
        <v>226</v>
      </c>
      <c r="J6" t="s">
        <v>33</v>
      </c>
      <c r="K6" t="s">
        <v>434</v>
      </c>
      <c r="L6" t="s">
        <v>398</v>
      </c>
      <c r="M6" t="s">
        <v>381</v>
      </c>
      <c r="N6" t="s">
        <v>336</v>
      </c>
      <c r="O6" t="s">
        <v>279</v>
      </c>
      <c r="P6" t="s">
        <v>381</v>
      </c>
      <c r="Q6" t="s">
        <v>435</v>
      </c>
      <c r="R6" t="s">
        <v>30</v>
      </c>
      <c r="T6" s="460"/>
      <c r="U6" s="397" t="s">
        <v>436</v>
      </c>
      <c r="V6" s="463"/>
    </row>
    <row r="7" spans="1:22" ht="14.4" thickBot="1" x14ac:dyDescent="0.3">
      <c r="B7" t="s">
        <v>42</v>
      </c>
      <c r="C7" s="10">
        <v>2023</v>
      </c>
      <c r="D7" t="s">
        <v>53</v>
      </c>
      <c r="E7" s="29" t="s">
        <v>82</v>
      </c>
      <c r="F7" t="s">
        <v>17</v>
      </c>
      <c r="H7" t="s">
        <v>77</v>
      </c>
      <c r="I7" t="s">
        <v>215</v>
      </c>
      <c r="J7" t="s">
        <v>437</v>
      </c>
      <c r="K7" t="s">
        <v>438</v>
      </c>
      <c r="L7" t="s">
        <v>248</v>
      </c>
      <c r="M7" t="s">
        <v>382</v>
      </c>
      <c r="N7" t="s">
        <v>390</v>
      </c>
      <c r="O7" t="s">
        <v>280</v>
      </c>
      <c r="P7" t="s">
        <v>439</v>
      </c>
      <c r="Q7" t="s">
        <v>440</v>
      </c>
      <c r="T7" s="461"/>
      <c r="U7" s="398"/>
      <c r="V7" s="464"/>
    </row>
    <row r="8" spans="1:22" ht="14.4" thickBot="1" x14ac:dyDescent="0.3">
      <c r="B8" t="s">
        <v>43</v>
      </c>
      <c r="C8" s="10">
        <v>2024</v>
      </c>
      <c r="D8" s="29" t="s">
        <v>54</v>
      </c>
      <c r="E8" s="29" t="s">
        <v>83</v>
      </c>
      <c r="F8" t="s">
        <v>18</v>
      </c>
      <c r="H8" t="s">
        <v>137</v>
      </c>
      <c r="I8" t="s">
        <v>227</v>
      </c>
      <c r="L8" t="s">
        <v>249</v>
      </c>
      <c r="N8" t="s">
        <v>326</v>
      </c>
      <c r="O8" t="s">
        <v>281</v>
      </c>
      <c r="P8" t="s">
        <v>382</v>
      </c>
      <c r="Q8" t="s">
        <v>441</v>
      </c>
      <c r="T8" s="47" t="s">
        <v>442</v>
      </c>
      <c r="U8" s="52" t="s">
        <v>443</v>
      </c>
      <c r="V8" s="50" t="s">
        <v>41</v>
      </c>
    </row>
    <row r="9" spans="1:22" ht="14.4" thickBot="1" x14ac:dyDescent="0.3">
      <c r="B9" t="s">
        <v>44</v>
      </c>
      <c r="C9" s="10">
        <v>2025</v>
      </c>
      <c r="D9" t="s">
        <v>55</v>
      </c>
      <c r="E9" s="29" t="s">
        <v>88</v>
      </c>
      <c r="F9" t="s">
        <v>19</v>
      </c>
      <c r="H9" t="s">
        <v>221</v>
      </c>
      <c r="I9" t="s">
        <v>444</v>
      </c>
      <c r="L9" t="s">
        <v>250</v>
      </c>
      <c r="N9" t="s">
        <v>330</v>
      </c>
      <c r="O9" t="s">
        <v>282</v>
      </c>
      <c r="Q9" t="s">
        <v>445</v>
      </c>
      <c r="T9" s="47"/>
      <c r="U9" s="52"/>
      <c r="V9" s="50"/>
    </row>
    <row r="10" spans="1:22" x14ac:dyDescent="0.25">
      <c r="B10" t="s">
        <v>45</v>
      </c>
      <c r="C10" s="10">
        <v>2026</v>
      </c>
      <c r="D10" t="s">
        <v>57</v>
      </c>
      <c r="E10" s="29" t="s">
        <v>84</v>
      </c>
      <c r="F10" t="s">
        <v>14</v>
      </c>
      <c r="H10" t="s">
        <v>215</v>
      </c>
      <c r="I10" t="s">
        <v>232</v>
      </c>
      <c r="N10" t="s">
        <v>354</v>
      </c>
      <c r="O10" t="s">
        <v>269</v>
      </c>
      <c r="T10" s="459" t="s">
        <v>446</v>
      </c>
      <c r="U10" s="465" t="s">
        <v>447</v>
      </c>
      <c r="V10" s="176" t="s">
        <v>448</v>
      </c>
    </row>
    <row r="11" spans="1:22" x14ac:dyDescent="0.25">
      <c r="A11" s="32"/>
      <c r="B11" t="s">
        <v>46</v>
      </c>
      <c r="C11" s="10">
        <v>2027</v>
      </c>
      <c r="D11" t="s">
        <v>56</v>
      </c>
      <c r="E11" s="29" t="s">
        <v>85</v>
      </c>
      <c r="N11" t="s">
        <v>410</v>
      </c>
      <c r="O11" t="s">
        <v>272</v>
      </c>
      <c r="T11" s="460"/>
      <c r="U11" s="466"/>
      <c r="V11" s="177" t="s">
        <v>449</v>
      </c>
    </row>
    <row r="12" spans="1:22" ht="27.6" x14ac:dyDescent="0.25">
      <c r="C12" s="10">
        <v>2028</v>
      </c>
      <c r="E12" s="29" t="s">
        <v>86</v>
      </c>
      <c r="N12" t="s">
        <v>352</v>
      </c>
      <c r="O12" t="s">
        <v>46</v>
      </c>
      <c r="T12" s="460"/>
      <c r="U12" s="466"/>
      <c r="V12" s="177" t="s">
        <v>450</v>
      </c>
    </row>
    <row r="13" spans="1:22" ht="26.1" customHeight="1" thickBot="1" x14ac:dyDescent="0.3">
      <c r="C13" s="10">
        <v>2029</v>
      </c>
      <c r="E13" s="29" t="s">
        <v>87</v>
      </c>
      <c r="N13" t="s">
        <v>411</v>
      </c>
      <c r="T13" s="461"/>
      <c r="U13" s="467"/>
      <c r="V13" s="178" t="s">
        <v>451</v>
      </c>
    </row>
    <row r="14" spans="1:22" ht="14.4" thickBot="1" x14ac:dyDescent="0.3">
      <c r="C14" s="10">
        <v>2030</v>
      </c>
      <c r="E14" s="3" t="s">
        <v>89</v>
      </c>
      <c r="N14" s="53" t="s">
        <v>2</v>
      </c>
      <c r="T14" s="47" t="s">
        <v>452</v>
      </c>
      <c r="U14" s="52" t="s">
        <v>42</v>
      </c>
      <c r="V14" s="50" t="s">
        <v>413</v>
      </c>
    </row>
    <row r="15" spans="1:22" ht="14.4" thickBot="1" x14ac:dyDescent="0.3">
      <c r="E15" s="3" t="s">
        <v>90</v>
      </c>
      <c r="N15" t="s">
        <v>412</v>
      </c>
      <c r="T15" s="47" t="s">
        <v>453</v>
      </c>
      <c r="U15" s="52" t="s">
        <v>454</v>
      </c>
      <c r="V15" s="50"/>
    </row>
    <row r="16" spans="1:22" ht="14.4" thickBot="1" x14ac:dyDescent="0.3">
      <c r="E16" s="3" t="s">
        <v>91</v>
      </c>
      <c r="N16" t="s">
        <v>46</v>
      </c>
      <c r="T16" s="47" t="s">
        <v>455</v>
      </c>
      <c r="U16" s="52" t="s">
        <v>43</v>
      </c>
      <c r="V16" s="50"/>
    </row>
    <row r="17" spans="5:5" x14ac:dyDescent="0.25">
      <c r="E17" s="3" t="s">
        <v>92</v>
      </c>
    </row>
    <row r="18" spans="5:5" x14ac:dyDescent="0.25">
      <c r="E18" s="3" t="s">
        <v>93</v>
      </c>
    </row>
    <row r="19" spans="5:5" x14ac:dyDescent="0.25">
      <c r="E19" s="29" t="s">
        <v>147</v>
      </c>
    </row>
    <row r="20" spans="5:5" x14ac:dyDescent="0.25">
      <c r="E20" s="29" t="s">
        <v>94</v>
      </c>
    </row>
    <row r="21" spans="5:5" x14ac:dyDescent="0.25">
      <c r="E21" s="3" t="s">
        <v>95</v>
      </c>
    </row>
    <row r="22" spans="5:5" x14ac:dyDescent="0.25">
      <c r="E22" s="3" t="s">
        <v>96</v>
      </c>
    </row>
    <row r="23" spans="5:5" x14ac:dyDescent="0.25">
      <c r="E23" s="3" t="s">
        <v>97</v>
      </c>
    </row>
    <row r="24" spans="5:5" x14ac:dyDescent="0.25">
      <c r="E24" s="3" t="s">
        <v>98</v>
      </c>
    </row>
    <row r="25" spans="5:5" x14ac:dyDescent="0.25">
      <c r="E25" s="3" t="s">
        <v>99</v>
      </c>
    </row>
    <row r="26" spans="5:5" x14ac:dyDescent="0.25">
      <c r="E26" s="29" t="s">
        <v>129</v>
      </c>
    </row>
    <row r="27" spans="5:5" x14ac:dyDescent="0.25">
      <c r="E27" s="29" t="s">
        <v>100</v>
      </c>
    </row>
    <row r="28" spans="5:5" x14ac:dyDescent="0.25">
      <c r="E28" s="38" t="s">
        <v>101</v>
      </c>
    </row>
    <row r="29" spans="5:5" x14ac:dyDescent="0.25">
      <c r="E29" s="38" t="s">
        <v>102</v>
      </c>
    </row>
    <row r="30" spans="5:5" x14ac:dyDescent="0.25">
      <c r="E30" t="s">
        <v>56</v>
      </c>
    </row>
    <row r="31" spans="5:5" x14ac:dyDescent="0.25">
      <c r="E31" s="29" t="s">
        <v>54</v>
      </c>
    </row>
    <row r="32" spans="5:5" x14ac:dyDescent="0.25">
      <c r="E32" t="s">
        <v>55</v>
      </c>
    </row>
    <row r="33" spans="5:5" x14ac:dyDescent="0.25">
      <c r="E33" t="s">
        <v>57</v>
      </c>
    </row>
  </sheetData>
  <sortState xmlns:xlrd2="http://schemas.microsoft.com/office/spreadsheetml/2017/richdata2" ref="M17:M26">
    <sortCondition ref="M17:M26"/>
  </sortState>
  <mergeCells count="4">
    <mergeCell ref="T5:T7"/>
    <mergeCell ref="V5:V7"/>
    <mergeCell ref="T10:T13"/>
    <mergeCell ref="U10:U13"/>
  </mergeCells>
  <phoneticPr fontId="28" type="noConversion"/>
  <dataValidations count="1">
    <dataValidation type="list" allowBlank="1" showInputMessage="1" showErrorMessage="1" sqref="B5:B10" xr:uid="{00000000-0002-0000-3F00-000000000000}">
      <formula1>CustomerClasses</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tabColor theme="7" tint="0.39997558519241921"/>
  </sheetPr>
  <dimension ref="A1:P11"/>
  <sheetViews>
    <sheetView zoomScale="80" zoomScaleNormal="80" workbookViewId="0">
      <selection activeCell="D5" sqref="D5:D9"/>
    </sheetView>
  </sheetViews>
  <sheetFormatPr defaultColWidth="9.09765625" defaultRowHeight="13.8" outlineLevelRow="1" x14ac:dyDescent="0.25"/>
  <cols>
    <col min="1" max="1" width="14.296875" customWidth="1"/>
    <col min="2" max="2" width="41.09765625" style="2" customWidth="1"/>
    <col min="3" max="3" width="18.59765625" customWidth="1"/>
    <col min="4" max="4" width="108.59765625" customWidth="1"/>
    <col min="5" max="8" width="11.19921875" customWidth="1"/>
  </cols>
  <sheetData>
    <row r="1" spans="1:16" ht="50.1" customHeight="1" outlineLevel="1" x14ac:dyDescent="0.25">
      <c r="B1" s="7"/>
    </row>
    <row r="2" spans="1:16" ht="17.25" customHeight="1" outlineLevel="1" x14ac:dyDescent="0.25">
      <c r="B2"/>
      <c r="C2" s="1" t="s">
        <v>21</v>
      </c>
    </row>
    <row r="3" spans="1:16" ht="17.25" customHeight="1" outlineLevel="1" x14ac:dyDescent="0.25">
      <c r="A3" s="65" t="s">
        <v>7</v>
      </c>
      <c r="B3" s="63" t="s">
        <v>22</v>
      </c>
    </row>
    <row r="4" spans="1:16" s="9" customFormat="1" x14ac:dyDescent="0.25">
      <c r="A4" s="76" t="s">
        <v>23</v>
      </c>
      <c r="B4" s="76" t="s">
        <v>24</v>
      </c>
      <c r="C4" s="76" t="s">
        <v>25</v>
      </c>
      <c r="D4" s="76" t="s">
        <v>26</v>
      </c>
    </row>
    <row r="5" spans="1:16" ht="15.75" customHeight="1" x14ac:dyDescent="0.25">
      <c r="A5" s="61" t="s">
        <v>13</v>
      </c>
      <c r="B5" t="str">
        <f>EditableIndexes!D5</f>
        <v>DLC</v>
      </c>
      <c r="C5" s="125">
        <v>35</v>
      </c>
      <c r="D5" s="407" t="s">
        <v>27</v>
      </c>
      <c r="E5" s="13"/>
      <c r="F5" s="13"/>
      <c r="G5" s="13"/>
      <c r="H5" s="13"/>
    </row>
    <row r="6" spans="1:16" ht="15.75" customHeight="1" x14ac:dyDescent="0.25">
      <c r="A6" s="61" t="s">
        <v>13</v>
      </c>
      <c r="B6" t="str">
        <f>EditableIndexes!D6</f>
        <v>C&amp;I Curtailment</v>
      </c>
      <c r="C6" s="125">
        <v>35</v>
      </c>
      <c r="D6" s="408"/>
      <c r="E6" s="13"/>
      <c r="F6" s="13"/>
      <c r="H6" s="12"/>
      <c r="I6" s="12"/>
    </row>
    <row r="7" spans="1:16" ht="15.75" customHeight="1" x14ac:dyDescent="0.25">
      <c r="A7" s="61" t="s">
        <v>13</v>
      </c>
      <c r="B7" t="str">
        <f>EditableIndexes!D7</f>
        <v>Dynamic Pricing</v>
      </c>
      <c r="C7" s="125">
        <v>35</v>
      </c>
      <c r="D7" s="408"/>
      <c r="E7" s="13"/>
      <c r="F7" s="13"/>
      <c r="H7" s="12"/>
      <c r="I7" s="12"/>
      <c r="P7" s="11"/>
    </row>
    <row r="8" spans="1:16" ht="15.75" customHeight="1" x14ac:dyDescent="0.25">
      <c r="A8" s="61" t="s">
        <v>13</v>
      </c>
      <c r="B8" t="str">
        <f>EditableIndexes!D8</f>
        <v>BTM Battery Control</v>
      </c>
      <c r="C8" s="125">
        <v>35</v>
      </c>
      <c r="D8" s="408"/>
      <c r="E8" s="13"/>
      <c r="F8" s="13"/>
      <c r="H8" s="12"/>
      <c r="I8" s="12"/>
      <c r="P8" s="11"/>
    </row>
    <row r="9" spans="1:16" x14ac:dyDescent="0.25">
      <c r="A9" s="61" t="s">
        <v>13</v>
      </c>
      <c r="B9" t="str">
        <f>EditableIndexes!D9</f>
        <v>EV Charging Control</v>
      </c>
      <c r="C9" s="125">
        <v>35</v>
      </c>
      <c r="D9" s="408"/>
    </row>
    <row r="10" spans="1:16" x14ac:dyDescent="0.25">
      <c r="A10" s="61" t="s">
        <v>13</v>
      </c>
      <c r="B10" t="str">
        <f>EditableIndexes!D10</f>
        <v>Behavioral DR</v>
      </c>
      <c r="C10" s="125">
        <v>35</v>
      </c>
    </row>
    <row r="11" spans="1:16" x14ac:dyDescent="0.25">
      <c r="A11" s="61" t="s">
        <v>13</v>
      </c>
      <c r="B11" t="str">
        <f>EditableIndexes!D11</f>
        <v>Time-of-Use Rates (TOU)</v>
      </c>
      <c r="C11" s="125">
        <v>35</v>
      </c>
    </row>
  </sheetData>
  <autoFilter ref="B4:C8" xr:uid="{00000000-0009-0000-0000-00000D000000}"/>
  <mergeCells count="1">
    <mergeCell ref="D5:D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tabColor theme="7" tint="0.39997558519241921"/>
  </sheetPr>
  <dimension ref="A1:N30"/>
  <sheetViews>
    <sheetView workbookViewId="0">
      <selection activeCell="C30" sqref="C30"/>
    </sheetView>
  </sheetViews>
  <sheetFormatPr defaultColWidth="9.09765625" defaultRowHeight="13.8" outlineLevelRow="1" x14ac:dyDescent="0.25"/>
  <cols>
    <col min="1" max="1" width="41.09765625" style="2" customWidth="1"/>
    <col min="2" max="2" width="24.296875" customWidth="1"/>
    <col min="3" max="3" width="22.59765625" customWidth="1"/>
    <col min="4" max="6" width="11.19921875" customWidth="1"/>
  </cols>
  <sheetData>
    <row r="1" spans="1:14" ht="50.1" customHeight="1" outlineLevel="1" x14ac:dyDescent="0.25">
      <c r="A1" s="7"/>
    </row>
    <row r="2" spans="1:14" ht="17.25" customHeight="1" outlineLevel="1" x14ac:dyDescent="0.25">
      <c r="A2"/>
      <c r="B2" s="1" t="s">
        <v>28</v>
      </c>
    </row>
    <row r="3" spans="1:14" ht="17.25" customHeight="1" outlineLevel="1" x14ac:dyDescent="0.25">
      <c r="A3" s="65" t="s">
        <v>7</v>
      </c>
      <c r="B3" s="63" t="s">
        <v>29</v>
      </c>
    </row>
    <row r="4" spans="1:14" s="2" customFormat="1" x14ac:dyDescent="0.25">
      <c r="A4" s="76" t="s">
        <v>24</v>
      </c>
      <c r="B4" s="59" t="s">
        <v>0</v>
      </c>
      <c r="C4" s="59" t="s">
        <v>30</v>
      </c>
    </row>
    <row r="5" spans="1:14" x14ac:dyDescent="0.25">
      <c r="A5" t="str">
        <f>EditableIndexes!D5</f>
        <v>DLC</v>
      </c>
      <c r="B5" s="125">
        <v>10</v>
      </c>
      <c r="C5" s="125">
        <v>10</v>
      </c>
      <c r="D5" s="13"/>
      <c r="E5" s="13"/>
      <c r="F5" s="13"/>
    </row>
    <row r="6" spans="1:14" x14ac:dyDescent="0.25">
      <c r="A6" t="str">
        <f>EditableIndexes!D6</f>
        <v>C&amp;I Curtailment</v>
      </c>
      <c r="B6" s="125">
        <v>10</v>
      </c>
      <c r="C6" s="125">
        <v>10</v>
      </c>
      <c r="D6" s="13"/>
      <c r="F6" s="12"/>
      <c r="G6" s="12"/>
    </row>
    <row r="7" spans="1:14" x14ac:dyDescent="0.25">
      <c r="A7" t="str">
        <f>EditableIndexes!D7</f>
        <v>Dynamic Pricing</v>
      </c>
      <c r="B7" s="125">
        <v>20</v>
      </c>
      <c r="C7" s="125">
        <v>10</v>
      </c>
      <c r="D7" s="13"/>
      <c r="F7" s="12"/>
      <c r="G7" s="12"/>
      <c r="N7" s="11"/>
    </row>
    <row r="8" spans="1:14" x14ac:dyDescent="0.25">
      <c r="A8" t="str">
        <f>EditableIndexes!D8</f>
        <v>BTM Battery Control</v>
      </c>
      <c r="B8" s="125">
        <v>10</v>
      </c>
      <c r="C8" s="125">
        <v>10</v>
      </c>
      <c r="D8" s="13"/>
      <c r="F8" s="12"/>
      <c r="G8" s="12"/>
      <c r="N8" s="11"/>
    </row>
    <row r="9" spans="1:14" x14ac:dyDescent="0.25">
      <c r="A9" t="str">
        <f>EditableIndexes!D9</f>
        <v>EV Charging Control</v>
      </c>
      <c r="B9" s="125">
        <v>10</v>
      </c>
      <c r="C9" s="125">
        <v>10</v>
      </c>
    </row>
    <row r="10" spans="1:14" x14ac:dyDescent="0.25">
      <c r="A10" t="str">
        <f>EditableIndexes!D10</f>
        <v>Behavioral DR</v>
      </c>
      <c r="B10" s="125">
        <v>10</v>
      </c>
      <c r="C10" s="125">
        <v>10</v>
      </c>
    </row>
    <row r="11" spans="1:14" x14ac:dyDescent="0.25">
      <c r="A11" t="str">
        <f>EditableIndexes!D11</f>
        <v>Time-of-Use Rates (TOU)</v>
      </c>
      <c r="B11" s="125">
        <v>10</v>
      </c>
      <c r="C11" s="125">
        <v>10</v>
      </c>
    </row>
    <row r="28" spans="5:5" x14ac:dyDescent="0.25">
      <c r="E28" s="37"/>
    </row>
    <row r="29" spans="5:5" x14ac:dyDescent="0.25">
      <c r="E29" s="37"/>
    </row>
    <row r="30" spans="5:5" x14ac:dyDescent="0.25">
      <c r="E30" s="12"/>
    </row>
  </sheetData>
  <autoFilter ref="A4:B8" xr:uid="{00000000-0009-0000-0000-00000E000000}"/>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tabColor theme="7" tint="0.39997558519241921"/>
  </sheetPr>
  <dimension ref="A1:BS33"/>
  <sheetViews>
    <sheetView zoomScale="85" zoomScaleNormal="85" workbookViewId="0">
      <selection activeCell="E29" sqref="E29"/>
    </sheetView>
  </sheetViews>
  <sheetFormatPr defaultRowHeight="13.8" outlineLevelRow="1" x14ac:dyDescent="0.25"/>
  <cols>
    <col min="1" max="1" width="12.796875" style="8" customWidth="1"/>
    <col min="2" max="3" width="37.19921875" style="8" customWidth="1"/>
    <col min="4" max="4" width="12.69921875" customWidth="1"/>
    <col min="5" max="27" width="11.5" customWidth="1"/>
    <col min="28" max="28" width="97.09765625" customWidth="1"/>
  </cols>
  <sheetData>
    <row r="1" spans="1:71" ht="50.1" customHeight="1" outlineLevel="1" x14ac:dyDescent="0.25">
      <c r="A1" s="7"/>
      <c r="B1" s="7"/>
      <c r="C1" s="7"/>
      <c r="F1" s="58"/>
      <c r="BS1" s="56"/>
    </row>
    <row r="2" spans="1:71" ht="17.25" customHeight="1" outlineLevel="1" x14ac:dyDescent="0.25">
      <c r="A2" s="21" t="s">
        <v>7</v>
      </c>
      <c r="B2" s="5" t="s">
        <v>31</v>
      </c>
      <c r="C2" s="10"/>
      <c r="D2" s="35"/>
      <c r="E2" s="35"/>
      <c r="F2" s="35"/>
      <c r="G2" s="35"/>
      <c r="H2" s="35"/>
      <c r="I2" s="35"/>
      <c r="J2" s="35"/>
      <c r="K2" s="35"/>
      <c r="L2" s="35"/>
      <c r="M2" s="35"/>
      <c r="N2" s="35"/>
      <c r="O2" s="35"/>
      <c r="P2" s="35"/>
      <c r="Q2" s="35"/>
      <c r="R2" s="35"/>
      <c r="S2" s="30"/>
      <c r="T2" s="30"/>
      <c r="U2" s="30"/>
      <c r="V2" s="30"/>
      <c r="W2" s="30"/>
      <c r="X2" s="30"/>
      <c r="Y2" s="30"/>
      <c r="Z2" s="30"/>
      <c r="AA2" s="30"/>
      <c r="AB2" s="10"/>
      <c r="BS2" s="57"/>
    </row>
    <row r="3" spans="1:71" s="2" customFormat="1" ht="28.8" x14ac:dyDescent="0.3">
      <c r="A3" s="103" t="s">
        <v>9</v>
      </c>
      <c r="B3" s="103" t="s">
        <v>32</v>
      </c>
      <c r="C3" s="104">
        <v>2021</v>
      </c>
      <c r="D3" s="105">
        <v>2022</v>
      </c>
      <c r="E3" s="105">
        <v>2023</v>
      </c>
      <c r="F3" s="104">
        <v>2024</v>
      </c>
      <c r="G3" s="105">
        <v>2025</v>
      </c>
      <c r="H3" s="105">
        <v>2026</v>
      </c>
      <c r="I3" s="104">
        <v>2027</v>
      </c>
      <c r="J3" s="105">
        <v>2028</v>
      </c>
      <c r="K3" s="105">
        <v>2029</v>
      </c>
      <c r="L3" s="104">
        <v>2030</v>
      </c>
      <c r="M3" s="105">
        <v>2031</v>
      </c>
      <c r="N3" s="105">
        <v>2032</v>
      </c>
      <c r="O3" s="104">
        <v>2033</v>
      </c>
      <c r="P3" s="105">
        <v>2034</v>
      </c>
      <c r="Q3" s="105">
        <v>2035</v>
      </c>
      <c r="R3" s="104">
        <v>2036</v>
      </c>
      <c r="S3" s="105">
        <v>2037</v>
      </c>
      <c r="T3" s="105">
        <v>2038</v>
      </c>
      <c r="U3" s="104">
        <v>2039</v>
      </c>
      <c r="V3" s="105">
        <v>2040</v>
      </c>
      <c r="W3" s="105">
        <v>2041</v>
      </c>
      <c r="X3" s="104">
        <v>2042</v>
      </c>
      <c r="Y3" s="105">
        <v>2043</v>
      </c>
      <c r="Z3" s="105">
        <v>2044</v>
      </c>
      <c r="AA3" s="104">
        <v>2045</v>
      </c>
      <c r="AB3" s="106" t="s">
        <v>26</v>
      </c>
      <c r="BS3" s="57"/>
    </row>
    <row r="4" spans="1:71" s="2" customFormat="1" ht="26.55" customHeight="1" x14ac:dyDescent="0.3">
      <c r="A4" s="61" t="s">
        <v>13</v>
      </c>
      <c r="B4" s="62" t="s">
        <v>33</v>
      </c>
      <c r="C4" s="180">
        <v>43</v>
      </c>
      <c r="D4" s="181">
        <v>44</v>
      </c>
      <c r="E4" s="181">
        <v>45</v>
      </c>
      <c r="F4" s="181">
        <v>46</v>
      </c>
      <c r="G4" s="181">
        <v>47</v>
      </c>
      <c r="H4" s="181">
        <v>48</v>
      </c>
      <c r="I4" s="181">
        <v>49</v>
      </c>
      <c r="J4" s="181">
        <v>50</v>
      </c>
      <c r="K4" s="181">
        <v>51</v>
      </c>
      <c r="L4" s="181">
        <v>52</v>
      </c>
      <c r="M4" s="181">
        <v>53</v>
      </c>
      <c r="N4" s="181">
        <v>54</v>
      </c>
      <c r="O4" s="181">
        <v>55</v>
      </c>
      <c r="P4" s="181">
        <v>56</v>
      </c>
      <c r="Q4" s="181">
        <v>57</v>
      </c>
      <c r="R4" s="181">
        <v>58</v>
      </c>
      <c r="S4" s="181">
        <v>60</v>
      </c>
      <c r="T4" s="181">
        <v>61</v>
      </c>
      <c r="U4" s="181">
        <v>62</v>
      </c>
      <c r="V4" s="181">
        <v>63</v>
      </c>
      <c r="W4" s="181">
        <v>64</v>
      </c>
      <c r="X4" s="181">
        <v>66</v>
      </c>
      <c r="Y4" s="181">
        <v>67</v>
      </c>
      <c r="Z4" s="181">
        <v>68</v>
      </c>
      <c r="AA4" s="181">
        <v>70</v>
      </c>
      <c r="AB4" s="400" t="s">
        <v>34</v>
      </c>
      <c r="AD4" s="120"/>
      <c r="BS4" s="57"/>
    </row>
    <row r="5" spans="1:71" s="2" customFormat="1" ht="26.55" customHeight="1" x14ac:dyDescent="0.3">
      <c r="A5" s="61" t="s">
        <v>13</v>
      </c>
      <c r="B5" s="62" t="s">
        <v>35</v>
      </c>
      <c r="C5" s="182">
        <v>197</v>
      </c>
      <c r="D5" s="183">
        <v>197</v>
      </c>
      <c r="E5" s="183">
        <v>26</v>
      </c>
      <c r="F5" s="183">
        <v>40</v>
      </c>
      <c r="G5" s="183">
        <v>54</v>
      </c>
      <c r="H5" s="183">
        <v>67</v>
      </c>
      <c r="I5" s="183">
        <v>80</v>
      </c>
      <c r="J5" s="183">
        <v>91</v>
      </c>
      <c r="K5" s="183">
        <v>102</v>
      </c>
      <c r="L5" s="183">
        <v>112</v>
      </c>
      <c r="M5" s="183">
        <v>122</v>
      </c>
      <c r="N5" s="183">
        <v>130</v>
      </c>
      <c r="O5" s="183">
        <v>138</v>
      </c>
      <c r="P5" s="183">
        <v>145</v>
      </c>
      <c r="Q5" s="183">
        <v>152</v>
      </c>
      <c r="R5" s="183">
        <v>157</v>
      </c>
      <c r="S5" s="183">
        <v>162</v>
      </c>
      <c r="T5" s="183">
        <v>167</v>
      </c>
      <c r="U5" s="183">
        <v>170</v>
      </c>
      <c r="V5" s="183">
        <v>173</v>
      </c>
      <c r="W5" s="183">
        <v>174</v>
      </c>
      <c r="X5" s="183">
        <v>176</v>
      </c>
      <c r="Y5" s="183">
        <v>176</v>
      </c>
      <c r="Z5" s="183">
        <v>176</v>
      </c>
      <c r="AA5" s="183">
        <v>175</v>
      </c>
      <c r="AB5" s="401" t="s">
        <v>36</v>
      </c>
      <c r="AD5" s="120"/>
      <c r="BS5" s="57"/>
    </row>
    <row r="7" spans="1:71" s="55" customFormat="1" ht="14.4" x14ac:dyDescent="0.3"/>
    <row r="8" spans="1:71" s="55" customFormat="1" ht="14.4" x14ac:dyDescent="0.3"/>
    <row r="9" spans="1:71" s="55" customFormat="1" ht="14.4" x14ac:dyDescent="0.3"/>
    <row r="10" spans="1:71" s="55" customFormat="1" ht="14.4" x14ac:dyDescent="0.3"/>
    <row r="11" spans="1:71" s="55" customFormat="1" ht="14.4" x14ac:dyDescent="0.3"/>
    <row r="18" spans="3:6" x14ac:dyDescent="0.25">
      <c r="C18" s="78"/>
      <c r="D18" s="79"/>
      <c r="E18" s="79"/>
      <c r="F18" s="79"/>
    </row>
    <row r="19" spans="3:6" x14ac:dyDescent="0.25">
      <c r="C19" s="78"/>
      <c r="D19" s="79"/>
      <c r="E19" s="79"/>
      <c r="F19" s="79"/>
    </row>
    <row r="20" spans="3:6" x14ac:dyDescent="0.25">
      <c r="C20" s="78"/>
      <c r="D20" s="79"/>
      <c r="E20" s="79"/>
      <c r="F20" s="79"/>
    </row>
    <row r="21" spans="3:6" x14ac:dyDescent="0.25">
      <c r="C21" s="78"/>
      <c r="D21" s="79"/>
      <c r="E21" s="79"/>
      <c r="F21" s="79"/>
    </row>
    <row r="22" spans="3:6" x14ac:dyDescent="0.25">
      <c r="C22" s="78"/>
      <c r="D22" s="79"/>
      <c r="E22" s="79"/>
      <c r="F22" s="79"/>
    </row>
    <row r="23" spans="3:6" x14ac:dyDescent="0.25">
      <c r="C23" s="78"/>
      <c r="D23" s="79"/>
      <c r="E23" s="79"/>
      <c r="F23" s="79"/>
    </row>
    <row r="24" spans="3:6" x14ac:dyDescent="0.25">
      <c r="C24" s="78"/>
      <c r="D24" s="79"/>
      <c r="E24" s="79"/>
      <c r="F24" s="79"/>
    </row>
    <row r="25" spans="3:6" x14ac:dyDescent="0.25">
      <c r="C25" s="78"/>
      <c r="D25" s="79"/>
      <c r="E25" s="79"/>
      <c r="F25" s="79"/>
    </row>
    <row r="26" spans="3:6" x14ac:dyDescent="0.25">
      <c r="C26" s="78"/>
      <c r="D26" s="79"/>
      <c r="E26" s="79"/>
      <c r="F26" s="79"/>
    </row>
    <row r="27" spans="3:6" x14ac:dyDescent="0.25">
      <c r="C27" s="78"/>
      <c r="D27" s="79"/>
      <c r="E27" s="79"/>
      <c r="F27" s="79"/>
    </row>
    <row r="28" spans="3:6" x14ac:dyDescent="0.25">
      <c r="C28" s="78"/>
      <c r="D28" s="79"/>
      <c r="E28" s="79"/>
      <c r="F28" s="79"/>
    </row>
    <row r="29" spans="3:6" x14ac:dyDescent="0.25">
      <c r="C29" s="78"/>
      <c r="D29" s="79"/>
      <c r="E29" s="79"/>
      <c r="F29" s="79"/>
    </row>
    <row r="30" spans="3:6" x14ac:dyDescent="0.25">
      <c r="C30" s="78"/>
      <c r="D30" s="79"/>
      <c r="E30" s="79"/>
      <c r="F30" s="79"/>
    </row>
    <row r="31" spans="3:6" x14ac:dyDescent="0.25">
      <c r="C31" s="78"/>
      <c r="D31" s="79"/>
      <c r="E31" s="79"/>
      <c r="F31" s="79"/>
    </row>
    <row r="32" spans="3:6" x14ac:dyDescent="0.25">
      <c r="C32" s="78"/>
      <c r="D32" s="79"/>
      <c r="E32" s="79"/>
      <c r="F32" s="79"/>
    </row>
    <row r="33" spans="3:6" x14ac:dyDescent="0.25">
      <c r="C33" s="78"/>
      <c r="D33" s="79"/>
      <c r="E33" s="79"/>
      <c r="F33" s="79"/>
    </row>
  </sheetData>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theme="7" tint="0.39997558519241921"/>
  </sheetPr>
  <dimension ref="A1:D17"/>
  <sheetViews>
    <sheetView zoomScaleNormal="100" workbookViewId="0">
      <selection activeCell="D30" sqref="D30"/>
    </sheetView>
  </sheetViews>
  <sheetFormatPr defaultColWidth="9.09765625" defaultRowHeight="13.8" outlineLevelRow="1" x14ac:dyDescent="0.25"/>
  <cols>
    <col min="1" max="1" width="14.796875" style="2" customWidth="1"/>
    <col min="2" max="2" width="23.69921875" style="2" customWidth="1"/>
    <col min="3" max="3" width="17.69921875" customWidth="1"/>
    <col min="4" max="4" width="108.59765625" customWidth="1"/>
    <col min="5" max="5" width="11.19921875" customWidth="1"/>
    <col min="6" max="8" width="10.296875" customWidth="1"/>
  </cols>
  <sheetData>
    <row r="1" spans="1:4" ht="57" customHeight="1" outlineLevel="1" x14ac:dyDescent="0.25">
      <c r="A1" s="7"/>
      <c r="B1" s="7"/>
    </row>
    <row r="2" spans="1:4" ht="17.25" customHeight="1" outlineLevel="1" x14ac:dyDescent="0.25">
      <c r="A2" s="65" t="s">
        <v>7</v>
      </c>
      <c r="B2" s="63" t="s">
        <v>8</v>
      </c>
    </row>
    <row r="3" spans="1:4" s="2" customFormat="1" ht="28.8" x14ac:dyDescent="0.3">
      <c r="A3" s="59" t="s">
        <v>37</v>
      </c>
      <c r="B3" s="59" t="s">
        <v>38</v>
      </c>
      <c r="C3" s="126" t="s">
        <v>39</v>
      </c>
      <c r="D3" s="59" t="s">
        <v>26</v>
      </c>
    </row>
    <row r="4" spans="1:4" x14ac:dyDescent="0.25">
      <c r="A4" s="68" t="s">
        <v>20</v>
      </c>
      <c r="B4" s="68" t="s">
        <v>40</v>
      </c>
      <c r="C4" s="188">
        <v>5.7200000000000001E-2</v>
      </c>
      <c r="D4" s="157" t="s">
        <v>471</v>
      </c>
    </row>
    <row r="5" spans="1:4" x14ac:dyDescent="0.25">
      <c r="A5" s="68" t="s">
        <v>20</v>
      </c>
      <c r="B5" s="68" t="s">
        <v>41</v>
      </c>
      <c r="C5" s="188">
        <v>5.7200000000000001E-2</v>
      </c>
      <c r="D5" s="157" t="s">
        <v>471</v>
      </c>
    </row>
    <row r="6" spans="1:4" x14ac:dyDescent="0.25">
      <c r="A6" s="68" t="s">
        <v>20</v>
      </c>
      <c r="B6" s="68" t="s">
        <v>42</v>
      </c>
      <c r="C6" s="188">
        <v>5.7200000000000001E-2</v>
      </c>
      <c r="D6" s="157" t="s">
        <v>471</v>
      </c>
    </row>
    <row r="7" spans="1:4" x14ac:dyDescent="0.25">
      <c r="A7" s="68" t="s">
        <v>20</v>
      </c>
      <c r="B7" s="68" t="s">
        <v>43</v>
      </c>
      <c r="C7" s="188">
        <v>5.7200000000000001E-2</v>
      </c>
      <c r="D7" s="157" t="s">
        <v>471</v>
      </c>
    </row>
    <row r="8" spans="1:4" x14ac:dyDescent="0.25">
      <c r="A8" s="68" t="s">
        <v>20</v>
      </c>
      <c r="B8" s="68" t="s">
        <v>44</v>
      </c>
      <c r="C8" s="188">
        <v>5.7200000000000001E-2</v>
      </c>
      <c r="D8" s="157" t="s">
        <v>471</v>
      </c>
    </row>
    <row r="9" spans="1:4" x14ac:dyDescent="0.25">
      <c r="A9" s="68" t="s">
        <v>20</v>
      </c>
      <c r="B9" s="68" t="s">
        <v>45</v>
      </c>
      <c r="C9" s="189">
        <v>0.12790000000000001</v>
      </c>
      <c r="D9" s="157" t="s">
        <v>471</v>
      </c>
    </row>
    <row r="10" spans="1:4" x14ac:dyDescent="0.25">
      <c r="A10" s="68" t="s">
        <v>20</v>
      </c>
      <c r="B10" s="68" t="s">
        <v>46</v>
      </c>
      <c r="C10" s="189">
        <v>0.12790000000000001</v>
      </c>
      <c r="D10" s="157" t="s">
        <v>471</v>
      </c>
    </row>
    <row r="11" spans="1:4" x14ac:dyDescent="0.25">
      <c r="A11" s="102"/>
      <c r="B11" s="102"/>
      <c r="C11" s="102"/>
      <c r="D11" s="102"/>
    </row>
    <row r="12" spans="1:4" x14ac:dyDescent="0.25">
      <c r="A12" s="102"/>
      <c r="B12" s="102"/>
      <c r="C12" s="102"/>
      <c r="D12" s="102"/>
    </row>
    <row r="13" spans="1:4" x14ac:dyDescent="0.25">
      <c r="A13" s="102"/>
      <c r="B13" s="102"/>
      <c r="C13" s="102"/>
      <c r="D13" s="102"/>
    </row>
    <row r="14" spans="1:4" x14ac:dyDescent="0.25">
      <c r="A14" s="102"/>
      <c r="B14" s="102"/>
      <c r="C14" s="102"/>
      <c r="D14" s="102"/>
    </row>
    <row r="15" spans="1:4" x14ac:dyDescent="0.25">
      <c r="A15" s="102"/>
      <c r="B15" s="102"/>
      <c r="C15" s="102"/>
      <c r="D15" s="102"/>
    </row>
    <row r="16" spans="1:4" x14ac:dyDescent="0.25">
      <c r="A16" s="102"/>
      <c r="B16" s="102"/>
      <c r="C16" s="102"/>
      <c r="D16" s="102"/>
    </row>
    <row r="17" spans="1:4" x14ac:dyDescent="0.25">
      <c r="A17" s="102"/>
      <c r="B17" s="102"/>
      <c r="C17" s="102"/>
      <c r="D17" s="102"/>
    </row>
  </sheetData>
  <dataValidations count="1">
    <dataValidation type="list" allowBlank="1" showInputMessage="1" showErrorMessage="1" sqref="B4:B9" xr:uid="{00000000-0002-0000-0400-000000000000}">
      <formula1>CustomerClasses</formula1>
    </dataValidation>
  </dataValidation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tabColor theme="7" tint="0.39997558519241921"/>
  </sheetPr>
  <dimension ref="A1:D17"/>
  <sheetViews>
    <sheetView zoomScale="70" zoomScaleNormal="70" workbookViewId="0">
      <selection activeCell="C24" sqref="C24"/>
    </sheetView>
  </sheetViews>
  <sheetFormatPr defaultColWidth="9.09765625" defaultRowHeight="13.8" outlineLevelRow="1" x14ac:dyDescent="0.25"/>
  <cols>
    <col min="1" max="1" width="13.19921875" customWidth="1"/>
    <col min="2" max="2" width="34.296875" style="8" customWidth="1"/>
    <col min="3" max="3" width="24.5" customWidth="1"/>
    <col min="4" max="4" width="117.59765625" customWidth="1"/>
    <col min="5" max="5" width="11.19921875" customWidth="1"/>
    <col min="6" max="8" width="10.296875" customWidth="1"/>
  </cols>
  <sheetData>
    <row r="1" spans="1:4" ht="50.1" customHeight="1" outlineLevel="1" x14ac:dyDescent="0.25">
      <c r="B1" s="7"/>
    </row>
    <row r="2" spans="1:4" ht="17.25" customHeight="1" outlineLevel="1" x14ac:dyDescent="0.25">
      <c r="A2" s="66" t="s">
        <v>7</v>
      </c>
      <c r="B2" s="63" t="s">
        <v>47</v>
      </c>
    </row>
    <row r="3" spans="1:4" s="9" customFormat="1" ht="41.25" customHeight="1" x14ac:dyDescent="0.25">
      <c r="A3" s="402" t="s">
        <v>23</v>
      </c>
      <c r="B3" s="402" t="s">
        <v>568</v>
      </c>
      <c r="C3" s="76" t="s">
        <v>49</v>
      </c>
      <c r="D3" s="76" t="s">
        <v>26</v>
      </c>
    </row>
    <row r="4" spans="1:4" s="2" customFormat="1" ht="83.25" customHeight="1" x14ac:dyDescent="0.25">
      <c r="A4" s="72" t="s">
        <v>13</v>
      </c>
      <c r="B4" s="72" t="s">
        <v>50</v>
      </c>
      <c r="C4" s="75">
        <f>'Program Dev Costs_assumptions'!C11</f>
        <v>565600</v>
      </c>
      <c r="D4" s="409" t="s">
        <v>51</v>
      </c>
    </row>
    <row r="5" spans="1:4" s="2" customFormat="1" ht="66" customHeight="1" x14ac:dyDescent="0.25">
      <c r="A5" s="72" t="s">
        <v>13</v>
      </c>
      <c r="B5" s="72" t="s">
        <v>52</v>
      </c>
      <c r="C5" s="75">
        <f>'Program Dev Costs_assumptions'!C12</f>
        <v>484800</v>
      </c>
      <c r="D5" s="410"/>
    </row>
    <row r="6" spans="1:4" s="2" customFormat="1" ht="75" customHeight="1" x14ac:dyDescent="0.25">
      <c r="A6" s="72" t="s">
        <v>13</v>
      </c>
      <c r="B6" s="72" t="s">
        <v>53</v>
      </c>
      <c r="C6" s="75">
        <f>'Program Dev Costs_assumptions'!C13</f>
        <v>60600</v>
      </c>
      <c r="D6" s="410"/>
    </row>
    <row r="7" spans="1:4" s="2" customFormat="1" ht="33.75" customHeight="1" x14ac:dyDescent="0.25">
      <c r="A7" s="72" t="s">
        <v>13</v>
      </c>
      <c r="B7" s="72" t="s">
        <v>54</v>
      </c>
      <c r="C7" s="75">
        <f>'Program Dev Costs_assumptions'!C14</f>
        <v>151500</v>
      </c>
      <c r="D7" s="410"/>
    </row>
    <row r="8" spans="1:4" s="2" customFormat="1" ht="33.75" customHeight="1" x14ac:dyDescent="0.25">
      <c r="A8" s="72" t="s">
        <v>13</v>
      </c>
      <c r="B8" s="72" t="s">
        <v>55</v>
      </c>
      <c r="C8" s="75">
        <f>'Program Dev Costs_assumptions'!C15</f>
        <v>151500</v>
      </c>
      <c r="D8" s="410"/>
    </row>
    <row r="9" spans="1:4" s="2" customFormat="1" ht="33.75" customHeight="1" x14ac:dyDescent="0.25">
      <c r="A9" s="72" t="s">
        <v>13</v>
      </c>
      <c r="B9" s="72" t="s">
        <v>56</v>
      </c>
      <c r="C9" s="75">
        <f>'Program Dev Costs_assumptions'!C16</f>
        <v>0</v>
      </c>
      <c r="D9" s="410"/>
    </row>
    <row r="10" spans="1:4" s="2" customFormat="1" ht="29.55" customHeight="1" x14ac:dyDescent="0.25">
      <c r="A10" s="72" t="s">
        <v>20</v>
      </c>
      <c r="B10" s="72" t="s">
        <v>50</v>
      </c>
      <c r="C10" s="75">
        <f>'Program Dev Costs_assumptions'!C17</f>
        <v>157399.99999999997</v>
      </c>
      <c r="D10" s="410"/>
    </row>
    <row r="11" spans="1:4" s="2" customFormat="1" ht="15" customHeight="1" x14ac:dyDescent="0.25">
      <c r="A11" s="72" t="s">
        <v>20</v>
      </c>
      <c r="B11" s="72" t="s">
        <v>52</v>
      </c>
      <c r="C11" s="75">
        <f>'Program Dev Costs_assumptions'!C18</f>
        <v>131199.99999999997</v>
      </c>
      <c r="D11" s="410"/>
    </row>
    <row r="12" spans="1:4" s="2" customFormat="1" ht="14.55" customHeight="1" x14ac:dyDescent="0.25">
      <c r="A12" s="72" t="s">
        <v>20</v>
      </c>
      <c r="B12" s="72" t="s">
        <v>53</v>
      </c>
      <c r="C12" s="75">
        <f>'Program Dev Costs_assumptions'!C19</f>
        <v>252400</v>
      </c>
      <c r="D12" s="410"/>
    </row>
    <row r="13" spans="1:4" s="2" customFormat="1" ht="15.6" customHeight="1" x14ac:dyDescent="0.25">
      <c r="A13" s="72" t="s">
        <v>20</v>
      </c>
      <c r="B13" s="72" t="s">
        <v>54</v>
      </c>
      <c r="C13" s="75">
        <f>'Program Dev Costs_assumptions'!C20</f>
        <v>56500</v>
      </c>
      <c r="D13" s="410"/>
    </row>
    <row r="14" spans="1:4" s="2" customFormat="1" ht="15" customHeight="1" x14ac:dyDescent="0.25">
      <c r="A14" s="72" t="s">
        <v>20</v>
      </c>
      <c r="B14" s="72" t="s">
        <v>55</v>
      </c>
      <c r="C14" s="75">
        <f>'Program Dev Costs_assumptions'!C21</f>
        <v>56500</v>
      </c>
      <c r="D14" s="410"/>
    </row>
    <row r="15" spans="1:4" s="2" customFormat="1" ht="25.5" customHeight="1" x14ac:dyDescent="0.25">
      <c r="A15" s="72" t="s">
        <v>20</v>
      </c>
      <c r="B15" s="72" t="s">
        <v>56</v>
      </c>
      <c r="C15" s="75">
        <f>'Program Dev Costs_assumptions'!C22</f>
        <v>0</v>
      </c>
      <c r="D15" s="410"/>
    </row>
    <row r="16" spans="1:4" x14ac:dyDescent="0.25">
      <c r="A16" s="72" t="s">
        <v>13</v>
      </c>
      <c r="B16" s="77" t="s">
        <v>57</v>
      </c>
      <c r="C16" s="75">
        <f>'Program Dev Costs_assumptions'!C23</f>
        <v>37875</v>
      </c>
      <c r="D16" s="411"/>
    </row>
    <row r="17" spans="1:4" x14ac:dyDescent="0.25">
      <c r="A17" s="291" t="s">
        <v>20</v>
      </c>
      <c r="B17" s="403" t="s">
        <v>57</v>
      </c>
      <c r="C17" s="191">
        <f>'Program Dev Costs_assumptions'!C24</f>
        <v>12625</v>
      </c>
      <c r="D17" s="411"/>
    </row>
  </sheetData>
  <mergeCells count="1">
    <mergeCell ref="D4:D17"/>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C80EF-01CE-4AC6-B043-06E60DC17C66}">
  <sheetPr>
    <tabColor theme="7" tint="0.59999389629810485"/>
  </sheetPr>
  <dimension ref="A1:J24"/>
  <sheetViews>
    <sheetView zoomScale="60" zoomScaleNormal="60" workbookViewId="0">
      <selection activeCell="B36" sqref="B36"/>
    </sheetView>
  </sheetViews>
  <sheetFormatPr defaultColWidth="9.09765625" defaultRowHeight="13.8" outlineLevelRow="1" x14ac:dyDescent="0.25"/>
  <cols>
    <col min="1" max="1" width="13.19921875" customWidth="1"/>
    <col min="2" max="2" width="34.296875" style="8" customWidth="1"/>
    <col min="3" max="3" width="24.5" customWidth="1"/>
    <col min="4" max="4" width="10.796875" customWidth="1"/>
    <col min="5" max="5" width="11.796875" customWidth="1"/>
    <col min="6" max="6" width="15.09765625" customWidth="1"/>
    <col min="7" max="7" width="16.796875" customWidth="1"/>
    <col min="8" max="9" width="17.59765625" customWidth="1"/>
    <col min="10" max="10" width="117.296875" customWidth="1"/>
    <col min="11" max="11" width="11.19921875" customWidth="1"/>
    <col min="12" max="14" width="10.296875" customWidth="1"/>
  </cols>
  <sheetData>
    <row r="1" spans="1:10" ht="50.1" customHeight="1" outlineLevel="1" x14ac:dyDescent="0.25">
      <c r="B1" s="7"/>
    </row>
    <row r="2" spans="1:10" ht="17.25" customHeight="1" outlineLevel="1" x14ac:dyDescent="0.25">
      <c r="A2" s="66" t="s">
        <v>7</v>
      </c>
      <c r="B2" s="63" t="s">
        <v>47</v>
      </c>
    </row>
    <row r="3" spans="1:10" s="9" customFormat="1" ht="41.25" customHeight="1" x14ac:dyDescent="0.25">
      <c r="A3" s="148" t="s">
        <v>23</v>
      </c>
      <c r="B3" s="148" t="s">
        <v>48</v>
      </c>
      <c r="C3" s="148" t="s">
        <v>49</v>
      </c>
      <c r="D3" s="148" t="s">
        <v>58</v>
      </c>
      <c r="E3" s="148" t="s">
        <v>59</v>
      </c>
      <c r="F3" s="148" t="s">
        <v>60</v>
      </c>
      <c r="G3" s="148" t="s">
        <v>61</v>
      </c>
      <c r="H3" s="148" t="s">
        <v>62</v>
      </c>
      <c r="I3" s="148" t="s">
        <v>63</v>
      </c>
      <c r="J3" s="148" t="s">
        <v>26</v>
      </c>
    </row>
    <row r="4" spans="1:10" s="2" customFormat="1" ht="75.75" customHeight="1" x14ac:dyDescent="0.25">
      <c r="A4" s="154" t="s">
        <v>2</v>
      </c>
      <c r="B4" s="190" t="s">
        <v>50</v>
      </c>
      <c r="C4" s="191"/>
      <c r="D4" s="191">
        <f>202000*3.5</f>
        <v>707000</v>
      </c>
      <c r="E4" s="192">
        <v>0.8</v>
      </c>
      <c r="F4" s="192">
        <f>1-E4</f>
        <v>0.19999999999999996</v>
      </c>
      <c r="G4" s="191">
        <f>10000+6000</f>
        <v>16000</v>
      </c>
      <c r="H4" s="192">
        <v>0</v>
      </c>
      <c r="I4" s="192">
        <v>1</v>
      </c>
      <c r="J4" s="193" t="s">
        <v>517</v>
      </c>
    </row>
    <row r="5" spans="1:10" s="2" customFormat="1" ht="57" customHeight="1" x14ac:dyDescent="0.25">
      <c r="A5" s="154" t="s">
        <v>2</v>
      </c>
      <c r="B5" s="190" t="s">
        <v>52</v>
      </c>
      <c r="C5" s="191"/>
      <c r="D5" s="191">
        <f>202000*3</f>
        <v>606000</v>
      </c>
      <c r="E5" s="192">
        <v>0.8</v>
      </c>
      <c r="F5" s="192">
        <f t="shared" ref="F5:F8" si="0">1-E5</f>
        <v>0.19999999999999996</v>
      </c>
      <c r="G5" s="191">
        <v>10000</v>
      </c>
      <c r="H5" s="192">
        <v>0</v>
      </c>
      <c r="I5" s="192">
        <v>1</v>
      </c>
      <c r="J5" s="193" t="s">
        <v>518</v>
      </c>
    </row>
    <row r="6" spans="1:10" s="2" customFormat="1" ht="56.25" customHeight="1" x14ac:dyDescent="0.25">
      <c r="A6" s="154" t="s">
        <v>2</v>
      </c>
      <c r="B6" s="190" t="s">
        <v>53</v>
      </c>
      <c r="C6" s="191"/>
      <c r="D6" s="191">
        <f>1.5*202000</f>
        <v>303000</v>
      </c>
      <c r="E6" s="192">
        <v>0.2</v>
      </c>
      <c r="F6" s="192">
        <f t="shared" si="0"/>
        <v>0.8</v>
      </c>
      <c r="G6" s="191">
        <v>10000</v>
      </c>
      <c r="H6" s="192">
        <v>0</v>
      </c>
      <c r="I6" s="192">
        <v>1</v>
      </c>
      <c r="J6" s="193" t="s">
        <v>64</v>
      </c>
    </row>
    <row r="7" spans="1:10" s="2" customFormat="1" ht="45.75" customHeight="1" x14ac:dyDescent="0.25">
      <c r="A7" s="154" t="s">
        <v>2</v>
      </c>
      <c r="B7" s="190" t="s">
        <v>54</v>
      </c>
      <c r="C7" s="191"/>
      <c r="D7" s="191">
        <v>202000</v>
      </c>
      <c r="E7" s="192">
        <v>0.75</v>
      </c>
      <c r="F7" s="192">
        <f t="shared" si="0"/>
        <v>0.25</v>
      </c>
      <c r="G7" s="191">
        <v>6000</v>
      </c>
      <c r="H7" s="192">
        <v>0</v>
      </c>
      <c r="I7" s="192">
        <v>1</v>
      </c>
      <c r="J7" s="193" t="s">
        <v>65</v>
      </c>
    </row>
    <row r="8" spans="1:10" s="2" customFormat="1" ht="38.25" customHeight="1" x14ac:dyDescent="0.25">
      <c r="A8" s="154" t="s">
        <v>2</v>
      </c>
      <c r="B8" s="190" t="s">
        <v>55</v>
      </c>
      <c r="C8" s="191"/>
      <c r="D8" s="191">
        <v>202000</v>
      </c>
      <c r="E8" s="192">
        <v>0.75</v>
      </c>
      <c r="F8" s="192">
        <f t="shared" si="0"/>
        <v>0.25</v>
      </c>
      <c r="G8" s="191">
        <v>6000</v>
      </c>
      <c r="H8" s="192">
        <v>0</v>
      </c>
      <c r="I8" s="192">
        <v>1</v>
      </c>
      <c r="J8" s="193" t="s">
        <v>65</v>
      </c>
    </row>
    <row r="9" spans="1:10" s="2" customFormat="1" ht="25.5" customHeight="1" x14ac:dyDescent="0.25">
      <c r="A9" s="154" t="s">
        <v>2</v>
      </c>
      <c r="B9" s="190" t="s">
        <v>56</v>
      </c>
      <c r="C9" s="194">
        <v>0</v>
      </c>
      <c r="D9" s="194"/>
      <c r="E9" s="194"/>
      <c r="F9" s="194"/>
      <c r="G9" s="194"/>
      <c r="H9" s="194"/>
      <c r="I9" s="194"/>
      <c r="J9" s="193" t="s">
        <v>66</v>
      </c>
    </row>
    <row r="10" spans="1:10" s="2" customFormat="1" ht="25.5" customHeight="1" x14ac:dyDescent="0.25">
      <c r="A10" s="154" t="s">
        <v>2</v>
      </c>
      <c r="B10" s="153" t="s">
        <v>57</v>
      </c>
      <c r="C10" s="194"/>
      <c r="D10" s="191">
        <f>0.25*202000</f>
        <v>50500</v>
      </c>
      <c r="E10" s="192">
        <v>0.75</v>
      </c>
      <c r="F10" s="192">
        <f>1-E10</f>
        <v>0.25</v>
      </c>
      <c r="G10" s="194"/>
      <c r="H10" s="194"/>
      <c r="I10" s="194"/>
      <c r="J10" s="195"/>
    </row>
    <row r="11" spans="1:10" x14ac:dyDescent="0.25">
      <c r="A11" s="154" t="s">
        <v>13</v>
      </c>
      <c r="B11" s="190" t="s">
        <v>50</v>
      </c>
      <c r="C11" s="191">
        <f>(D4*E4)+(G4*H4)</f>
        <v>565600</v>
      </c>
      <c r="D11" s="191"/>
      <c r="E11" s="192"/>
      <c r="F11" s="192"/>
      <c r="G11" s="191"/>
      <c r="H11" s="192"/>
      <c r="I11" s="192"/>
      <c r="J11" s="139"/>
    </row>
    <row r="12" spans="1:10" x14ac:dyDescent="0.25">
      <c r="A12" s="154" t="s">
        <v>13</v>
      </c>
      <c r="B12" s="190" t="s">
        <v>52</v>
      </c>
      <c r="C12" s="191">
        <f t="shared" ref="C12:C16" si="1">(D5*E5)+(G5*H5)</f>
        <v>484800</v>
      </c>
      <c r="D12" s="191"/>
      <c r="E12" s="192"/>
      <c r="F12" s="192"/>
      <c r="G12" s="191"/>
      <c r="H12" s="192"/>
      <c r="I12" s="192"/>
      <c r="J12" s="139"/>
    </row>
    <row r="13" spans="1:10" x14ac:dyDescent="0.25">
      <c r="A13" s="154" t="s">
        <v>13</v>
      </c>
      <c r="B13" s="190" t="s">
        <v>53</v>
      </c>
      <c r="C13" s="191">
        <f t="shared" si="1"/>
        <v>60600</v>
      </c>
      <c r="D13" s="191"/>
      <c r="E13" s="191"/>
      <c r="F13" s="191"/>
      <c r="G13" s="191"/>
      <c r="H13" s="191"/>
      <c r="I13" s="191"/>
      <c r="J13" s="139"/>
    </row>
    <row r="14" spans="1:10" x14ac:dyDescent="0.25">
      <c r="A14" s="154" t="s">
        <v>13</v>
      </c>
      <c r="B14" s="190" t="s">
        <v>54</v>
      </c>
      <c r="C14" s="191">
        <f t="shared" si="1"/>
        <v>151500</v>
      </c>
      <c r="D14" s="191"/>
      <c r="E14" s="191"/>
      <c r="F14" s="191"/>
      <c r="G14" s="191"/>
      <c r="H14" s="191"/>
      <c r="I14" s="191"/>
      <c r="J14" s="139"/>
    </row>
    <row r="15" spans="1:10" x14ac:dyDescent="0.25">
      <c r="A15" s="154" t="s">
        <v>13</v>
      </c>
      <c r="B15" s="190" t="s">
        <v>55</v>
      </c>
      <c r="C15" s="191">
        <f t="shared" si="1"/>
        <v>151500</v>
      </c>
      <c r="D15" s="191"/>
      <c r="E15" s="191"/>
      <c r="F15" s="191"/>
      <c r="G15" s="191"/>
      <c r="H15" s="191"/>
      <c r="I15" s="191"/>
      <c r="J15" s="139"/>
    </row>
    <row r="16" spans="1:10" x14ac:dyDescent="0.25">
      <c r="A16" s="154" t="s">
        <v>13</v>
      </c>
      <c r="B16" s="190" t="s">
        <v>56</v>
      </c>
      <c r="C16" s="191">
        <f t="shared" si="1"/>
        <v>0</v>
      </c>
      <c r="D16" s="194"/>
      <c r="E16" s="194"/>
      <c r="F16" s="194"/>
      <c r="G16" s="194"/>
      <c r="H16" s="194"/>
      <c r="I16" s="194"/>
      <c r="J16" s="139"/>
    </row>
    <row r="17" spans="1:10" x14ac:dyDescent="0.25">
      <c r="A17" s="154" t="s">
        <v>20</v>
      </c>
      <c r="B17" s="190" t="s">
        <v>50</v>
      </c>
      <c r="C17" s="191">
        <f>(D4*F4)+(G4*I4)</f>
        <v>157399.99999999997</v>
      </c>
      <c r="D17" s="191"/>
      <c r="E17" s="192"/>
      <c r="F17" s="192"/>
      <c r="G17" s="191"/>
      <c r="H17" s="192"/>
      <c r="I17" s="192"/>
      <c r="J17" s="139"/>
    </row>
    <row r="18" spans="1:10" x14ac:dyDescent="0.25">
      <c r="A18" s="154" t="s">
        <v>20</v>
      </c>
      <c r="B18" s="190" t="s">
        <v>52</v>
      </c>
      <c r="C18" s="191">
        <f t="shared" ref="C18:C22" si="2">(D5*F5)+(G5*I5)</f>
        <v>131199.99999999997</v>
      </c>
      <c r="D18" s="191"/>
      <c r="E18" s="192"/>
      <c r="F18" s="192"/>
      <c r="G18" s="191"/>
      <c r="H18" s="192"/>
      <c r="I18" s="192"/>
      <c r="J18" s="139"/>
    </row>
    <row r="19" spans="1:10" x14ac:dyDescent="0.25">
      <c r="A19" s="154" t="s">
        <v>20</v>
      </c>
      <c r="B19" s="190" t="s">
        <v>53</v>
      </c>
      <c r="C19" s="191">
        <f t="shared" si="2"/>
        <v>252400</v>
      </c>
      <c r="D19" s="191"/>
      <c r="E19" s="191"/>
      <c r="F19" s="191"/>
      <c r="G19" s="191"/>
      <c r="H19" s="191"/>
      <c r="I19" s="191"/>
      <c r="J19" s="139"/>
    </row>
    <row r="20" spans="1:10" x14ac:dyDescent="0.25">
      <c r="A20" s="154" t="s">
        <v>20</v>
      </c>
      <c r="B20" s="190" t="s">
        <v>54</v>
      </c>
      <c r="C20" s="191">
        <f t="shared" si="2"/>
        <v>56500</v>
      </c>
      <c r="D20" s="191"/>
      <c r="E20" s="191"/>
      <c r="F20" s="191"/>
      <c r="G20" s="191"/>
      <c r="H20" s="191"/>
      <c r="I20" s="191"/>
      <c r="J20" s="139"/>
    </row>
    <row r="21" spans="1:10" x14ac:dyDescent="0.25">
      <c r="A21" s="154" t="s">
        <v>20</v>
      </c>
      <c r="B21" s="190" t="s">
        <v>55</v>
      </c>
      <c r="C21" s="191">
        <f t="shared" si="2"/>
        <v>56500</v>
      </c>
      <c r="D21" s="191"/>
      <c r="E21" s="191"/>
      <c r="F21" s="191"/>
      <c r="G21" s="191"/>
      <c r="H21" s="191"/>
      <c r="I21" s="191"/>
      <c r="J21" s="139"/>
    </row>
    <row r="22" spans="1:10" x14ac:dyDescent="0.25">
      <c r="A22" s="154" t="s">
        <v>20</v>
      </c>
      <c r="B22" s="190" t="s">
        <v>56</v>
      </c>
      <c r="C22" s="191">
        <f t="shared" si="2"/>
        <v>0</v>
      </c>
      <c r="D22" s="194"/>
      <c r="E22" s="194"/>
      <c r="F22" s="194"/>
      <c r="G22" s="194"/>
      <c r="H22" s="194"/>
      <c r="I22" s="194"/>
      <c r="J22" s="139"/>
    </row>
    <row r="23" spans="1:10" x14ac:dyDescent="0.25">
      <c r="A23" s="196" t="s">
        <v>13</v>
      </c>
      <c r="B23" s="153" t="s">
        <v>57</v>
      </c>
      <c r="C23" s="197">
        <f>D10*E10</f>
        <v>37875</v>
      </c>
      <c r="D23" s="198"/>
      <c r="E23" s="198"/>
      <c r="F23" s="198"/>
      <c r="G23" s="198"/>
      <c r="H23" s="198"/>
      <c r="I23" s="198"/>
      <c r="J23" s="139"/>
    </row>
    <row r="24" spans="1:10" x14ac:dyDescent="0.25">
      <c r="A24" s="196" t="s">
        <v>20</v>
      </c>
      <c r="B24" s="153" t="s">
        <v>57</v>
      </c>
      <c r="C24" s="197">
        <f>D10*F10</f>
        <v>12625</v>
      </c>
      <c r="D24" s="198"/>
      <c r="E24" s="198"/>
      <c r="F24" s="198"/>
      <c r="G24" s="198"/>
      <c r="H24" s="198"/>
      <c r="I24" s="198"/>
      <c r="J24" s="139"/>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38</vt:i4>
      </vt:variant>
    </vt:vector>
  </HeadingPairs>
  <TitlesOfParts>
    <vt:vector size="38" baseType="lpstr">
      <vt:lpstr>Cost Assumptions&gt;&gt;&gt;</vt:lpstr>
      <vt:lpstr>USD to CAD</vt:lpstr>
      <vt:lpstr>Global Parameters</vt:lpstr>
      <vt:lpstr>Annual Event Hours</vt:lpstr>
      <vt:lpstr>Program Life</vt:lpstr>
      <vt:lpstr>Avoided Costs</vt:lpstr>
      <vt:lpstr>Line Losses</vt:lpstr>
      <vt:lpstr>Program Development Costs</vt:lpstr>
      <vt:lpstr>Program Dev Costs_assumptions</vt:lpstr>
      <vt:lpstr>Program Admin Costs</vt:lpstr>
      <vt:lpstr>Program Admin Costs_assumptions</vt:lpstr>
      <vt:lpstr>Marketing &amp; Recruitment Costs</vt:lpstr>
      <vt:lpstr>Mkting &amp; Recruit Costs_assump</vt:lpstr>
      <vt:lpstr>Tech Enablement Costs</vt:lpstr>
      <vt:lpstr>Tech Enablement Backup 1.5</vt:lpstr>
      <vt:lpstr>Tech Enablement Backup 2</vt:lpstr>
      <vt:lpstr>Incentives</vt:lpstr>
      <vt:lpstr>Program Delivery Cost</vt:lpstr>
      <vt:lpstr>O&amp;M Costs</vt:lpstr>
      <vt:lpstr>Cost Test Matrix</vt:lpstr>
      <vt:lpstr>Participation Assumptions&gt;&gt;&gt;</vt:lpstr>
      <vt:lpstr>Participation Assumptions</vt:lpstr>
      <vt:lpstr>Control Strategy Eligibility</vt:lpstr>
      <vt:lpstr>ProCESS CSE</vt:lpstr>
      <vt:lpstr>Participation Ramp Factor</vt:lpstr>
      <vt:lpstr>Attrition</vt:lpstr>
      <vt:lpstr>Peak Demand Forecast &gt;&gt;&gt;</vt:lpstr>
      <vt:lpstr>Winter Peak Load</vt:lpstr>
      <vt:lpstr>Customer Count Projections  &gt;&gt;&gt;</vt:lpstr>
      <vt:lpstr>Customer Count</vt:lpstr>
      <vt:lpstr>Unit Impacts &gt;&gt;&gt;</vt:lpstr>
      <vt:lpstr>Unit Impact by End Use</vt:lpstr>
      <vt:lpstr>Opt Out Factor</vt:lpstr>
      <vt:lpstr>End Use Saturation &gt;&gt;&gt;</vt:lpstr>
      <vt:lpstr>End Use Saturation</vt:lpstr>
      <vt:lpstr>Battery Load Forecasts</vt:lpstr>
      <vt:lpstr>Battery Saturation &amp; Unit Load</vt:lpstr>
      <vt:lpstr>EditableIndexes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2022-04-28T23:04:21Z</dcterms:created>
  <dcterms:modified xsi:type="dcterms:W3CDTF">2022-04-29T12:50:57Z</dcterms:modified>
  <cp:category/>
  <cp:contentStatus/>
</cp:coreProperties>
</file>