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thegrid.emera.com/Sites/RegAffairs4/DSM/DSM20232025/IRResponsesNSPI/"/>
    </mc:Choice>
  </mc:AlternateContent>
  <xr:revisionPtr revIDLastSave="0" documentId="13_ncr:1_{98B78362-6CEC-4082-8A00-D03AA0804299}" xr6:coauthVersionLast="44" xr6:coauthVersionMax="45" xr10:uidLastSave="{00000000-0000-0000-0000-000000000000}"/>
  <bookViews>
    <workbookView xWindow="-120" yWindow="-120" windowWidth="24240" windowHeight="13140" tabRatio="599" firstSheet="5" activeTab="13" xr2:uid="{8936EDA4-0B67-48A6-8C88-70B5F7247691}"/>
  </bookViews>
  <sheets>
    <sheet name="Method" sheetId="4" r:id="rId1"/>
    <sheet name="Criteria" sheetId="6" r:id="rId2"/>
    <sheet name="Carrying Charge" sheetId="23" r:id="rId3"/>
    <sheet name="Interruptables" sheetId="24" r:id="rId4"/>
    <sheet name="Results Summary" sheetId="14" r:id="rId5"/>
    <sheet name="2011-2020" sheetId="22" r:id="rId6"/>
    <sheet name="Matter &amp; CI#" sheetId="17" r:id="rId7"/>
    <sheet name="Snapshot Summary" sheetId="7" r:id="rId8"/>
    <sheet name="Halifax" sheetId="8" r:id="rId9"/>
    <sheet name="Canseau" sheetId="9" r:id="rId10"/>
    <sheet name="Northern" sheetId="10" r:id="rId11"/>
    <sheet name="Sydney" sheetId="11" r:id="rId12"/>
    <sheet name="Valley" sheetId="12" r:id="rId13"/>
    <sheet name="Western" sheetId="13" r:id="rId14"/>
  </sheets>
  <externalReferences>
    <externalReference r:id="rId15"/>
  </externalReferences>
  <definedNames>
    <definedName name="_xlnm._FilterDatabase" localSheetId="5" hidden="1">'2011-2020'!$A$2:$M$1090</definedName>
    <definedName name="_xlnm._FilterDatabase" localSheetId="9" hidden="1">Canseau!$C$5:$N$21</definedName>
    <definedName name="_xlnm._FilterDatabase" localSheetId="8" hidden="1">Halifax!$C$5:$N$48</definedName>
    <definedName name="_xlnm._FilterDatabase" localSheetId="6" hidden="1">'Matter &amp; CI#'!$A$3:$F$596</definedName>
    <definedName name="_xlnm._FilterDatabase" localSheetId="10" hidden="1">Northern!$C$5:$N$36</definedName>
    <definedName name="_xlnm._FilterDatabase" localSheetId="11" hidden="1">Sydney!$C$5:$N$25</definedName>
    <definedName name="_xlnm._FilterDatabase" localSheetId="12" hidden="1">Valley!$C$5:$N$36</definedName>
    <definedName name="_xlnm._FilterDatabase" localSheetId="13" hidden="1">Western!$C$5:$N$37</definedName>
    <definedName name="Column" localSheetId="2">#REF!</definedName>
    <definedName name="Column">#REF!</definedName>
    <definedName name="_xlnm.Database" localSheetId="2">#REF!</definedName>
    <definedName name="_xlnm.Database">#REF!</definedName>
    <definedName name="PAGE1" localSheetId="3">Interruptables!$B$2:$C$42</definedName>
    <definedName name="plant" localSheetId="2">#REF!</definedName>
    <definedName name="plant">#REF!</definedName>
    <definedName name="_xlnm.Print_Area" localSheetId="5">'2011-2020'!$A$2:$P$1092,'2011-2020'!$A$1093:$S$1171</definedName>
    <definedName name="_xlnm.Print_Area" localSheetId="9">Canseau!$A$1:$AG$27</definedName>
    <definedName name="_xlnm.Print_Area" localSheetId="8">Halifax!$A$1:$AG$49</definedName>
    <definedName name="_xlnm.Print_Area" localSheetId="3">Interruptables!$A$2:$E$44</definedName>
    <definedName name="_xlnm.Print_Area" localSheetId="10">Northern!$C$1:$AG$41</definedName>
    <definedName name="_xlnm.Print_Area" localSheetId="7">'Snapshot Summary'!$A$1:$O$53</definedName>
    <definedName name="_xlnm.Print_Area" localSheetId="11">Sydney!$A$1:$AG$32</definedName>
    <definedName name="_xlnm.Print_Area" localSheetId="12">Valley!$C$1:$AG$45</definedName>
    <definedName name="_xlnm.Print_Area" localSheetId="13">Western!$C$1:$AG$43</definedName>
    <definedName name="_xlnm.Print_Titles" localSheetId="5">'2011-2020'!$2:$2</definedName>
    <definedName name="Start" localSheetId="2">#REF!</definedName>
    <definedName name="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24" l="1"/>
  <c r="F32" i="24"/>
  <c r="G31" i="24"/>
  <c r="F31" i="24"/>
  <c r="G30" i="24"/>
  <c r="F30" i="24"/>
  <c r="G29" i="24"/>
  <c r="F29" i="24"/>
  <c r="G28" i="24"/>
  <c r="F28" i="24"/>
  <c r="G27" i="24"/>
  <c r="F27" i="24"/>
  <c r="G26" i="24"/>
  <c r="F26" i="24"/>
  <c r="G25" i="24"/>
  <c r="F25" i="24"/>
  <c r="G24" i="24"/>
  <c r="F24" i="24"/>
  <c r="G23" i="24"/>
  <c r="F23" i="24"/>
  <c r="G22" i="24"/>
  <c r="F22" i="24"/>
  <c r="G21" i="24"/>
  <c r="F21" i="24"/>
  <c r="G20" i="24"/>
  <c r="F20" i="24"/>
  <c r="G19" i="24"/>
  <c r="F19" i="24"/>
  <c r="G18" i="24"/>
  <c r="F18" i="24"/>
  <c r="G17" i="24"/>
  <c r="F17" i="24"/>
  <c r="G16" i="24"/>
  <c r="F16" i="24"/>
  <c r="G15" i="24"/>
  <c r="F15" i="24"/>
  <c r="G14" i="24"/>
  <c r="F14" i="24"/>
  <c r="G13" i="24"/>
  <c r="F13" i="24"/>
  <c r="G12" i="24"/>
  <c r="F12" i="24"/>
  <c r="G11" i="24"/>
  <c r="F11" i="24"/>
  <c r="G10" i="24"/>
  <c r="F10" i="24"/>
  <c r="G9" i="24"/>
  <c r="F9" i="24"/>
  <c r="G8" i="24"/>
  <c r="F8" i="24"/>
  <c r="G7" i="24"/>
  <c r="F7" i="24"/>
  <c r="G6" i="24"/>
  <c r="F6" i="24"/>
  <c r="G5" i="24"/>
  <c r="F5" i="24"/>
  <c r="G4" i="24"/>
  <c r="F4" i="24"/>
  <c r="F33" i="24" s="1"/>
  <c r="B5" i="24"/>
  <c r="B6" i="24" s="1"/>
  <c r="B7" i="24" s="1"/>
  <c r="B8" i="24" s="1"/>
  <c r="B9" i="24" s="1"/>
  <c r="B10" i="24" s="1"/>
  <c r="B11" i="24" s="1"/>
  <c r="B12" i="24" s="1"/>
  <c r="B13" i="24" s="1"/>
  <c r="B14" i="24" s="1"/>
  <c r="B15" i="24" s="1"/>
  <c r="B16" i="24" s="1"/>
  <c r="B17" i="24" s="1"/>
  <c r="B18" i="24" s="1"/>
  <c r="B19" i="24" s="1"/>
  <c r="B20" i="24" s="1"/>
  <c r="B21" i="24" s="1"/>
  <c r="B22" i="24" s="1"/>
  <c r="B23" i="24" s="1"/>
  <c r="B24" i="24" s="1"/>
  <c r="B25" i="24" s="1"/>
  <c r="B26" i="24" s="1"/>
  <c r="B27" i="24" s="1"/>
  <c r="B28" i="24" s="1"/>
  <c r="B29" i="24" s="1"/>
  <c r="B30" i="24" s="1"/>
  <c r="B31" i="24" s="1"/>
  <c r="B32" i="24" s="1"/>
  <c r="P1161" i="22"/>
  <c r="P1160" i="22"/>
  <c r="P1159" i="22"/>
  <c r="Q1160" i="22" s="1"/>
  <c r="P1158" i="22"/>
  <c r="Q1158" i="22" s="1"/>
  <c r="P1157" i="22"/>
  <c r="Q1157" i="22" s="1"/>
  <c r="P1156" i="22"/>
  <c r="Q1156" i="22" s="1"/>
  <c r="P1155" i="22"/>
  <c r="P1154" i="22"/>
  <c r="Q1154" i="22" s="1"/>
  <c r="P1153" i="22"/>
  <c r="P1152" i="22"/>
  <c r="P1151" i="22"/>
  <c r="R1131" i="22"/>
  <c r="R1132" i="22" s="1"/>
  <c r="R1133" i="22" s="1"/>
  <c r="R1134" i="22" s="1"/>
  <c r="R1135" i="22" s="1"/>
  <c r="R1136" i="22" s="1"/>
  <c r="R1137" i="22" s="1"/>
  <c r="R1138" i="22" s="1"/>
  <c r="R1139" i="22" s="1"/>
  <c r="R1140" i="22" s="1"/>
  <c r="P1140" i="22"/>
  <c r="P1139" i="22"/>
  <c r="P1138" i="22"/>
  <c r="Q1139" i="22" s="1"/>
  <c r="P1137" i="22"/>
  <c r="Q1137" i="22" s="1"/>
  <c r="P1136" i="22"/>
  <c r="Q1136" i="22" s="1"/>
  <c r="P1135" i="22"/>
  <c r="Q1135" i="22" s="1"/>
  <c r="P1134" i="22"/>
  <c r="Q1134" i="22" s="1"/>
  <c r="P1133" i="22"/>
  <c r="Q1133" i="22" s="1"/>
  <c r="P1132" i="22"/>
  <c r="P1131" i="22"/>
  <c r="P1130" i="22"/>
  <c r="Q1161" i="22"/>
  <c r="Q1155" i="22"/>
  <c r="Q1153" i="22"/>
  <c r="N1153" i="22"/>
  <c r="N1154" i="22" s="1"/>
  <c r="N1155" i="22" s="1"/>
  <c r="N1156" i="22" s="1"/>
  <c r="N1157" i="22" s="1"/>
  <c r="N1158" i="22" s="1"/>
  <c r="N1159" i="22" s="1"/>
  <c r="N1160" i="22" s="1"/>
  <c r="N1161" i="22" s="1"/>
  <c r="Q1152" i="22"/>
  <c r="R1151" i="22"/>
  <c r="R1152" i="22" s="1"/>
  <c r="R1153" i="22" s="1"/>
  <c r="R1154" i="22" s="1"/>
  <c r="R1155" i="22" s="1"/>
  <c r="R1156" i="22" s="1"/>
  <c r="R1157" i="22" s="1"/>
  <c r="R1158" i="22" s="1"/>
  <c r="R1159" i="22" s="1"/>
  <c r="R1160" i="22" s="1"/>
  <c r="R1161" i="22" s="1"/>
  <c r="Q1140" i="22"/>
  <c r="N1132" i="22"/>
  <c r="N1133" i="22" s="1"/>
  <c r="N1134" i="22" s="1"/>
  <c r="N1135" i="22" s="1"/>
  <c r="N1136" i="22" s="1"/>
  <c r="N1137" i="22" s="1"/>
  <c r="N1138" i="22" s="1"/>
  <c r="N1139" i="22" s="1"/>
  <c r="N1140" i="22" s="1"/>
  <c r="R1130" i="22"/>
  <c r="L1108" i="22"/>
  <c r="G33" i="24" l="1"/>
  <c r="Q1159" i="22"/>
  <c r="Q1138" i="22"/>
  <c r="Q1132" i="22"/>
  <c r="Q1131" i="22"/>
  <c r="Q1166" i="22"/>
  <c r="Q1145" i="22"/>
  <c r="J1095" i="22" l="1"/>
  <c r="J1094" i="22"/>
  <c r="F1094" i="22" l="1"/>
  <c r="P1117" i="22"/>
  <c r="P1116" i="22"/>
  <c r="Q1116" i="22" s="1"/>
  <c r="P1115" i="22"/>
  <c r="P1114" i="22"/>
  <c r="Q1115" i="22" s="1"/>
  <c r="P1113" i="22"/>
  <c r="P1112" i="22"/>
  <c r="Q1112" i="22" s="1"/>
  <c r="P1111" i="22"/>
  <c r="Q1111" i="22" s="1"/>
  <c r="P1110" i="22"/>
  <c r="P1109" i="22"/>
  <c r="P1107" i="22"/>
  <c r="R1107" i="22" s="1"/>
  <c r="R1108" i="22" s="1"/>
  <c r="R1109" i="22" s="1"/>
  <c r="R1110" i="22" s="1"/>
  <c r="R1111" i="22" s="1"/>
  <c r="R1112" i="22" s="1"/>
  <c r="R1113" i="22" s="1"/>
  <c r="R1114" i="22" s="1"/>
  <c r="R1115" i="22" s="1"/>
  <c r="R1116" i="22" s="1"/>
  <c r="R1117" i="22" s="1"/>
  <c r="P1108" i="22"/>
  <c r="L1127" i="22"/>
  <c r="L1126" i="22"/>
  <c r="L1125" i="22"/>
  <c r="L1124" i="22"/>
  <c r="L1123" i="22"/>
  <c r="L1122" i="22"/>
  <c r="L1121" i="22"/>
  <c r="L1120" i="22"/>
  <c r="L1119" i="22"/>
  <c r="L1118" i="22"/>
  <c r="Q1117" i="22"/>
  <c r="L1117" i="22"/>
  <c r="L1116" i="22"/>
  <c r="L1115" i="22"/>
  <c r="L1114" i="22"/>
  <c r="L1113" i="22"/>
  <c r="L1112" i="22"/>
  <c r="L1111" i="22"/>
  <c r="Q1110" i="22"/>
  <c r="L1110" i="22"/>
  <c r="Q1109" i="22"/>
  <c r="N1109" i="22"/>
  <c r="N1110" i="22" s="1"/>
  <c r="N1111" i="22" s="1"/>
  <c r="N1112" i="22" s="1"/>
  <c r="N1113" i="22" s="1"/>
  <c r="N1114" i="22" s="1"/>
  <c r="N1115" i="22" s="1"/>
  <c r="N1116" i="22" s="1"/>
  <c r="N1117" i="22" s="1"/>
  <c r="L1109" i="22"/>
  <c r="Q1108" i="22"/>
  <c r="J1100" i="22" s="1"/>
  <c r="I1108" i="22"/>
  <c r="I1109" i="22" s="1"/>
  <c r="I1110" i="22" s="1"/>
  <c r="I1111" i="22" s="1"/>
  <c r="I1112" i="22" s="1"/>
  <c r="I1113" i="22" s="1"/>
  <c r="I1114" i="22" s="1"/>
  <c r="I1115" i="22" s="1"/>
  <c r="I1116" i="22" s="1"/>
  <c r="I1117" i="22" s="1"/>
  <c r="I1118" i="22" s="1"/>
  <c r="I1119" i="22" s="1"/>
  <c r="I1120" i="22" s="1"/>
  <c r="I1121" i="22" s="1"/>
  <c r="I1122" i="22" s="1"/>
  <c r="I1123" i="22" s="1"/>
  <c r="I1124" i="22" s="1"/>
  <c r="I1125" i="22" s="1"/>
  <c r="I1126" i="22" s="1"/>
  <c r="I1127" i="22" s="1"/>
  <c r="L1107" i="22"/>
  <c r="R1090" i="22"/>
  <c r="S1090" i="22" s="1"/>
  <c r="R1089" i="22"/>
  <c r="S1089" i="22" s="1"/>
  <c r="R1088" i="22"/>
  <c r="S1088" i="22" s="1"/>
  <c r="R1087" i="22"/>
  <c r="S1087" i="22" s="1"/>
  <c r="R1086" i="22"/>
  <c r="S1086" i="22" s="1"/>
  <c r="R1085" i="22"/>
  <c r="S1085" i="22" s="1"/>
  <c r="R1084" i="22"/>
  <c r="S1084" i="22" s="1"/>
  <c r="R1083" i="22"/>
  <c r="S1083" i="22" s="1"/>
  <c r="R1082" i="22"/>
  <c r="S1082" i="22" s="1"/>
  <c r="R1081" i="22"/>
  <c r="S1081" i="22" s="1"/>
  <c r="R1080" i="22"/>
  <c r="S1080" i="22" s="1"/>
  <c r="R1079" i="22"/>
  <c r="S1079" i="22" s="1"/>
  <c r="R1078" i="22"/>
  <c r="S1078" i="22" s="1"/>
  <c r="R1077" i="22"/>
  <c r="S1077" i="22" s="1"/>
  <c r="R1076" i="22"/>
  <c r="S1076" i="22" s="1"/>
  <c r="R1075" i="22"/>
  <c r="S1075" i="22" s="1"/>
  <c r="R1074" i="22"/>
  <c r="S1074" i="22" s="1"/>
  <c r="R1073" i="22"/>
  <c r="S1073" i="22" s="1"/>
  <c r="R1072" i="22"/>
  <c r="S1072" i="22" s="1"/>
  <c r="R1071" i="22"/>
  <c r="S1071" i="22" s="1"/>
  <c r="R1070" i="22"/>
  <c r="S1070" i="22" s="1"/>
  <c r="R1069" i="22"/>
  <c r="S1069" i="22" s="1"/>
  <c r="R1068" i="22"/>
  <c r="S1068" i="22" s="1"/>
  <c r="R1067" i="22"/>
  <c r="S1067" i="22" s="1"/>
  <c r="R1066" i="22"/>
  <c r="S1066" i="22" s="1"/>
  <c r="R1065" i="22"/>
  <c r="S1065" i="22" s="1"/>
  <c r="R1064" i="22"/>
  <c r="S1064" i="22" s="1"/>
  <c r="R1063" i="22"/>
  <c r="S1063" i="22" s="1"/>
  <c r="R1062" i="22"/>
  <c r="S1062" i="22" s="1"/>
  <c r="R1061" i="22"/>
  <c r="S1061" i="22" s="1"/>
  <c r="R1060" i="22"/>
  <c r="S1060" i="22" s="1"/>
  <c r="R1059" i="22"/>
  <c r="S1059" i="22" s="1"/>
  <c r="R1058" i="22"/>
  <c r="S1058" i="22" s="1"/>
  <c r="R1057" i="22"/>
  <c r="S1057" i="22" s="1"/>
  <c r="R1056" i="22"/>
  <c r="S1056" i="22" s="1"/>
  <c r="R1055" i="22"/>
  <c r="S1055" i="22" s="1"/>
  <c r="R1054" i="22"/>
  <c r="S1054" i="22" s="1"/>
  <c r="R1053" i="22"/>
  <c r="S1053" i="22" s="1"/>
  <c r="R1052" i="22"/>
  <c r="S1052" i="22" s="1"/>
  <c r="R1051" i="22"/>
  <c r="S1051" i="22" s="1"/>
  <c r="R1050" i="22"/>
  <c r="S1050" i="22" s="1"/>
  <c r="R1049" i="22"/>
  <c r="S1049" i="22" s="1"/>
  <c r="R1048" i="22"/>
  <c r="S1048" i="22" s="1"/>
  <c r="R1047" i="22"/>
  <c r="S1047" i="22" s="1"/>
  <c r="R1046" i="22"/>
  <c r="S1046" i="22" s="1"/>
  <c r="R1045" i="22"/>
  <c r="S1045" i="22" s="1"/>
  <c r="R1044" i="22"/>
  <c r="S1044" i="22" s="1"/>
  <c r="R1043" i="22"/>
  <c r="S1043" i="22" s="1"/>
  <c r="R1042" i="22"/>
  <c r="S1042" i="22" s="1"/>
  <c r="R1041" i="22"/>
  <c r="S1041" i="22" s="1"/>
  <c r="R1040" i="22"/>
  <c r="S1040" i="22" s="1"/>
  <c r="R1039" i="22"/>
  <c r="S1039" i="22" s="1"/>
  <c r="R1038" i="22"/>
  <c r="S1038" i="22" s="1"/>
  <c r="R1037" i="22"/>
  <c r="S1037" i="22" s="1"/>
  <c r="R1036" i="22"/>
  <c r="S1036" i="22" s="1"/>
  <c r="R1035" i="22"/>
  <c r="S1035" i="22" s="1"/>
  <c r="R1034" i="22"/>
  <c r="S1034" i="22" s="1"/>
  <c r="R1033" i="22"/>
  <c r="S1033" i="22" s="1"/>
  <c r="R1032" i="22"/>
  <c r="S1032" i="22" s="1"/>
  <c r="R1031" i="22"/>
  <c r="S1031" i="22" s="1"/>
  <c r="R1030" i="22"/>
  <c r="S1030" i="22" s="1"/>
  <c r="R1029" i="22"/>
  <c r="S1029" i="22" s="1"/>
  <c r="R1028" i="22"/>
  <c r="S1028" i="22" s="1"/>
  <c r="R1027" i="22"/>
  <c r="S1027" i="22" s="1"/>
  <c r="R1026" i="22"/>
  <c r="S1026" i="22" s="1"/>
  <c r="R1025" i="22"/>
  <c r="S1025" i="22" s="1"/>
  <c r="R1024" i="22"/>
  <c r="S1024" i="22" s="1"/>
  <c r="R1023" i="22"/>
  <c r="S1023" i="22" s="1"/>
  <c r="R1022" i="22"/>
  <c r="S1022" i="22" s="1"/>
  <c r="R1021" i="22"/>
  <c r="S1021" i="22" s="1"/>
  <c r="R1020" i="22"/>
  <c r="S1020" i="22" s="1"/>
  <c r="R1019" i="22"/>
  <c r="S1019" i="22" s="1"/>
  <c r="R1018" i="22"/>
  <c r="S1018" i="22" s="1"/>
  <c r="R1017" i="22"/>
  <c r="S1017" i="22" s="1"/>
  <c r="R1016" i="22"/>
  <c r="S1016" i="22" s="1"/>
  <c r="R1015" i="22"/>
  <c r="S1015" i="22" s="1"/>
  <c r="R1014" i="22"/>
  <c r="S1014" i="22" s="1"/>
  <c r="R1013" i="22"/>
  <c r="S1013" i="22" s="1"/>
  <c r="R1012" i="22"/>
  <c r="S1012" i="22" s="1"/>
  <c r="R1011" i="22"/>
  <c r="S1011" i="22" s="1"/>
  <c r="R1010" i="22"/>
  <c r="S1010" i="22" s="1"/>
  <c r="R1009" i="22"/>
  <c r="S1009" i="22" s="1"/>
  <c r="R1008" i="22"/>
  <c r="S1008" i="22" s="1"/>
  <c r="R1007" i="22"/>
  <c r="S1007" i="22" s="1"/>
  <c r="R1006" i="22"/>
  <c r="S1006" i="22" s="1"/>
  <c r="R1005" i="22"/>
  <c r="S1005" i="22" s="1"/>
  <c r="R1004" i="22"/>
  <c r="S1004" i="22" s="1"/>
  <c r="R1003" i="22"/>
  <c r="S1003" i="22" s="1"/>
  <c r="R1002" i="22"/>
  <c r="S1002" i="22" s="1"/>
  <c r="R1001" i="22"/>
  <c r="S1001" i="22" s="1"/>
  <c r="R1000" i="22"/>
  <c r="S1000" i="22" s="1"/>
  <c r="R999" i="22"/>
  <c r="S999" i="22" s="1"/>
  <c r="R998" i="22"/>
  <c r="S998" i="22" s="1"/>
  <c r="R997" i="22"/>
  <c r="S997" i="22" s="1"/>
  <c r="R996" i="22"/>
  <c r="S996" i="22" s="1"/>
  <c r="R995" i="22"/>
  <c r="S995" i="22" s="1"/>
  <c r="R994" i="22"/>
  <c r="S994" i="22" s="1"/>
  <c r="R993" i="22"/>
  <c r="S993" i="22" s="1"/>
  <c r="R992" i="22"/>
  <c r="S992" i="22" s="1"/>
  <c r="R991" i="22"/>
  <c r="S991" i="22" s="1"/>
  <c r="R990" i="22"/>
  <c r="S990" i="22" s="1"/>
  <c r="R989" i="22"/>
  <c r="S989" i="22" s="1"/>
  <c r="R988" i="22"/>
  <c r="S988" i="22" s="1"/>
  <c r="R987" i="22"/>
  <c r="S987" i="22" s="1"/>
  <c r="R986" i="22"/>
  <c r="S986" i="22" s="1"/>
  <c r="R985" i="22"/>
  <c r="S985" i="22" s="1"/>
  <c r="R984" i="22"/>
  <c r="S984" i="22" s="1"/>
  <c r="R983" i="22"/>
  <c r="S983" i="22" s="1"/>
  <c r="R982" i="22"/>
  <c r="S982" i="22" s="1"/>
  <c r="R981" i="22"/>
  <c r="S981" i="22" s="1"/>
  <c r="R980" i="22"/>
  <c r="S980" i="22" s="1"/>
  <c r="R979" i="22"/>
  <c r="S979" i="22" s="1"/>
  <c r="R978" i="22"/>
  <c r="S978" i="22" s="1"/>
  <c r="R977" i="22"/>
  <c r="S977" i="22" s="1"/>
  <c r="R976" i="22"/>
  <c r="S976" i="22" s="1"/>
  <c r="R975" i="22"/>
  <c r="S975" i="22" s="1"/>
  <c r="R974" i="22"/>
  <c r="S974" i="22" s="1"/>
  <c r="R973" i="22"/>
  <c r="S973" i="22" s="1"/>
  <c r="R972" i="22"/>
  <c r="S972" i="22" s="1"/>
  <c r="R971" i="22"/>
  <c r="S971" i="22" s="1"/>
  <c r="R970" i="22"/>
  <c r="S970" i="22" s="1"/>
  <c r="R969" i="22"/>
  <c r="S969" i="22" s="1"/>
  <c r="R968" i="22"/>
  <c r="S968" i="22" s="1"/>
  <c r="R967" i="22"/>
  <c r="S967" i="22" s="1"/>
  <c r="R966" i="22"/>
  <c r="S966" i="22" s="1"/>
  <c r="R965" i="22"/>
  <c r="S965" i="22" s="1"/>
  <c r="R964" i="22"/>
  <c r="S964" i="22" s="1"/>
  <c r="R963" i="22"/>
  <c r="S963" i="22" s="1"/>
  <c r="R962" i="22"/>
  <c r="S962" i="22" s="1"/>
  <c r="R961" i="22"/>
  <c r="S961" i="22" s="1"/>
  <c r="R960" i="22"/>
  <c r="S960" i="22" s="1"/>
  <c r="R959" i="22"/>
  <c r="S959" i="22" s="1"/>
  <c r="R958" i="22"/>
  <c r="S958" i="22" s="1"/>
  <c r="R957" i="22"/>
  <c r="S957" i="22" s="1"/>
  <c r="R956" i="22"/>
  <c r="S956" i="22" s="1"/>
  <c r="R955" i="22"/>
  <c r="S955" i="22" s="1"/>
  <c r="R954" i="22"/>
  <c r="S954" i="22" s="1"/>
  <c r="R953" i="22"/>
  <c r="S953" i="22" s="1"/>
  <c r="R952" i="22"/>
  <c r="S952" i="22" s="1"/>
  <c r="R951" i="22"/>
  <c r="S951" i="22" s="1"/>
  <c r="R950" i="22"/>
  <c r="S950" i="22" s="1"/>
  <c r="R949" i="22"/>
  <c r="S949" i="22" s="1"/>
  <c r="R948" i="22"/>
  <c r="S948" i="22" s="1"/>
  <c r="R947" i="22"/>
  <c r="S947" i="22" s="1"/>
  <c r="R946" i="22"/>
  <c r="S946" i="22" s="1"/>
  <c r="R945" i="22"/>
  <c r="S945" i="22" s="1"/>
  <c r="R944" i="22"/>
  <c r="S944" i="22" s="1"/>
  <c r="R943" i="22"/>
  <c r="S943" i="22" s="1"/>
  <c r="R942" i="22"/>
  <c r="S942" i="22" s="1"/>
  <c r="R941" i="22"/>
  <c r="S941" i="22" s="1"/>
  <c r="R940" i="22"/>
  <c r="S940" i="22" s="1"/>
  <c r="R939" i="22"/>
  <c r="S939" i="22" s="1"/>
  <c r="R938" i="22"/>
  <c r="S938" i="22" s="1"/>
  <c r="R937" i="22"/>
  <c r="S937" i="22" s="1"/>
  <c r="R936" i="22"/>
  <c r="S936" i="22" s="1"/>
  <c r="R935" i="22"/>
  <c r="S935" i="22" s="1"/>
  <c r="R934" i="22"/>
  <c r="S934" i="22" s="1"/>
  <c r="R933" i="22"/>
  <c r="S933" i="22" s="1"/>
  <c r="R932" i="22"/>
  <c r="S932" i="22" s="1"/>
  <c r="R931" i="22"/>
  <c r="S931" i="22" s="1"/>
  <c r="R930" i="22"/>
  <c r="S930" i="22" s="1"/>
  <c r="R929" i="22"/>
  <c r="S929" i="22" s="1"/>
  <c r="R928" i="22"/>
  <c r="S928" i="22" s="1"/>
  <c r="R927" i="22"/>
  <c r="S927" i="22" s="1"/>
  <c r="R926" i="22"/>
  <c r="S926" i="22" s="1"/>
  <c r="R925" i="22"/>
  <c r="S925" i="22" s="1"/>
  <c r="R924" i="22"/>
  <c r="S924" i="22" s="1"/>
  <c r="R923" i="22"/>
  <c r="S923" i="22" s="1"/>
  <c r="R922" i="22"/>
  <c r="S922" i="22" s="1"/>
  <c r="R921" i="22"/>
  <c r="S921" i="22" s="1"/>
  <c r="R920" i="22"/>
  <c r="S920" i="22" s="1"/>
  <c r="R919" i="22"/>
  <c r="S919" i="22" s="1"/>
  <c r="R918" i="22"/>
  <c r="S918" i="22" s="1"/>
  <c r="R917" i="22"/>
  <c r="S917" i="22" s="1"/>
  <c r="R916" i="22"/>
  <c r="S916" i="22" s="1"/>
  <c r="R915" i="22"/>
  <c r="S915" i="22" s="1"/>
  <c r="R914" i="22"/>
  <c r="S914" i="22" s="1"/>
  <c r="R913" i="22"/>
  <c r="S913" i="22" s="1"/>
  <c r="R912" i="22"/>
  <c r="S912" i="22" s="1"/>
  <c r="R911" i="22"/>
  <c r="S911" i="22" s="1"/>
  <c r="R910" i="22"/>
  <c r="S910" i="22" s="1"/>
  <c r="R909" i="22"/>
  <c r="S909" i="22" s="1"/>
  <c r="R908" i="22"/>
  <c r="S908" i="22" s="1"/>
  <c r="R907" i="22"/>
  <c r="S907" i="22" s="1"/>
  <c r="R906" i="22"/>
  <c r="S906" i="22" s="1"/>
  <c r="R905" i="22"/>
  <c r="S905" i="22" s="1"/>
  <c r="R904" i="22"/>
  <c r="S904" i="22" s="1"/>
  <c r="R903" i="22"/>
  <c r="S903" i="22" s="1"/>
  <c r="R902" i="22"/>
  <c r="S902" i="22" s="1"/>
  <c r="R901" i="22"/>
  <c r="S901" i="22" s="1"/>
  <c r="R900" i="22"/>
  <c r="S900" i="22" s="1"/>
  <c r="R899" i="22"/>
  <c r="S899" i="22" s="1"/>
  <c r="R898" i="22"/>
  <c r="S898" i="22" s="1"/>
  <c r="R897" i="22"/>
  <c r="S897" i="22" s="1"/>
  <c r="R896" i="22"/>
  <c r="S896" i="22" s="1"/>
  <c r="R895" i="22"/>
  <c r="S895" i="22" s="1"/>
  <c r="R894" i="22"/>
  <c r="S894" i="22" s="1"/>
  <c r="R893" i="22"/>
  <c r="S893" i="22" s="1"/>
  <c r="R892" i="22"/>
  <c r="S892" i="22" s="1"/>
  <c r="R891" i="22"/>
  <c r="S891" i="22" s="1"/>
  <c r="R890" i="22"/>
  <c r="S890" i="22" s="1"/>
  <c r="R889" i="22"/>
  <c r="S889" i="22" s="1"/>
  <c r="R888" i="22"/>
  <c r="S888" i="22" s="1"/>
  <c r="R887" i="22"/>
  <c r="S887" i="22" s="1"/>
  <c r="R886" i="22"/>
  <c r="S886" i="22" s="1"/>
  <c r="R885" i="22"/>
  <c r="S885" i="22" s="1"/>
  <c r="R884" i="22"/>
  <c r="S884" i="22" s="1"/>
  <c r="R883" i="22"/>
  <c r="S883" i="22" s="1"/>
  <c r="R882" i="22"/>
  <c r="S882" i="22" s="1"/>
  <c r="R881" i="22"/>
  <c r="S881" i="22" s="1"/>
  <c r="R880" i="22"/>
  <c r="S880" i="22" s="1"/>
  <c r="R879" i="22"/>
  <c r="S879" i="22" s="1"/>
  <c r="R878" i="22"/>
  <c r="S878" i="22" s="1"/>
  <c r="R877" i="22"/>
  <c r="S877" i="22" s="1"/>
  <c r="R876" i="22"/>
  <c r="S876" i="22" s="1"/>
  <c r="R875" i="22"/>
  <c r="S875" i="22" s="1"/>
  <c r="R874" i="22"/>
  <c r="S874" i="22" s="1"/>
  <c r="R873" i="22"/>
  <c r="S873" i="22" s="1"/>
  <c r="R872" i="22"/>
  <c r="S872" i="22" s="1"/>
  <c r="R871" i="22"/>
  <c r="S871" i="22" s="1"/>
  <c r="R870" i="22"/>
  <c r="S870" i="22" s="1"/>
  <c r="R869" i="22"/>
  <c r="S869" i="22" s="1"/>
  <c r="R868" i="22"/>
  <c r="S868" i="22" s="1"/>
  <c r="R867" i="22"/>
  <c r="S867" i="22" s="1"/>
  <c r="R866" i="22"/>
  <c r="S866" i="22" s="1"/>
  <c r="R865" i="22"/>
  <c r="S865" i="22" s="1"/>
  <c r="R864" i="22"/>
  <c r="S864" i="22" s="1"/>
  <c r="R863" i="22"/>
  <c r="S863" i="22" s="1"/>
  <c r="R862" i="22"/>
  <c r="S862" i="22" s="1"/>
  <c r="R861" i="22"/>
  <c r="S861" i="22" s="1"/>
  <c r="R860" i="22"/>
  <c r="S860" i="22" s="1"/>
  <c r="R859" i="22"/>
  <c r="S859" i="22" s="1"/>
  <c r="R858" i="22"/>
  <c r="S858" i="22" s="1"/>
  <c r="R857" i="22"/>
  <c r="S857" i="22" s="1"/>
  <c r="R856" i="22"/>
  <c r="S856" i="22" s="1"/>
  <c r="R855" i="22"/>
  <c r="S855" i="22" s="1"/>
  <c r="R854" i="22"/>
  <c r="S854" i="22" s="1"/>
  <c r="R853" i="22"/>
  <c r="S853" i="22" s="1"/>
  <c r="R852" i="22"/>
  <c r="S852" i="22" s="1"/>
  <c r="R851" i="22"/>
  <c r="S851" i="22" s="1"/>
  <c r="R850" i="22"/>
  <c r="S850" i="22" s="1"/>
  <c r="R849" i="22"/>
  <c r="S849" i="22" s="1"/>
  <c r="R848" i="22"/>
  <c r="S848" i="22" s="1"/>
  <c r="R847" i="22"/>
  <c r="S847" i="22" s="1"/>
  <c r="R846" i="22"/>
  <c r="S846" i="22" s="1"/>
  <c r="R845" i="22"/>
  <c r="S845" i="22" s="1"/>
  <c r="R844" i="22"/>
  <c r="S844" i="22" s="1"/>
  <c r="R843" i="22"/>
  <c r="S843" i="22" s="1"/>
  <c r="R842" i="22"/>
  <c r="S842" i="22" s="1"/>
  <c r="R841" i="22"/>
  <c r="S841" i="22" s="1"/>
  <c r="R840" i="22"/>
  <c r="S840" i="22" s="1"/>
  <c r="R839" i="22"/>
  <c r="S839" i="22" s="1"/>
  <c r="R838" i="22"/>
  <c r="S838" i="22" s="1"/>
  <c r="R837" i="22"/>
  <c r="S837" i="22" s="1"/>
  <c r="R836" i="22"/>
  <c r="S836" i="22" s="1"/>
  <c r="R835" i="22"/>
  <c r="S835" i="22" s="1"/>
  <c r="R834" i="22"/>
  <c r="S834" i="22" s="1"/>
  <c r="R833" i="22"/>
  <c r="S833" i="22" s="1"/>
  <c r="R832" i="22"/>
  <c r="S832" i="22" s="1"/>
  <c r="R831" i="22"/>
  <c r="S831" i="22" s="1"/>
  <c r="R830" i="22"/>
  <c r="S830" i="22" s="1"/>
  <c r="R829" i="22"/>
  <c r="S829" i="22" s="1"/>
  <c r="R828" i="22"/>
  <c r="S828" i="22" s="1"/>
  <c r="R827" i="22"/>
  <c r="S827" i="22" s="1"/>
  <c r="R826" i="22"/>
  <c r="S826" i="22" s="1"/>
  <c r="R825" i="22"/>
  <c r="S825" i="22" s="1"/>
  <c r="R824" i="22"/>
  <c r="S824" i="22" s="1"/>
  <c r="R823" i="22"/>
  <c r="S823" i="22" s="1"/>
  <c r="R822" i="22"/>
  <c r="S822" i="22" s="1"/>
  <c r="R821" i="22"/>
  <c r="S821" i="22" s="1"/>
  <c r="R820" i="22"/>
  <c r="S820" i="22" s="1"/>
  <c r="R819" i="22"/>
  <c r="S819" i="22" s="1"/>
  <c r="R818" i="22"/>
  <c r="S818" i="22" s="1"/>
  <c r="R817" i="22"/>
  <c r="S817" i="22" s="1"/>
  <c r="R816" i="22"/>
  <c r="S816" i="22" s="1"/>
  <c r="R815" i="22"/>
  <c r="S815" i="22" s="1"/>
  <c r="R814" i="22"/>
  <c r="S814" i="22" s="1"/>
  <c r="R813" i="22"/>
  <c r="S813" i="22" s="1"/>
  <c r="R812" i="22"/>
  <c r="S812" i="22" s="1"/>
  <c r="R811" i="22"/>
  <c r="S811" i="22" s="1"/>
  <c r="R810" i="22"/>
  <c r="S810" i="22" s="1"/>
  <c r="R809" i="22"/>
  <c r="S809" i="22" s="1"/>
  <c r="R808" i="22"/>
  <c r="S808" i="22" s="1"/>
  <c r="R807" i="22"/>
  <c r="S807" i="22" s="1"/>
  <c r="R806" i="22"/>
  <c r="S806" i="22" s="1"/>
  <c r="R805" i="22"/>
  <c r="S805" i="22" s="1"/>
  <c r="R804" i="22"/>
  <c r="S804" i="22" s="1"/>
  <c r="R803" i="22"/>
  <c r="S803" i="22" s="1"/>
  <c r="R802" i="22"/>
  <c r="S802" i="22" s="1"/>
  <c r="R801" i="22"/>
  <c r="S801" i="22" s="1"/>
  <c r="R800" i="22"/>
  <c r="S800" i="22" s="1"/>
  <c r="R799" i="22"/>
  <c r="S799" i="22" s="1"/>
  <c r="R798" i="22"/>
  <c r="S798" i="22" s="1"/>
  <c r="R797" i="22"/>
  <c r="S797" i="22" s="1"/>
  <c r="R796" i="22"/>
  <c r="S796" i="22" s="1"/>
  <c r="R795" i="22"/>
  <c r="S795" i="22" s="1"/>
  <c r="R794" i="22"/>
  <c r="S794" i="22" s="1"/>
  <c r="R793" i="22"/>
  <c r="S793" i="22" s="1"/>
  <c r="R792" i="22"/>
  <c r="S792" i="22" s="1"/>
  <c r="R791" i="22"/>
  <c r="S791" i="22" s="1"/>
  <c r="R790" i="22"/>
  <c r="S790" i="22" s="1"/>
  <c r="R789" i="22"/>
  <c r="S789" i="22" s="1"/>
  <c r="R788" i="22"/>
  <c r="S788" i="22" s="1"/>
  <c r="R787" i="22"/>
  <c r="S787" i="22" s="1"/>
  <c r="R786" i="22"/>
  <c r="S786" i="22" s="1"/>
  <c r="R785" i="22"/>
  <c r="S785" i="22" s="1"/>
  <c r="R784" i="22"/>
  <c r="S784" i="22" s="1"/>
  <c r="R783" i="22"/>
  <c r="S783" i="22" s="1"/>
  <c r="R782" i="22"/>
  <c r="S782" i="22" s="1"/>
  <c r="R781" i="22"/>
  <c r="S781" i="22" s="1"/>
  <c r="R780" i="22"/>
  <c r="S780" i="22" s="1"/>
  <c r="R779" i="22"/>
  <c r="S779" i="22" s="1"/>
  <c r="R778" i="22"/>
  <c r="S778" i="22" s="1"/>
  <c r="R777" i="22"/>
  <c r="S777" i="22" s="1"/>
  <c r="R776" i="22"/>
  <c r="S776" i="22" s="1"/>
  <c r="R775" i="22"/>
  <c r="S775" i="22" s="1"/>
  <c r="R774" i="22"/>
  <c r="S774" i="22" s="1"/>
  <c r="R773" i="22"/>
  <c r="S773" i="22" s="1"/>
  <c r="R772" i="22"/>
  <c r="S772" i="22" s="1"/>
  <c r="R771" i="22"/>
  <c r="S771" i="22" s="1"/>
  <c r="R770" i="22"/>
  <c r="S770" i="22" s="1"/>
  <c r="R769" i="22"/>
  <c r="S769" i="22" s="1"/>
  <c r="R768" i="22"/>
  <c r="S768" i="22" s="1"/>
  <c r="R767" i="22"/>
  <c r="S767" i="22" s="1"/>
  <c r="R766" i="22"/>
  <c r="S766" i="22" s="1"/>
  <c r="R765" i="22"/>
  <c r="S765" i="22" s="1"/>
  <c r="R764" i="22"/>
  <c r="S764" i="22" s="1"/>
  <c r="R763" i="22"/>
  <c r="S763" i="22" s="1"/>
  <c r="R762" i="22"/>
  <c r="S762" i="22" s="1"/>
  <c r="R761" i="22"/>
  <c r="S761" i="22" s="1"/>
  <c r="R760" i="22"/>
  <c r="S760" i="22" s="1"/>
  <c r="R759" i="22"/>
  <c r="S759" i="22" s="1"/>
  <c r="R758" i="22"/>
  <c r="S758" i="22" s="1"/>
  <c r="R757" i="22"/>
  <c r="S757" i="22" s="1"/>
  <c r="R756" i="22"/>
  <c r="S756" i="22" s="1"/>
  <c r="R755" i="22"/>
  <c r="S755" i="22" s="1"/>
  <c r="R754" i="22"/>
  <c r="S754" i="22" s="1"/>
  <c r="R753" i="22"/>
  <c r="S753" i="22" s="1"/>
  <c r="R752" i="22"/>
  <c r="S752" i="22" s="1"/>
  <c r="R751" i="22"/>
  <c r="S751" i="22" s="1"/>
  <c r="R750" i="22"/>
  <c r="S750" i="22" s="1"/>
  <c r="R749" i="22"/>
  <c r="S749" i="22" s="1"/>
  <c r="R748" i="22"/>
  <c r="S748" i="22" s="1"/>
  <c r="R747" i="22"/>
  <c r="S747" i="22" s="1"/>
  <c r="R746" i="22"/>
  <c r="S746" i="22" s="1"/>
  <c r="R745" i="22"/>
  <c r="S745" i="22" s="1"/>
  <c r="R744" i="22"/>
  <c r="S744" i="22" s="1"/>
  <c r="R743" i="22"/>
  <c r="S743" i="22" s="1"/>
  <c r="R742" i="22"/>
  <c r="S742" i="22" s="1"/>
  <c r="R741" i="22"/>
  <c r="S741" i="22" s="1"/>
  <c r="R740" i="22"/>
  <c r="S740" i="22" s="1"/>
  <c r="R739" i="22"/>
  <c r="S739" i="22" s="1"/>
  <c r="R738" i="22"/>
  <c r="S738" i="22" s="1"/>
  <c r="R737" i="22"/>
  <c r="S737" i="22" s="1"/>
  <c r="R736" i="22"/>
  <c r="S736" i="22" s="1"/>
  <c r="R735" i="22"/>
  <c r="S735" i="22" s="1"/>
  <c r="R734" i="22"/>
  <c r="S734" i="22" s="1"/>
  <c r="R733" i="22"/>
  <c r="S733" i="22" s="1"/>
  <c r="R732" i="22"/>
  <c r="S732" i="22" s="1"/>
  <c r="R731" i="22"/>
  <c r="S731" i="22" s="1"/>
  <c r="R730" i="22"/>
  <c r="S730" i="22" s="1"/>
  <c r="R729" i="22"/>
  <c r="S729" i="22" s="1"/>
  <c r="R728" i="22"/>
  <c r="S728" i="22" s="1"/>
  <c r="R727" i="22"/>
  <c r="S727" i="22" s="1"/>
  <c r="R726" i="22"/>
  <c r="S726" i="22" s="1"/>
  <c r="R725" i="22"/>
  <c r="S725" i="22" s="1"/>
  <c r="R724" i="22"/>
  <c r="S724" i="22" s="1"/>
  <c r="R723" i="22"/>
  <c r="S723" i="22" s="1"/>
  <c r="R722" i="22"/>
  <c r="S722" i="22" s="1"/>
  <c r="R721" i="22"/>
  <c r="S721" i="22" s="1"/>
  <c r="R720" i="22"/>
  <c r="S720" i="22" s="1"/>
  <c r="R719" i="22"/>
  <c r="S719" i="22" s="1"/>
  <c r="R718" i="22"/>
  <c r="S718" i="22" s="1"/>
  <c r="R717" i="22"/>
  <c r="S717" i="22" s="1"/>
  <c r="R716" i="22"/>
  <c r="S716" i="22" s="1"/>
  <c r="R715" i="22"/>
  <c r="S715" i="22" s="1"/>
  <c r="R714" i="22"/>
  <c r="S714" i="22" s="1"/>
  <c r="R713" i="22"/>
  <c r="S713" i="22" s="1"/>
  <c r="R712" i="22"/>
  <c r="S712" i="22" s="1"/>
  <c r="R711" i="22"/>
  <c r="S711" i="22" s="1"/>
  <c r="R710" i="22"/>
  <c r="S710" i="22" s="1"/>
  <c r="R709" i="22"/>
  <c r="S709" i="22" s="1"/>
  <c r="R708" i="22"/>
  <c r="S708" i="22" s="1"/>
  <c r="R707" i="22"/>
  <c r="S707" i="22" s="1"/>
  <c r="R706" i="22"/>
  <c r="S706" i="22" s="1"/>
  <c r="R705" i="22"/>
  <c r="S705" i="22" s="1"/>
  <c r="R704" i="22"/>
  <c r="S704" i="22" s="1"/>
  <c r="R703" i="22"/>
  <c r="S703" i="22" s="1"/>
  <c r="R702" i="22"/>
  <c r="S702" i="22" s="1"/>
  <c r="R701" i="22"/>
  <c r="S701" i="22" s="1"/>
  <c r="R700" i="22"/>
  <c r="S700" i="22" s="1"/>
  <c r="R699" i="22"/>
  <c r="S699" i="22" s="1"/>
  <c r="R698" i="22"/>
  <c r="S698" i="22" s="1"/>
  <c r="R697" i="22"/>
  <c r="S697" i="22" s="1"/>
  <c r="R696" i="22"/>
  <c r="S696" i="22" s="1"/>
  <c r="R695" i="22"/>
  <c r="S695" i="22" s="1"/>
  <c r="R694" i="22"/>
  <c r="S694" i="22" s="1"/>
  <c r="R693" i="22"/>
  <c r="S693" i="22" s="1"/>
  <c r="R692" i="22"/>
  <c r="S692" i="22" s="1"/>
  <c r="R691" i="22"/>
  <c r="S691" i="22" s="1"/>
  <c r="R690" i="22"/>
  <c r="S690" i="22" s="1"/>
  <c r="R689" i="22"/>
  <c r="S689" i="22" s="1"/>
  <c r="R688" i="22"/>
  <c r="S688" i="22" s="1"/>
  <c r="R687" i="22"/>
  <c r="S687" i="22" s="1"/>
  <c r="R686" i="22"/>
  <c r="S686" i="22" s="1"/>
  <c r="R685" i="22"/>
  <c r="S685" i="22" s="1"/>
  <c r="R684" i="22"/>
  <c r="S684" i="22" s="1"/>
  <c r="R683" i="22"/>
  <c r="S683" i="22" s="1"/>
  <c r="R682" i="22"/>
  <c r="S682" i="22" s="1"/>
  <c r="R681" i="22"/>
  <c r="S681" i="22" s="1"/>
  <c r="R680" i="22"/>
  <c r="S680" i="22" s="1"/>
  <c r="R679" i="22"/>
  <c r="S679" i="22" s="1"/>
  <c r="R678" i="22"/>
  <c r="S678" i="22" s="1"/>
  <c r="R677" i="22"/>
  <c r="S677" i="22" s="1"/>
  <c r="R676" i="22"/>
  <c r="S676" i="22" s="1"/>
  <c r="R675" i="22"/>
  <c r="S675" i="22" s="1"/>
  <c r="R674" i="22"/>
  <c r="S674" i="22" s="1"/>
  <c r="R673" i="22"/>
  <c r="S673" i="22" s="1"/>
  <c r="R672" i="22"/>
  <c r="S672" i="22" s="1"/>
  <c r="R671" i="22"/>
  <c r="S671" i="22" s="1"/>
  <c r="R670" i="22"/>
  <c r="S670" i="22" s="1"/>
  <c r="R669" i="22"/>
  <c r="S669" i="22" s="1"/>
  <c r="R668" i="22"/>
  <c r="S668" i="22" s="1"/>
  <c r="R667" i="22"/>
  <c r="S667" i="22" s="1"/>
  <c r="R666" i="22"/>
  <c r="S666" i="22" s="1"/>
  <c r="R665" i="22"/>
  <c r="S665" i="22" s="1"/>
  <c r="R664" i="22"/>
  <c r="S664" i="22" s="1"/>
  <c r="R663" i="22"/>
  <c r="S663" i="22" s="1"/>
  <c r="R662" i="22"/>
  <c r="S662" i="22" s="1"/>
  <c r="R661" i="22"/>
  <c r="S661" i="22" s="1"/>
  <c r="R660" i="22"/>
  <c r="S660" i="22" s="1"/>
  <c r="R659" i="22"/>
  <c r="S659" i="22" s="1"/>
  <c r="R658" i="22"/>
  <c r="S658" i="22" s="1"/>
  <c r="R657" i="22"/>
  <c r="S657" i="22" s="1"/>
  <c r="R656" i="22"/>
  <c r="S656" i="22" s="1"/>
  <c r="R655" i="22"/>
  <c r="S655" i="22" s="1"/>
  <c r="R654" i="22"/>
  <c r="S654" i="22" s="1"/>
  <c r="R653" i="22"/>
  <c r="S653" i="22" s="1"/>
  <c r="R652" i="22"/>
  <c r="S652" i="22" s="1"/>
  <c r="R651" i="22"/>
  <c r="S651" i="22" s="1"/>
  <c r="R650" i="22"/>
  <c r="S650" i="22" s="1"/>
  <c r="R649" i="22"/>
  <c r="S649" i="22" s="1"/>
  <c r="R648" i="22"/>
  <c r="S648" i="22" s="1"/>
  <c r="R647" i="22"/>
  <c r="S647" i="22" s="1"/>
  <c r="R646" i="22"/>
  <c r="S646" i="22" s="1"/>
  <c r="R645" i="22"/>
  <c r="S645" i="22" s="1"/>
  <c r="R644" i="22"/>
  <c r="S644" i="22" s="1"/>
  <c r="R643" i="22"/>
  <c r="S643" i="22" s="1"/>
  <c r="R642" i="22"/>
  <c r="S642" i="22" s="1"/>
  <c r="R641" i="22"/>
  <c r="S641" i="22" s="1"/>
  <c r="R640" i="22"/>
  <c r="S640" i="22" s="1"/>
  <c r="R639" i="22"/>
  <c r="S639" i="22" s="1"/>
  <c r="R638" i="22"/>
  <c r="S638" i="22" s="1"/>
  <c r="R637" i="22"/>
  <c r="S637" i="22" s="1"/>
  <c r="R636" i="22"/>
  <c r="S636" i="22" s="1"/>
  <c r="R635" i="22"/>
  <c r="S635" i="22" s="1"/>
  <c r="R634" i="22"/>
  <c r="S634" i="22" s="1"/>
  <c r="R633" i="22"/>
  <c r="S633" i="22" s="1"/>
  <c r="R632" i="22"/>
  <c r="S632" i="22" s="1"/>
  <c r="R631" i="22"/>
  <c r="S631" i="22" s="1"/>
  <c r="R630" i="22"/>
  <c r="S630" i="22" s="1"/>
  <c r="R629" i="22"/>
  <c r="S629" i="22" s="1"/>
  <c r="R628" i="22"/>
  <c r="S628" i="22" s="1"/>
  <c r="R627" i="22"/>
  <c r="S627" i="22" s="1"/>
  <c r="R626" i="22"/>
  <c r="S626" i="22" s="1"/>
  <c r="R625" i="22"/>
  <c r="S625" i="22" s="1"/>
  <c r="R624" i="22"/>
  <c r="S624" i="22" s="1"/>
  <c r="R623" i="22"/>
  <c r="S623" i="22" s="1"/>
  <c r="R622" i="22"/>
  <c r="S622" i="22" s="1"/>
  <c r="R621" i="22"/>
  <c r="S621" i="22" s="1"/>
  <c r="R620" i="22"/>
  <c r="S620" i="22" s="1"/>
  <c r="R619" i="22"/>
  <c r="S619" i="22" s="1"/>
  <c r="R618" i="22"/>
  <c r="S618" i="22" s="1"/>
  <c r="R617" i="22"/>
  <c r="S617" i="22" s="1"/>
  <c r="R616" i="22"/>
  <c r="S616" i="22" s="1"/>
  <c r="R615" i="22"/>
  <c r="S615" i="22" s="1"/>
  <c r="R614" i="22"/>
  <c r="S614" i="22" s="1"/>
  <c r="R613" i="22"/>
  <c r="S613" i="22" s="1"/>
  <c r="R612" i="22"/>
  <c r="S612" i="22" s="1"/>
  <c r="R611" i="22"/>
  <c r="S611" i="22" s="1"/>
  <c r="R610" i="22"/>
  <c r="S610" i="22" s="1"/>
  <c r="R609" i="22"/>
  <c r="S609" i="22" s="1"/>
  <c r="R608" i="22"/>
  <c r="S608" i="22" s="1"/>
  <c r="R607" i="22"/>
  <c r="S607" i="22" s="1"/>
  <c r="R606" i="22"/>
  <c r="S606" i="22" s="1"/>
  <c r="R605" i="22"/>
  <c r="S605" i="22" s="1"/>
  <c r="R604" i="22"/>
  <c r="S604" i="22" s="1"/>
  <c r="R603" i="22"/>
  <c r="S603" i="22" s="1"/>
  <c r="R602" i="22"/>
  <c r="S602" i="22" s="1"/>
  <c r="R601" i="22"/>
  <c r="S601" i="22" s="1"/>
  <c r="R600" i="22"/>
  <c r="S600" i="22" s="1"/>
  <c r="R599" i="22"/>
  <c r="S599" i="22" s="1"/>
  <c r="R598" i="22"/>
  <c r="S598" i="22" s="1"/>
  <c r="R597" i="22"/>
  <c r="S597" i="22" s="1"/>
  <c r="R596" i="22"/>
  <c r="S596" i="22" s="1"/>
  <c r="R595" i="22"/>
  <c r="S595" i="22" s="1"/>
  <c r="R594" i="22"/>
  <c r="S594" i="22" s="1"/>
  <c r="R593" i="22"/>
  <c r="S593" i="22" s="1"/>
  <c r="R592" i="22"/>
  <c r="S592" i="22" s="1"/>
  <c r="R591" i="22"/>
  <c r="S591" i="22" s="1"/>
  <c r="R590" i="22"/>
  <c r="S590" i="22" s="1"/>
  <c r="R589" i="22"/>
  <c r="S589" i="22" s="1"/>
  <c r="R588" i="22"/>
  <c r="S588" i="22" s="1"/>
  <c r="R587" i="22"/>
  <c r="S587" i="22" s="1"/>
  <c r="R586" i="22"/>
  <c r="S586" i="22" s="1"/>
  <c r="R585" i="22"/>
  <c r="S585" i="22" s="1"/>
  <c r="R584" i="22"/>
  <c r="S584" i="22" s="1"/>
  <c r="R583" i="22"/>
  <c r="S583" i="22" s="1"/>
  <c r="R582" i="22"/>
  <c r="S582" i="22" s="1"/>
  <c r="R581" i="22"/>
  <c r="S581" i="22" s="1"/>
  <c r="R580" i="22"/>
  <c r="S580" i="22" s="1"/>
  <c r="R579" i="22"/>
  <c r="S579" i="22" s="1"/>
  <c r="R578" i="22"/>
  <c r="S578" i="22" s="1"/>
  <c r="R577" i="22"/>
  <c r="S577" i="22" s="1"/>
  <c r="R576" i="22"/>
  <c r="S576" i="22" s="1"/>
  <c r="R575" i="22"/>
  <c r="S575" i="22" s="1"/>
  <c r="R574" i="22"/>
  <c r="S574" i="22" s="1"/>
  <c r="R573" i="22"/>
  <c r="S573" i="22" s="1"/>
  <c r="R572" i="22"/>
  <c r="S572" i="22" s="1"/>
  <c r="R571" i="22"/>
  <c r="S571" i="22" s="1"/>
  <c r="R570" i="22"/>
  <c r="S570" i="22" s="1"/>
  <c r="R569" i="22"/>
  <c r="S569" i="22" s="1"/>
  <c r="R568" i="22"/>
  <c r="S568" i="22" s="1"/>
  <c r="R567" i="22"/>
  <c r="S567" i="22" s="1"/>
  <c r="R566" i="22"/>
  <c r="S566" i="22" s="1"/>
  <c r="R565" i="22"/>
  <c r="S565" i="22" s="1"/>
  <c r="R564" i="22"/>
  <c r="S564" i="22" s="1"/>
  <c r="R563" i="22"/>
  <c r="S563" i="22" s="1"/>
  <c r="R562" i="22"/>
  <c r="S562" i="22" s="1"/>
  <c r="R561" i="22"/>
  <c r="S561" i="22" s="1"/>
  <c r="R560" i="22"/>
  <c r="S560" i="22" s="1"/>
  <c r="R559" i="22"/>
  <c r="S559" i="22" s="1"/>
  <c r="R558" i="22"/>
  <c r="S558" i="22" s="1"/>
  <c r="R557" i="22"/>
  <c r="S557" i="22" s="1"/>
  <c r="R556" i="22"/>
  <c r="S556" i="22" s="1"/>
  <c r="R555" i="22"/>
  <c r="S555" i="22" s="1"/>
  <c r="R554" i="22"/>
  <c r="S554" i="22" s="1"/>
  <c r="R553" i="22"/>
  <c r="S553" i="22" s="1"/>
  <c r="R552" i="22"/>
  <c r="S552" i="22" s="1"/>
  <c r="R551" i="22"/>
  <c r="S551" i="22" s="1"/>
  <c r="R550" i="22"/>
  <c r="S550" i="22" s="1"/>
  <c r="R549" i="22"/>
  <c r="S549" i="22" s="1"/>
  <c r="R548" i="22"/>
  <c r="S548" i="22" s="1"/>
  <c r="R547" i="22"/>
  <c r="S547" i="22" s="1"/>
  <c r="R546" i="22"/>
  <c r="S546" i="22" s="1"/>
  <c r="R545" i="22"/>
  <c r="S545" i="22" s="1"/>
  <c r="R544" i="22"/>
  <c r="S544" i="22" s="1"/>
  <c r="R543" i="22"/>
  <c r="S543" i="22" s="1"/>
  <c r="R542" i="22"/>
  <c r="S542" i="22" s="1"/>
  <c r="R541" i="22"/>
  <c r="S541" i="22" s="1"/>
  <c r="R540" i="22"/>
  <c r="S540" i="22" s="1"/>
  <c r="R539" i="22"/>
  <c r="S539" i="22" s="1"/>
  <c r="R538" i="22"/>
  <c r="S538" i="22" s="1"/>
  <c r="R537" i="22"/>
  <c r="S537" i="22" s="1"/>
  <c r="R536" i="22"/>
  <c r="S536" i="22" s="1"/>
  <c r="R535" i="22"/>
  <c r="S535" i="22" s="1"/>
  <c r="R534" i="22"/>
  <c r="S534" i="22" s="1"/>
  <c r="R533" i="22"/>
  <c r="S533" i="22" s="1"/>
  <c r="R532" i="22"/>
  <c r="S532" i="22" s="1"/>
  <c r="R531" i="22"/>
  <c r="S531" i="22" s="1"/>
  <c r="R530" i="22"/>
  <c r="S530" i="22" s="1"/>
  <c r="R529" i="22"/>
  <c r="S529" i="22" s="1"/>
  <c r="R528" i="22"/>
  <c r="S528" i="22" s="1"/>
  <c r="R527" i="22"/>
  <c r="S527" i="22" s="1"/>
  <c r="R526" i="22"/>
  <c r="S526" i="22" s="1"/>
  <c r="R525" i="22"/>
  <c r="S525" i="22" s="1"/>
  <c r="R524" i="22"/>
  <c r="S524" i="22" s="1"/>
  <c r="R523" i="22"/>
  <c r="S523" i="22" s="1"/>
  <c r="R522" i="22"/>
  <c r="S522" i="22" s="1"/>
  <c r="R521" i="22"/>
  <c r="S521" i="22" s="1"/>
  <c r="R520" i="22"/>
  <c r="S520" i="22" s="1"/>
  <c r="R519" i="22"/>
  <c r="S519" i="22" s="1"/>
  <c r="R518" i="22"/>
  <c r="S518" i="22" s="1"/>
  <c r="R517" i="22"/>
  <c r="S517" i="22" s="1"/>
  <c r="R516" i="22"/>
  <c r="S516" i="22" s="1"/>
  <c r="R515" i="22"/>
  <c r="S515" i="22" s="1"/>
  <c r="R514" i="22"/>
  <c r="S514" i="22" s="1"/>
  <c r="R513" i="22"/>
  <c r="S513" i="22" s="1"/>
  <c r="R512" i="22"/>
  <c r="S512" i="22" s="1"/>
  <c r="R511" i="22"/>
  <c r="S511" i="22" s="1"/>
  <c r="R510" i="22"/>
  <c r="S510" i="22" s="1"/>
  <c r="R509" i="22"/>
  <c r="S509" i="22" s="1"/>
  <c r="R508" i="22"/>
  <c r="S508" i="22" s="1"/>
  <c r="R507" i="22"/>
  <c r="S507" i="22" s="1"/>
  <c r="R506" i="22"/>
  <c r="S506" i="22" s="1"/>
  <c r="R505" i="22"/>
  <c r="S505" i="22" s="1"/>
  <c r="R504" i="22"/>
  <c r="S504" i="22" s="1"/>
  <c r="R503" i="22"/>
  <c r="S503" i="22" s="1"/>
  <c r="R502" i="22"/>
  <c r="S502" i="22" s="1"/>
  <c r="R501" i="22"/>
  <c r="S501" i="22" s="1"/>
  <c r="R500" i="22"/>
  <c r="S500" i="22" s="1"/>
  <c r="R499" i="22"/>
  <c r="S499" i="22" s="1"/>
  <c r="R498" i="22"/>
  <c r="S498" i="22" s="1"/>
  <c r="R497" i="22"/>
  <c r="S497" i="22" s="1"/>
  <c r="R496" i="22"/>
  <c r="S496" i="22" s="1"/>
  <c r="R495" i="22"/>
  <c r="S495" i="22" s="1"/>
  <c r="R494" i="22"/>
  <c r="S494" i="22" s="1"/>
  <c r="R493" i="22"/>
  <c r="S493" i="22" s="1"/>
  <c r="R492" i="22"/>
  <c r="S492" i="22" s="1"/>
  <c r="R491" i="22"/>
  <c r="S491" i="22" s="1"/>
  <c r="R490" i="22"/>
  <c r="S490" i="22" s="1"/>
  <c r="R489" i="22"/>
  <c r="S489" i="22" s="1"/>
  <c r="R488" i="22"/>
  <c r="S488" i="22" s="1"/>
  <c r="R487" i="22"/>
  <c r="S487" i="22" s="1"/>
  <c r="R486" i="22"/>
  <c r="S486" i="22" s="1"/>
  <c r="R485" i="22"/>
  <c r="S485" i="22" s="1"/>
  <c r="R484" i="22"/>
  <c r="S484" i="22" s="1"/>
  <c r="R483" i="22"/>
  <c r="S483" i="22" s="1"/>
  <c r="R482" i="22"/>
  <c r="S482" i="22" s="1"/>
  <c r="R481" i="22"/>
  <c r="S481" i="22" s="1"/>
  <c r="R480" i="22"/>
  <c r="S480" i="22" s="1"/>
  <c r="R479" i="22"/>
  <c r="S479" i="22" s="1"/>
  <c r="R478" i="22"/>
  <c r="S478" i="22" s="1"/>
  <c r="R477" i="22"/>
  <c r="S477" i="22" s="1"/>
  <c r="R476" i="22"/>
  <c r="S476" i="22" s="1"/>
  <c r="R475" i="22"/>
  <c r="S475" i="22" s="1"/>
  <c r="R474" i="22"/>
  <c r="S474" i="22" s="1"/>
  <c r="R473" i="22"/>
  <c r="S473" i="22" s="1"/>
  <c r="R472" i="22"/>
  <c r="S472" i="22" s="1"/>
  <c r="R471" i="22"/>
  <c r="S471" i="22" s="1"/>
  <c r="R470" i="22"/>
  <c r="S470" i="22" s="1"/>
  <c r="R469" i="22"/>
  <c r="S469" i="22" s="1"/>
  <c r="R468" i="22"/>
  <c r="S468" i="22" s="1"/>
  <c r="R467" i="22"/>
  <c r="S467" i="22" s="1"/>
  <c r="R466" i="22"/>
  <c r="S466" i="22" s="1"/>
  <c r="R465" i="22"/>
  <c r="S465" i="22" s="1"/>
  <c r="R464" i="22"/>
  <c r="S464" i="22" s="1"/>
  <c r="R463" i="22"/>
  <c r="S463" i="22" s="1"/>
  <c r="R462" i="22"/>
  <c r="S462" i="22" s="1"/>
  <c r="R461" i="22"/>
  <c r="S461" i="22" s="1"/>
  <c r="R460" i="22"/>
  <c r="S460" i="22" s="1"/>
  <c r="R459" i="22"/>
  <c r="S459" i="22" s="1"/>
  <c r="R458" i="22"/>
  <c r="S458" i="22" s="1"/>
  <c r="R457" i="22"/>
  <c r="S457" i="22" s="1"/>
  <c r="R456" i="22"/>
  <c r="S456" i="22" s="1"/>
  <c r="R455" i="22"/>
  <c r="S455" i="22" s="1"/>
  <c r="R454" i="22"/>
  <c r="S454" i="22" s="1"/>
  <c r="R453" i="22"/>
  <c r="S453" i="22" s="1"/>
  <c r="R452" i="22"/>
  <c r="S452" i="22" s="1"/>
  <c r="R451" i="22"/>
  <c r="S451" i="22" s="1"/>
  <c r="R450" i="22"/>
  <c r="S450" i="22" s="1"/>
  <c r="R449" i="22"/>
  <c r="S449" i="22" s="1"/>
  <c r="R448" i="22"/>
  <c r="S448" i="22" s="1"/>
  <c r="R447" i="22"/>
  <c r="S447" i="22" s="1"/>
  <c r="R446" i="22"/>
  <c r="S446" i="22" s="1"/>
  <c r="R445" i="22"/>
  <c r="S445" i="22" s="1"/>
  <c r="R444" i="22"/>
  <c r="S444" i="22" s="1"/>
  <c r="R443" i="22"/>
  <c r="S443" i="22" s="1"/>
  <c r="R442" i="22"/>
  <c r="S442" i="22" s="1"/>
  <c r="R441" i="22"/>
  <c r="S441" i="22" s="1"/>
  <c r="R440" i="22"/>
  <c r="S440" i="22" s="1"/>
  <c r="R439" i="22"/>
  <c r="S439" i="22" s="1"/>
  <c r="R438" i="22"/>
  <c r="S438" i="22" s="1"/>
  <c r="R437" i="22"/>
  <c r="S437" i="22" s="1"/>
  <c r="R436" i="22"/>
  <c r="S436" i="22" s="1"/>
  <c r="R435" i="22"/>
  <c r="S435" i="22" s="1"/>
  <c r="R434" i="22"/>
  <c r="S434" i="22" s="1"/>
  <c r="R433" i="22"/>
  <c r="S433" i="22" s="1"/>
  <c r="R432" i="22"/>
  <c r="S432" i="22" s="1"/>
  <c r="R431" i="22"/>
  <c r="S431" i="22" s="1"/>
  <c r="R430" i="22"/>
  <c r="S430" i="22" s="1"/>
  <c r="R429" i="22"/>
  <c r="S429" i="22" s="1"/>
  <c r="R428" i="22"/>
  <c r="S428" i="22" s="1"/>
  <c r="R427" i="22"/>
  <c r="S427" i="22" s="1"/>
  <c r="R426" i="22"/>
  <c r="S426" i="22" s="1"/>
  <c r="R425" i="22"/>
  <c r="S425" i="22" s="1"/>
  <c r="R424" i="22"/>
  <c r="S424" i="22" s="1"/>
  <c r="R423" i="22"/>
  <c r="S423" i="22" s="1"/>
  <c r="R422" i="22"/>
  <c r="S422" i="22" s="1"/>
  <c r="R421" i="22"/>
  <c r="S421" i="22" s="1"/>
  <c r="R420" i="22"/>
  <c r="S420" i="22" s="1"/>
  <c r="R419" i="22"/>
  <c r="S419" i="22" s="1"/>
  <c r="R418" i="22"/>
  <c r="S418" i="22" s="1"/>
  <c r="R417" i="22"/>
  <c r="S417" i="22" s="1"/>
  <c r="R416" i="22"/>
  <c r="S416" i="22" s="1"/>
  <c r="R415" i="22"/>
  <c r="S415" i="22" s="1"/>
  <c r="R414" i="22"/>
  <c r="S414" i="22" s="1"/>
  <c r="R413" i="22"/>
  <c r="S413" i="22" s="1"/>
  <c r="R412" i="22"/>
  <c r="S412" i="22" s="1"/>
  <c r="R411" i="22"/>
  <c r="S411" i="22" s="1"/>
  <c r="R410" i="22"/>
  <c r="S410" i="22" s="1"/>
  <c r="R409" i="22"/>
  <c r="S409" i="22" s="1"/>
  <c r="R408" i="22"/>
  <c r="S408" i="22" s="1"/>
  <c r="R407" i="22"/>
  <c r="S407" i="22" s="1"/>
  <c r="R406" i="22"/>
  <c r="S406" i="22" s="1"/>
  <c r="R405" i="22"/>
  <c r="S405" i="22" s="1"/>
  <c r="R404" i="22"/>
  <c r="S404" i="22" s="1"/>
  <c r="R403" i="22"/>
  <c r="S403" i="22" s="1"/>
  <c r="R402" i="22"/>
  <c r="S402" i="22" s="1"/>
  <c r="R401" i="22"/>
  <c r="S401" i="22" s="1"/>
  <c r="R400" i="22"/>
  <c r="S400" i="22" s="1"/>
  <c r="R399" i="22"/>
  <c r="S399" i="22" s="1"/>
  <c r="R398" i="22"/>
  <c r="S398" i="22" s="1"/>
  <c r="R397" i="22"/>
  <c r="S397" i="22" s="1"/>
  <c r="R396" i="22"/>
  <c r="S396" i="22" s="1"/>
  <c r="R395" i="22"/>
  <c r="S395" i="22" s="1"/>
  <c r="R394" i="22"/>
  <c r="S394" i="22" s="1"/>
  <c r="R393" i="22"/>
  <c r="S393" i="22" s="1"/>
  <c r="R392" i="22"/>
  <c r="S392" i="22" s="1"/>
  <c r="R391" i="22"/>
  <c r="S391" i="22" s="1"/>
  <c r="R390" i="22"/>
  <c r="S390" i="22" s="1"/>
  <c r="R389" i="22"/>
  <c r="S389" i="22" s="1"/>
  <c r="R388" i="22"/>
  <c r="S388" i="22" s="1"/>
  <c r="R387" i="22"/>
  <c r="S387" i="22" s="1"/>
  <c r="R386" i="22"/>
  <c r="S386" i="22" s="1"/>
  <c r="R385" i="22"/>
  <c r="S385" i="22" s="1"/>
  <c r="R384" i="22"/>
  <c r="S384" i="22" s="1"/>
  <c r="R383" i="22"/>
  <c r="S383" i="22" s="1"/>
  <c r="R382" i="22"/>
  <c r="S382" i="22" s="1"/>
  <c r="R381" i="22"/>
  <c r="S381" i="22" s="1"/>
  <c r="R380" i="22"/>
  <c r="S380" i="22" s="1"/>
  <c r="R379" i="22"/>
  <c r="S379" i="22" s="1"/>
  <c r="R378" i="22"/>
  <c r="S378" i="22" s="1"/>
  <c r="R377" i="22"/>
  <c r="S377" i="22" s="1"/>
  <c r="R376" i="22"/>
  <c r="S376" i="22" s="1"/>
  <c r="R375" i="22"/>
  <c r="S375" i="22" s="1"/>
  <c r="R374" i="22"/>
  <c r="S374" i="22" s="1"/>
  <c r="R373" i="22"/>
  <c r="S373" i="22" s="1"/>
  <c r="R372" i="22"/>
  <c r="S372" i="22" s="1"/>
  <c r="R371" i="22"/>
  <c r="S371" i="22" s="1"/>
  <c r="R370" i="22"/>
  <c r="S370" i="22" s="1"/>
  <c r="R369" i="22"/>
  <c r="S369" i="22" s="1"/>
  <c r="R368" i="22"/>
  <c r="S368" i="22" s="1"/>
  <c r="R367" i="22"/>
  <c r="S367" i="22" s="1"/>
  <c r="R366" i="22"/>
  <c r="S366" i="22" s="1"/>
  <c r="R365" i="22"/>
  <c r="S365" i="22" s="1"/>
  <c r="R364" i="22"/>
  <c r="S364" i="22" s="1"/>
  <c r="R363" i="22"/>
  <c r="S363" i="22" s="1"/>
  <c r="R362" i="22"/>
  <c r="S362" i="22" s="1"/>
  <c r="R361" i="22"/>
  <c r="S361" i="22" s="1"/>
  <c r="R360" i="22"/>
  <c r="S360" i="22" s="1"/>
  <c r="R359" i="22"/>
  <c r="S359" i="22" s="1"/>
  <c r="R358" i="22"/>
  <c r="S358" i="22" s="1"/>
  <c r="R357" i="22"/>
  <c r="S357" i="22" s="1"/>
  <c r="R356" i="22"/>
  <c r="S356" i="22" s="1"/>
  <c r="R355" i="22"/>
  <c r="S355" i="22" s="1"/>
  <c r="R354" i="22"/>
  <c r="S354" i="22" s="1"/>
  <c r="R353" i="22"/>
  <c r="S353" i="22" s="1"/>
  <c r="R352" i="22"/>
  <c r="S352" i="22" s="1"/>
  <c r="R351" i="22"/>
  <c r="S351" i="22" s="1"/>
  <c r="R350" i="22"/>
  <c r="S350" i="22" s="1"/>
  <c r="R349" i="22"/>
  <c r="S349" i="22" s="1"/>
  <c r="R348" i="22"/>
  <c r="S348" i="22" s="1"/>
  <c r="R347" i="22"/>
  <c r="S347" i="22" s="1"/>
  <c r="R346" i="22"/>
  <c r="S346" i="22" s="1"/>
  <c r="R345" i="22"/>
  <c r="S345" i="22" s="1"/>
  <c r="R344" i="22"/>
  <c r="S344" i="22" s="1"/>
  <c r="R343" i="22"/>
  <c r="S343" i="22" s="1"/>
  <c r="R342" i="22"/>
  <c r="S342" i="22" s="1"/>
  <c r="R341" i="22"/>
  <c r="S341" i="22" s="1"/>
  <c r="R340" i="22"/>
  <c r="S340" i="22" s="1"/>
  <c r="R339" i="22"/>
  <c r="S339" i="22" s="1"/>
  <c r="R338" i="22"/>
  <c r="S338" i="22" s="1"/>
  <c r="R337" i="22"/>
  <c r="S337" i="22" s="1"/>
  <c r="R336" i="22"/>
  <c r="S336" i="22" s="1"/>
  <c r="R335" i="22"/>
  <c r="S335" i="22" s="1"/>
  <c r="R334" i="22"/>
  <c r="S334" i="22" s="1"/>
  <c r="R333" i="22"/>
  <c r="S333" i="22" s="1"/>
  <c r="R332" i="22"/>
  <c r="S332" i="22" s="1"/>
  <c r="R331" i="22"/>
  <c r="S331" i="22" s="1"/>
  <c r="R330" i="22"/>
  <c r="S330" i="22" s="1"/>
  <c r="R329" i="22"/>
  <c r="S329" i="22" s="1"/>
  <c r="R328" i="22"/>
  <c r="S328" i="22" s="1"/>
  <c r="R327" i="22"/>
  <c r="S327" i="22" s="1"/>
  <c r="R326" i="22"/>
  <c r="S326" i="22" s="1"/>
  <c r="R325" i="22"/>
  <c r="S325" i="22" s="1"/>
  <c r="R324" i="22"/>
  <c r="S324" i="22" s="1"/>
  <c r="R323" i="22"/>
  <c r="S323" i="22" s="1"/>
  <c r="R322" i="22"/>
  <c r="S322" i="22" s="1"/>
  <c r="R321" i="22"/>
  <c r="S321" i="22" s="1"/>
  <c r="R320" i="22"/>
  <c r="S320" i="22" s="1"/>
  <c r="R319" i="22"/>
  <c r="S319" i="22" s="1"/>
  <c r="R318" i="22"/>
  <c r="S318" i="22" s="1"/>
  <c r="R317" i="22"/>
  <c r="S317" i="22" s="1"/>
  <c r="R316" i="22"/>
  <c r="S316" i="22" s="1"/>
  <c r="R315" i="22"/>
  <c r="S315" i="22" s="1"/>
  <c r="R314" i="22"/>
  <c r="S314" i="22" s="1"/>
  <c r="R313" i="22"/>
  <c r="S313" i="22" s="1"/>
  <c r="R312" i="22"/>
  <c r="S312" i="22" s="1"/>
  <c r="R311" i="22"/>
  <c r="S311" i="22" s="1"/>
  <c r="R310" i="22"/>
  <c r="S310" i="22" s="1"/>
  <c r="R309" i="22"/>
  <c r="S309" i="22" s="1"/>
  <c r="R308" i="22"/>
  <c r="S308" i="22" s="1"/>
  <c r="R307" i="22"/>
  <c r="S307" i="22" s="1"/>
  <c r="R306" i="22"/>
  <c r="S306" i="22" s="1"/>
  <c r="R305" i="22"/>
  <c r="S305" i="22" s="1"/>
  <c r="R304" i="22"/>
  <c r="S304" i="22" s="1"/>
  <c r="R303" i="22"/>
  <c r="S303" i="22" s="1"/>
  <c r="R302" i="22"/>
  <c r="S302" i="22" s="1"/>
  <c r="R301" i="22"/>
  <c r="S301" i="22" s="1"/>
  <c r="R300" i="22"/>
  <c r="S300" i="22" s="1"/>
  <c r="R299" i="22"/>
  <c r="S299" i="22" s="1"/>
  <c r="R298" i="22"/>
  <c r="S298" i="22" s="1"/>
  <c r="R297" i="22"/>
  <c r="S297" i="22" s="1"/>
  <c r="R296" i="22"/>
  <c r="S296" i="22" s="1"/>
  <c r="R295" i="22"/>
  <c r="S295" i="22" s="1"/>
  <c r="R294" i="22"/>
  <c r="S294" i="22" s="1"/>
  <c r="R293" i="22"/>
  <c r="S293" i="22" s="1"/>
  <c r="R292" i="22"/>
  <c r="S292" i="22" s="1"/>
  <c r="R291" i="22"/>
  <c r="S291" i="22" s="1"/>
  <c r="R290" i="22"/>
  <c r="S290" i="22" s="1"/>
  <c r="R289" i="22"/>
  <c r="S289" i="22" s="1"/>
  <c r="R288" i="22"/>
  <c r="S288" i="22" s="1"/>
  <c r="R287" i="22"/>
  <c r="S287" i="22" s="1"/>
  <c r="R286" i="22"/>
  <c r="S286" i="22" s="1"/>
  <c r="R285" i="22"/>
  <c r="S285" i="22" s="1"/>
  <c r="R284" i="22"/>
  <c r="S284" i="22" s="1"/>
  <c r="R283" i="22"/>
  <c r="S283" i="22" s="1"/>
  <c r="R282" i="22"/>
  <c r="S282" i="22" s="1"/>
  <c r="R281" i="22"/>
  <c r="S281" i="22" s="1"/>
  <c r="R280" i="22"/>
  <c r="S280" i="22" s="1"/>
  <c r="R279" i="22"/>
  <c r="S279" i="22" s="1"/>
  <c r="R278" i="22"/>
  <c r="S278" i="22" s="1"/>
  <c r="R277" i="22"/>
  <c r="S277" i="22" s="1"/>
  <c r="R276" i="22"/>
  <c r="S276" i="22" s="1"/>
  <c r="R275" i="22"/>
  <c r="S275" i="22" s="1"/>
  <c r="R274" i="22"/>
  <c r="S274" i="22" s="1"/>
  <c r="R273" i="22"/>
  <c r="S273" i="22" s="1"/>
  <c r="R272" i="22"/>
  <c r="S272" i="22" s="1"/>
  <c r="R271" i="22"/>
  <c r="S271" i="22" s="1"/>
  <c r="R270" i="22"/>
  <c r="S270" i="22" s="1"/>
  <c r="R269" i="22"/>
  <c r="S269" i="22" s="1"/>
  <c r="R268" i="22"/>
  <c r="S268" i="22" s="1"/>
  <c r="R267" i="22"/>
  <c r="S267" i="22" s="1"/>
  <c r="R266" i="22"/>
  <c r="S266" i="22" s="1"/>
  <c r="R265" i="22"/>
  <c r="S265" i="22" s="1"/>
  <c r="R264" i="22"/>
  <c r="S264" i="22" s="1"/>
  <c r="R263" i="22"/>
  <c r="S263" i="22" s="1"/>
  <c r="R262" i="22"/>
  <c r="S262" i="22" s="1"/>
  <c r="R261" i="22"/>
  <c r="S261" i="22" s="1"/>
  <c r="R260" i="22"/>
  <c r="S260" i="22" s="1"/>
  <c r="R259" i="22"/>
  <c r="S259" i="22" s="1"/>
  <c r="R258" i="22"/>
  <c r="S258" i="22" s="1"/>
  <c r="R257" i="22"/>
  <c r="S257" i="22" s="1"/>
  <c r="R256" i="22"/>
  <c r="S256" i="22" s="1"/>
  <c r="R255" i="22"/>
  <c r="S255" i="22" s="1"/>
  <c r="R254" i="22"/>
  <c r="S254" i="22" s="1"/>
  <c r="R253" i="22"/>
  <c r="S253" i="22" s="1"/>
  <c r="R252" i="22"/>
  <c r="S252" i="22" s="1"/>
  <c r="R251" i="22"/>
  <c r="S251" i="22" s="1"/>
  <c r="R250" i="22"/>
  <c r="S250" i="22" s="1"/>
  <c r="R249" i="22"/>
  <c r="S249" i="22" s="1"/>
  <c r="R248" i="22"/>
  <c r="S248" i="22" s="1"/>
  <c r="R247" i="22"/>
  <c r="S247" i="22" s="1"/>
  <c r="R246" i="22"/>
  <c r="S246" i="22" s="1"/>
  <c r="R245" i="22"/>
  <c r="S245" i="22" s="1"/>
  <c r="R244" i="22"/>
  <c r="S244" i="22" s="1"/>
  <c r="R243" i="22"/>
  <c r="S243" i="22" s="1"/>
  <c r="R242" i="22"/>
  <c r="S242" i="22" s="1"/>
  <c r="R241" i="22"/>
  <c r="S241" i="22" s="1"/>
  <c r="R240" i="22"/>
  <c r="S240" i="22" s="1"/>
  <c r="R239" i="22"/>
  <c r="S239" i="22" s="1"/>
  <c r="R238" i="22"/>
  <c r="S238" i="22" s="1"/>
  <c r="R237" i="22"/>
  <c r="S237" i="22" s="1"/>
  <c r="R236" i="22"/>
  <c r="S236" i="22" s="1"/>
  <c r="R235" i="22"/>
  <c r="S235" i="22" s="1"/>
  <c r="R234" i="22"/>
  <c r="S234" i="22" s="1"/>
  <c r="R233" i="22"/>
  <c r="S233" i="22" s="1"/>
  <c r="R232" i="22"/>
  <c r="S232" i="22" s="1"/>
  <c r="R231" i="22"/>
  <c r="S231" i="22" s="1"/>
  <c r="R230" i="22"/>
  <c r="S230" i="22" s="1"/>
  <c r="R229" i="22"/>
  <c r="S229" i="22" s="1"/>
  <c r="R228" i="22"/>
  <c r="S228" i="22" s="1"/>
  <c r="R227" i="22"/>
  <c r="S227" i="22" s="1"/>
  <c r="R226" i="22"/>
  <c r="S226" i="22" s="1"/>
  <c r="R225" i="22"/>
  <c r="S225" i="22" s="1"/>
  <c r="R224" i="22"/>
  <c r="S224" i="22" s="1"/>
  <c r="R223" i="22"/>
  <c r="S223" i="22" s="1"/>
  <c r="R222" i="22"/>
  <c r="S222" i="22" s="1"/>
  <c r="R221" i="22"/>
  <c r="S221" i="22" s="1"/>
  <c r="R220" i="22"/>
  <c r="S220" i="22" s="1"/>
  <c r="R219" i="22"/>
  <c r="S219" i="22" s="1"/>
  <c r="R218" i="22"/>
  <c r="S218" i="22" s="1"/>
  <c r="R217" i="22"/>
  <c r="S217" i="22" s="1"/>
  <c r="R216" i="22"/>
  <c r="S216" i="22" s="1"/>
  <c r="R215" i="22"/>
  <c r="S215" i="22" s="1"/>
  <c r="R214" i="22"/>
  <c r="S214" i="22" s="1"/>
  <c r="R213" i="22"/>
  <c r="S213" i="22" s="1"/>
  <c r="R212" i="22"/>
  <c r="S212" i="22" s="1"/>
  <c r="R211" i="22"/>
  <c r="S211" i="22" s="1"/>
  <c r="R210" i="22"/>
  <c r="S210" i="22" s="1"/>
  <c r="R209" i="22"/>
  <c r="S209" i="22" s="1"/>
  <c r="R208" i="22"/>
  <c r="S208" i="22" s="1"/>
  <c r="R207" i="22"/>
  <c r="S207" i="22" s="1"/>
  <c r="R206" i="22"/>
  <c r="S206" i="22" s="1"/>
  <c r="R205" i="22"/>
  <c r="S205" i="22" s="1"/>
  <c r="R204" i="22"/>
  <c r="S204" i="22" s="1"/>
  <c r="R203" i="22"/>
  <c r="S203" i="22" s="1"/>
  <c r="R202" i="22"/>
  <c r="S202" i="22" s="1"/>
  <c r="R201" i="22"/>
  <c r="S201" i="22" s="1"/>
  <c r="R200" i="22"/>
  <c r="S200" i="22" s="1"/>
  <c r="R199" i="22"/>
  <c r="S199" i="22" s="1"/>
  <c r="R198" i="22"/>
  <c r="S198" i="22" s="1"/>
  <c r="R197" i="22"/>
  <c r="S197" i="22" s="1"/>
  <c r="R196" i="22"/>
  <c r="S196" i="22" s="1"/>
  <c r="R195" i="22"/>
  <c r="S195" i="22" s="1"/>
  <c r="R194" i="22"/>
  <c r="S194" i="22" s="1"/>
  <c r="R193" i="22"/>
  <c r="S193" i="22" s="1"/>
  <c r="R192" i="22"/>
  <c r="S192" i="22" s="1"/>
  <c r="R191" i="22"/>
  <c r="S191" i="22" s="1"/>
  <c r="R190" i="22"/>
  <c r="S190" i="22" s="1"/>
  <c r="R189" i="22"/>
  <c r="S189" i="22" s="1"/>
  <c r="R188" i="22"/>
  <c r="S188" i="22" s="1"/>
  <c r="R187" i="22"/>
  <c r="S187" i="22" s="1"/>
  <c r="R186" i="22"/>
  <c r="S186" i="22" s="1"/>
  <c r="R185" i="22"/>
  <c r="S185" i="22" s="1"/>
  <c r="R184" i="22"/>
  <c r="S184" i="22" s="1"/>
  <c r="R183" i="22"/>
  <c r="S183" i="22" s="1"/>
  <c r="R182" i="22"/>
  <c r="S182" i="22" s="1"/>
  <c r="R181" i="22"/>
  <c r="S181" i="22" s="1"/>
  <c r="R180" i="22"/>
  <c r="S180" i="22" s="1"/>
  <c r="R179" i="22"/>
  <c r="S179" i="22" s="1"/>
  <c r="R178" i="22"/>
  <c r="S178" i="22" s="1"/>
  <c r="R177" i="22"/>
  <c r="S177" i="22" s="1"/>
  <c r="R176" i="22"/>
  <c r="S176" i="22" s="1"/>
  <c r="R175" i="22"/>
  <c r="S175" i="22" s="1"/>
  <c r="R174" i="22"/>
  <c r="S174" i="22" s="1"/>
  <c r="R173" i="22"/>
  <c r="S173" i="22" s="1"/>
  <c r="R172" i="22"/>
  <c r="S172" i="22" s="1"/>
  <c r="R171" i="22"/>
  <c r="S171" i="22" s="1"/>
  <c r="R170" i="22"/>
  <c r="S170" i="22" s="1"/>
  <c r="R169" i="22"/>
  <c r="S169" i="22" s="1"/>
  <c r="R168" i="22"/>
  <c r="S168" i="22" s="1"/>
  <c r="R167" i="22"/>
  <c r="S167" i="22" s="1"/>
  <c r="R166" i="22"/>
  <c r="S166" i="22" s="1"/>
  <c r="R165" i="22"/>
  <c r="S165" i="22" s="1"/>
  <c r="R164" i="22"/>
  <c r="S164" i="22" s="1"/>
  <c r="R163" i="22"/>
  <c r="S163" i="22" s="1"/>
  <c r="R162" i="22"/>
  <c r="S162" i="22" s="1"/>
  <c r="R161" i="22"/>
  <c r="S161" i="22" s="1"/>
  <c r="R160" i="22"/>
  <c r="S160" i="22" s="1"/>
  <c r="R159" i="22"/>
  <c r="S159" i="22" s="1"/>
  <c r="R158" i="22"/>
  <c r="S158" i="22" s="1"/>
  <c r="R157" i="22"/>
  <c r="S157" i="22" s="1"/>
  <c r="R156" i="22"/>
  <c r="S156" i="22" s="1"/>
  <c r="R155" i="22"/>
  <c r="S155" i="22" s="1"/>
  <c r="R154" i="22"/>
  <c r="S154" i="22" s="1"/>
  <c r="R153" i="22"/>
  <c r="S153" i="22" s="1"/>
  <c r="R152" i="22"/>
  <c r="S152" i="22" s="1"/>
  <c r="R151" i="22"/>
  <c r="S151" i="22" s="1"/>
  <c r="R150" i="22"/>
  <c r="S150" i="22" s="1"/>
  <c r="R149" i="22"/>
  <c r="S149" i="22" s="1"/>
  <c r="R148" i="22"/>
  <c r="S148" i="22" s="1"/>
  <c r="R147" i="22"/>
  <c r="S147" i="22" s="1"/>
  <c r="R146" i="22"/>
  <c r="S146" i="22" s="1"/>
  <c r="R145" i="22"/>
  <c r="S145" i="22" s="1"/>
  <c r="R144" i="22"/>
  <c r="S144" i="22" s="1"/>
  <c r="R143" i="22"/>
  <c r="S143" i="22" s="1"/>
  <c r="R142" i="22"/>
  <c r="S142" i="22" s="1"/>
  <c r="R141" i="22"/>
  <c r="S141" i="22" s="1"/>
  <c r="R140" i="22"/>
  <c r="S140" i="22" s="1"/>
  <c r="R139" i="22"/>
  <c r="S139" i="22" s="1"/>
  <c r="R138" i="22"/>
  <c r="S138" i="22" s="1"/>
  <c r="R137" i="22"/>
  <c r="S137" i="22" s="1"/>
  <c r="R136" i="22"/>
  <c r="S136" i="22" s="1"/>
  <c r="R135" i="22"/>
  <c r="S135" i="22" s="1"/>
  <c r="R134" i="22"/>
  <c r="S134" i="22" s="1"/>
  <c r="R133" i="22"/>
  <c r="S133" i="22" s="1"/>
  <c r="R132" i="22"/>
  <c r="S132" i="22" s="1"/>
  <c r="R131" i="22"/>
  <c r="S131" i="22" s="1"/>
  <c r="R130" i="22"/>
  <c r="S130" i="22" s="1"/>
  <c r="R129" i="22"/>
  <c r="S129" i="22" s="1"/>
  <c r="R128" i="22"/>
  <c r="S128" i="22" s="1"/>
  <c r="R127" i="22"/>
  <c r="S127" i="22" s="1"/>
  <c r="R126" i="22"/>
  <c r="S126" i="22" s="1"/>
  <c r="R125" i="22"/>
  <c r="S125" i="22" s="1"/>
  <c r="R124" i="22"/>
  <c r="S124" i="22" s="1"/>
  <c r="R123" i="22"/>
  <c r="S123" i="22" s="1"/>
  <c r="R122" i="22"/>
  <c r="S122" i="22" s="1"/>
  <c r="R121" i="22"/>
  <c r="S121" i="22" s="1"/>
  <c r="R120" i="22"/>
  <c r="S120" i="22" s="1"/>
  <c r="R119" i="22"/>
  <c r="S119" i="22" s="1"/>
  <c r="R118" i="22"/>
  <c r="S118" i="22" s="1"/>
  <c r="R117" i="22"/>
  <c r="S117" i="22" s="1"/>
  <c r="R116" i="22"/>
  <c r="S116" i="22" s="1"/>
  <c r="R115" i="22"/>
  <c r="S115" i="22" s="1"/>
  <c r="R114" i="22"/>
  <c r="S114" i="22" s="1"/>
  <c r="R113" i="22"/>
  <c r="S113" i="22" s="1"/>
  <c r="R112" i="22"/>
  <c r="S112" i="22" s="1"/>
  <c r="R111" i="22"/>
  <c r="S111" i="22" s="1"/>
  <c r="R110" i="22"/>
  <c r="S110" i="22" s="1"/>
  <c r="R109" i="22"/>
  <c r="S109" i="22" s="1"/>
  <c r="R108" i="22"/>
  <c r="S108" i="22" s="1"/>
  <c r="R107" i="22"/>
  <c r="S107" i="22" s="1"/>
  <c r="R106" i="22"/>
  <c r="S106" i="22" s="1"/>
  <c r="R105" i="22"/>
  <c r="S105" i="22" s="1"/>
  <c r="R104" i="22"/>
  <c r="S104" i="22" s="1"/>
  <c r="R103" i="22"/>
  <c r="S103" i="22" s="1"/>
  <c r="R102" i="22"/>
  <c r="S102" i="22" s="1"/>
  <c r="R101" i="22"/>
  <c r="S101" i="22" s="1"/>
  <c r="R100" i="22"/>
  <c r="S100" i="22" s="1"/>
  <c r="R99" i="22"/>
  <c r="S99" i="22" s="1"/>
  <c r="R98" i="22"/>
  <c r="S98" i="22" s="1"/>
  <c r="R97" i="22"/>
  <c r="S97" i="22" s="1"/>
  <c r="R96" i="22"/>
  <c r="S96" i="22" s="1"/>
  <c r="R95" i="22"/>
  <c r="S95" i="22" s="1"/>
  <c r="R94" i="22"/>
  <c r="S94" i="22" s="1"/>
  <c r="R93" i="22"/>
  <c r="S93" i="22" s="1"/>
  <c r="R92" i="22"/>
  <c r="S92" i="22" s="1"/>
  <c r="R91" i="22"/>
  <c r="S91" i="22" s="1"/>
  <c r="R90" i="22"/>
  <c r="S90" i="22" s="1"/>
  <c r="R89" i="22"/>
  <c r="S89" i="22" s="1"/>
  <c r="R88" i="22"/>
  <c r="S88" i="22" s="1"/>
  <c r="R87" i="22"/>
  <c r="S87" i="22" s="1"/>
  <c r="R86" i="22"/>
  <c r="S86" i="22" s="1"/>
  <c r="R85" i="22"/>
  <c r="S85" i="22" s="1"/>
  <c r="R84" i="22"/>
  <c r="S84" i="22" s="1"/>
  <c r="R83" i="22"/>
  <c r="S83" i="22" s="1"/>
  <c r="R82" i="22"/>
  <c r="S82" i="22" s="1"/>
  <c r="R81" i="22"/>
  <c r="S81" i="22" s="1"/>
  <c r="R80" i="22"/>
  <c r="S80" i="22" s="1"/>
  <c r="R79" i="22"/>
  <c r="S79" i="22" s="1"/>
  <c r="R78" i="22"/>
  <c r="S78" i="22" s="1"/>
  <c r="R77" i="22"/>
  <c r="S77" i="22" s="1"/>
  <c r="R76" i="22"/>
  <c r="S76" i="22" s="1"/>
  <c r="R75" i="22"/>
  <c r="S75" i="22" s="1"/>
  <c r="R74" i="22"/>
  <c r="S74" i="22" s="1"/>
  <c r="R73" i="22"/>
  <c r="S73" i="22" s="1"/>
  <c r="R72" i="22"/>
  <c r="S72" i="22" s="1"/>
  <c r="R71" i="22"/>
  <c r="S71" i="22" s="1"/>
  <c r="R70" i="22"/>
  <c r="S70" i="22" s="1"/>
  <c r="R69" i="22"/>
  <c r="S69" i="22" s="1"/>
  <c r="R68" i="22"/>
  <c r="S68" i="22" s="1"/>
  <c r="R67" i="22"/>
  <c r="S67" i="22" s="1"/>
  <c r="R66" i="22"/>
  <c r="S66" i="22" s="1"/>
  <c r="R65" i="22"/>
  <c r="S65" i="22" s="1"/>
  <c r="R64" i="22"/>
  <c r="S64" i="22" s="1"/>
  <c r="R63" i="22"/>
  <c r="S63" i="22" s="1"/>
  <c r="R62" i="22"/>
  <c r="S62" i="22" s="1"/>
  <c r="R61" i="22"/>
  <c r="S61" i="22" s="1"/>
  <c r="R60" i="22"/>
  <c r="S60" i="22" s="1"/>
  <c r="R59" i="22"/>
  <c r="S59" i="22" s="1"/>
  <c r="R58" i="22"/>
  <c r="S58" i="22" s="1"/>
  <c r="R57" i="22"/>
  <c r="S57" i="22" s="1"/>
  <c r="R56" i="22"/>
  <c r="S56" i="22" s="1"/>
  <c r="R55" i="22"/>
  <c r="S55" i="22" s="1"/>
  <c r="R54" i="22"/>
  <c r="S54" i="22" s="1"/>
  <c r="R53" i="22"/>
  <c r="S53" i="22" s="1"/>
  <c r="R52" i="22"/>
  <c r="S52" i="22" s="1"/>
  <c r="R51" i="22"/>
  <c r="S51" i="22" s="1"/>
  <c r="R50" i="22"/>
  <c r="S50" i="22" s="1"/>
  <c r="R49" i="22"/>
  <c r="S49" i="22" s="1"/>
  <c r="R48" i="22"/>
  <c r="S48" i="22" s="1"/>
  <c r="R47" i="22"/>
  <c r="S47" i="22" s="1"/>
  <c r="R46" i="22"/>
  <c r="S46" i="22" s="1"/>
  <c r="R45" i="22"/>
  <c r="S45" i="22" s="1"/>
  <c r="R44" i="22"/>
  <c r="S44" i="22" s="1"/>
  <c r="R43" i="22"/>
  <c r="S43" i="22" s="1"/>
  <c r="R42" i="22"/>
  <c r="S42" i="22" s="1"/>
  <c r="R41" i="22"/>
  <c r="S41" i="22" s="1"/>
  <c r="R40" i="22"/>
  <c r="S40" i="22" s="1"/>
  <c r="R39" i="22"/>
  <c r="S39" i="22" s="1"/>
  <c r="R38" i="22"/>
  <c r="S38" i="22" s="1"/>
  <c r="R37" i="22"/>
  <c r="S37" i="22" s="1"/>
  <c r="R36" i="22"/>
  <c r="S36" i="22" s="1"/>
  <c r="R35" i="22"/>
  <c r="S35" i="22" s="1"/>
  <c r="R34" i="22"/>
  <c r="S34" i="22" s="1"/>
  <c r="R33" i="22"/>
  <c r="S33" i="22" s="1"/>
  <c r="R32" i="22"/>
  <c r="S32" i="22" s="1"/>
  <c r="R31" i="22"/>
  <c r="S31" i="22" s="1"/>
  <c r="R30" i="22"/>
  <c r="S30" i="22" s="1"/>
  <c r="R29" i="22"/>
  <c r="S29" i="22" s="1"/>
  <c r="R28" i="22"/>
  <c r="S28" i="22" s="1"/>
  <c r="R27" i="22"/>
  <c r="S27" i="22" s="1"/>
  <c r="R26" i="22"/>
  <c r="S26" i="22" s="1"/>
  <c r="R25" i="22"/>
  <c r="S25" i="22" s="1"/>
  <c r="R24" i="22"/>
  <c r="S24" i="22" s="1"/>
  <c r="R23" i="22"/>
  <c r="S23" i="22" s="1"/>
  <c r="R22" i="22"/>
  <c r="S22" i="22" s="1"/>
  <c r="R21" i="22"/>
  <c r="S21" i="22" s="1"/>
  <c r="R20" i="22"/>
  <c r="S20" i="22" s="1"/>
  <c r="R19" i="22"/>
  <c r="S19" i="22" s="1"/>
  <c r="R18" i="22"/>
  <c r="S18" i="22" s="1"/>
  <c r="R17" i="22"/>
  <c r="S17" i="22" s="1"/>
  <c r="R16" i="22"/>
  <c r="S16" i="22" s="1"/>
  <c r="R15" i="22"/>
  <c r="S15" i="22" s="1"/>
  <c r="R14" i="22"/>
  <c r="S14" i="22" s="1"/>
  <c r="R13" i="22"/>
  <c r="S13" i="22" s="1"/>
  <c r="R12" i="22"/>
  <c r="S12" i="22" s="1"/>
  <c r="R11" i="22"/>
  <c r="S11" i="22" s="1"/>
  <c r="R10" i="22"/>
  <c r="S10" i="22" s="1"/>
  <c r="R9" i="22"/>
  <c r="S9" i="22" s="1"/>
  <c r="R8" i="22"/>
  <c r="S8" i="22" s="1"/>
  <c r="R7" i="22"/>
  <c r="S7" i="22" s="1"/>
  <c r="R6" i="22"/>
  <c r="S6" i="22" s="1"/>
  <c r="R5" i="22"/>
  <c r="S5" i="22" s="1"/>
  <c r="R4" i="22"/>
  <c r="S4" i="22" s="1"/>
  <c r="R3" i="22"/>
  <c r="S3" i="22" s="1"/>
  <c r="N1091" i="22"/>
  <c r="P564" i="22"/>
  <c r="O564" i="22"/>
  <c r="P563" i="22"/>
  <c r="O563" i="22"/>
  <c r="P562" i="22"/>
  <c r="O562" i="22"/>
  <c r="P935" i="22"/>
  <c r="O935" i="22"/>
  <c r="P931" i="22"/>
  <c r="O931" i="22"/>
  <c r="P561" i="22"/>
  <c r="O561" i="22"/>
  <c r="P1068" i="22"/>
  <c r="O1068" i="22"/>
  <c r="P930" i="22"/>
  <c r="O930" i="22"/>
  <c r="P560" i="22"/>
  <c r="O560" i="22"/>
  <c r="P929" i="22"/>
  <c r="O929" i="22"/>
  <c r="P559" i="22"/>
  <c r="O559" i="22"/>
  <c r="P928" i="22"/>
  <c r="O928" i="22"/>
  <c r="P558" i="22"/>
  <c r="O558" i="22"/>
  <c r="P571" i="22"/>
  <c r="O571" i="22"/>
  <c r="P557" i="22"/>
  <c r="O557" i="22"/>
  <c r="P556" i="22"/>
  <c r="O556" i="22"/>
  <c r="P927" i="22"/>
  <c r="O927" i="22"/>
  <c r="P926" i="22"/>
  <c r="O926" i="22"/>
  <c r="P555" i="22"/>
  <c r="O555" i="22"/>
  <c r="P572" i="22"/>
  <c r="O572" i="22"/>
  <c r="P1090" i="22"/>
  <c r="O1090" i="22"/>
  <c r="P925" i="22"/>
  <c r="O925" i="22"/>
  <c r="P924" i="22"/>
  <c r="O924" i="22"/>
  <c r="P570" i="22"/>
  <c r="O570" i="22"/>
  <c r="P923" i="22"/>
  <c r="O923" i="22"/>
  <c r="P554" i="22"/>
  <c r="O554" i="22"/>
  <c r="P553" i="22"/>
  <c r="O553" i="22"/>
  <c r="P1067" i="22"/>
  <c r="O1067" i="22"/>
  <c r="P552" i="22"/>
  <c r="O552" i="22"/>
  <c r="P551" i="22"/>
  <c r="O551" i="22"/>
  <c r="P922" i="22"/>
  <c r="O922" i="22"/>
  <c r="P921" i="22"/>
  <c r="O921" i="22"/>
  <c r="P550" i="22"/>
  <c r="O550" i="22"/>
  <c r="P1066" i="22"/>
  <c r="O1066" i="22"/>
  <c r="P549" i="22"/>
  <c r="O549" i="22"/>
  <c r="P548" i="22"/>
  <c r="O548" i="22"/>
  <c r="P920" i="22"/>
  <c r="O920" i="22"/>
  <c r="P547" i="22"/>
  <c r="O547" i="22"/>
  <c r="P546" i="22"/>
  <c r="O546" i="22"/>
  <c r="P545" i="22"/>
  <c r="O545" i="22"/>
  <c r="P1065" i="22"/>
  <c r="O1065" i="22"/>
  <c r="P544" i="22"/>
  <c r="O544" i="22"/>
  <c r="P919" i="22"/>
  <c r="O919" i="22"/>
  <c r="P569" i="22"/>
  <c r="O569" i="22"/>
  <c r="P568" i="22"/>
  <c r="O568" i="22"/>
  <c r="P918" i="22"/>
  <c r="O918" i="22"/>
  <c r="P543" i="22"/>
  <c r="O543" i="22"/>
  <c r="P542" i="22"/>
  <c r="O542" i="22"/>
  <c r="P541" i="22"/>
  <c r="O541" i="22"/>
  <c r="P917" i="22"/>
  <c r="O917" i="22"/>
  <c r="P540" i="22"/>
  <c r="O540" i="22"/>
  <c r="P567" i="22"/>
  <c r="O567" i="22"/>
  <c r="P539" i="22"/>
  <c r="O539" i="22"/>
  <c r="P538" i="22"/>
  <c r="O538" i="22"/>
  <c r="P1089" i="22"/>
  <c r="O1089" i="22"/>
  <c r="P916" i="22"/>
  <c r="O916" i="22"/>
  <c r="P1064" i="22"/>
  <c r="O1064" i="22"/>
  <c r="P537" i="22"/>
  <c r="O537" i="22"/>
  <c r="P934" i="22"/>
  <c r="O934" i="22"/>
  <c r="P536" i="22"/>
  <c r="O536" i="22"/>
  <c r="P535" i="22"/>
  <c r="O535" i="22"/>
  <c r="P534" i="22"/>
  <c r="O534" i="22"/>
  <c r="P533" i="22"/>
  <c r="O533" i="22"/>
  <c r="P915" i="22"/>
  <c r="O915" i="22"/>
  <c r="P532" i="22"/>
  <c r="O532" i="22"/>
  <c r="P1063" i="22"/>
  <c r="O1063" i="22"/>
  <c r="P531" i="22"/>
  <c r="O531" i="22"/>
  <c r="P1062" i="22"/>
  <c r="O1062" i="22"/>
  <c r="P1061" i="22"/>
  <c r="O1061" i="22"/>
  <c r="P914" i="22"/>
  <c r="O914" i="22"/>
  <c r="P1060" i="22"/>
  <c r="O1060" i="22"/>
  <c r="P530" i="22"/>
  <c r="O530" i="22"/>
  <c r="P566" i="22"/>
  <c r="O566" i="22"/>
  <c r="P529" i="22"/>
  <c r="O529" i="22"/>
  <c r="P913" i="22"/>
  <c r="O913" i="22"/>
  <c r="P912" i="22"/>
  <c r="O912" i="22"/>
  <c r="P1059" i="22"/>
  <c r="O1059" i="22"/>
  <c r="P911" i="22"/>
  <c r="O911" i="22"/>
  <c r="P528" i="22"/>
  <c r="O528" i="22"/>
  <c r="P1058" i="22"/>
  <c r="O1058" i="22"/>
  <c r="P527" i="22"/>
  <c r="O527" i="22"/>
  <c r="P526" i="22"/>
  <c r="O526" i="22"/>
  <c r="P1057" i="22"/>
  <c r="O1057" i="22"/>
  <c r="P525" i="22"/>
  <c r="O525" i="22"/>
  <c r="P1056" i="22"/>
  <c r="O1056" i="22"/>
  <c r="P524" i="22"/>
  <c r="O524" i="22"/>
  <c r="P523" i="22"/>
  <c r="O523" i="22"/>
  <c r="P910" i="22"/>
  <c r="O910" i="22"/>
  <c r="P522" i="22"/>
  <c r="O522" i="22"/>
  <c r="P1088" i="22"/>
  <c r="O1088" i="22"/>
  <c r="P521" i="22"/>
  <c r="O521" i="22"/>
  <c r="P520" i="22"/>
  <c r="O520" i="22"/>
  <c r="P519" i="22"/>
  <c r="O519" i="22"/>
  <c r="P1055" i="22"/>
  <c r="O1055" i="22"/>
  <c r="P518" i="22"/>
  <c r="O518" i="22"/>
  <c r="P565" i="22"/>
  <c r="O565" i="22"/>
  <c r="P1054" i="22"/>
  <c r="O1054" i="22"/>
  <c r="P909" i="22"/>
  <c r="O909" i="22"/>
  <c r="P908" i="22"/>
  <c r="O908" i="22"/>
  <c r="P907" i="22"/>
  <c r="O907" i="22"/>
  <c r="P517" i="22"/>
  <c r="O517" i="22"/>
  <c r="P932" i="22"/>
  <c r="O932" i="22"/>
  <c r="P906" i="22"/>
  <c r="O906" i="22"/>
  <c r="P905" i="22"/>
  <c r="O905" i="22"/>
  <c r="P904" i="22"/>
  <c r="O904" i="22"/>
  <c r="P903" i="22"/>
  <c r="O903" i="22"/>
  <c r="P902" i="22"/>
  <c r="O902" i="22"/>
  <c r="P901" i="22"/>
  <c r="O901" i="22"/>
  <c r="P516" i="22"/>
  <c r="O516" i="22"/>
  <c r="P933" i="22"/>
  <c r="O933" i="22"/>
  <c r="P515" i="22"/>
  <c r="O515" i="22"/>
  <c r="P514" i="22"/>
  <c r="O514" i="22"/>
  <c r="P900" i="22"/>
  <c r="O900" i="22"/>
  <c r="P899" i="22"/>
  <c r="O899" i="22"/>
  <c r="P898" i="22"/>
  <c r="O898" i="22"/>
  <c r="P513" i="22"/>
  <c r="O513" i="22"/>
  <c r="P512" i="22"/>
  <c r="O512" i="22"/>
  <c r="P897" i="22"/>
  <c r="O897" i="22"/>
  <c r="P896" i="22"/>
  <c r="O896" i="22"/>
  <c r="P895" i="22"/>
  <c r="O895" i="22"/>
  <c r="P511" i="22"/>
  <c r="O511" i="22"/>
  <c r="P1053" i="22"/>
  <c r="O1053" i="22"/>
  <c r="P894" i="22"/>
  <c r="O894" i="22"/>
  <c r="P510" i="22"/>
  <c r="O510" i="22"/>
  <c r="P509" i="22"/>
  <c r="O509" i="22"/>
  <c r="P508" i="22"/>
  <c r="O508" i="22"/>
  <c r="P507" i="22"/>
  <c r="O507" i="22"/>
  <c r="P893" i="22"/>
  <c r="O893" i="22"/>
  <c r="P506" i="22"/>
  <c r="O506" i="22"/>
  <c r="P892" i="22"/>
  <c r="O892" i="22"/>
  <c r="P891" i="22"/>
  <c r="O891" i="22"/>
  <c r="P505" i="22"/>
  <c r="O505" i="22"/>
  <c r="P504" i="22"/>
  <c r="O504" i="22"/>
  <c r="P503" i="22"/>
  <c r="O503" i="22"/>
  <c r="P502" i="22"/>
  <c r="O502" i="22"/>
  <c r="P501" i="22"/>
  <c r="O501" i="22"/>
  <c r="P890" i="22"/>
  <c r="O890" i="22"/>
  <c r="P500" i="22"/>
  <c r="O500" i="22"/>
  <c r="P889" i="22"/>
  <c r="O889" i="22"/>
  <c r="P888" i="22"/>
  <c r="O888" i="22"/>
  <c r="P499" i="22"/>
  <c r="O499" i="22"/>
  <c r="P498" i="22"/>
  <c r="O498" i="22"/>
  <c r="P887" i="22"/>
  <c r="O887" i="22"/>
  <c r="P886" i="22"/>
  <c r="O886" i="22"/>
  <c r="P885" i="22"/>
  <c r="O885" i="22"/>
  <c r="P884" i="22"/>
  <c r="O884" i="22"/>
  <c r="P497" i="22"/>
  <c r="O497" i="22"/>
  <c r="P883" i="22"/>
  <c r="O883" i="22"/>
  <c r="P882" i="22"/>
  <c r="O882" i="22"/>
  <c r="P496" i="22"/>
  <c r="O496" i="22"/>
  <c r="P495" i="22"/>
  <c r="O495" i="22"/>
  <c r="P881" i="22"/>
  <c r="O881" i="22"/>
  <c r="P880" i="22"/>
  <c r="O880" i="22"/>
  <c r="P879" i="22"/>
  <c r="O879" i="22"/>
  <c r="P494" i="22"/>
  <c r="O494" i="22"/>
  <c r="P878" i="22"/>
  <c r="O878" i="22"/>
  <c r="P877" i="22"/>
  <c r="O877" i="22"/>
  <c r="P876" i="22"/>
  <c r="O876" i="22"/>
  <c r="P875" i="22"/>
  <c r="O875" i="22"/>
  <c r="P493" i="22"/>
  <c r="O493" i="22"/>
  <c r="P492" i="22"/>
  <c r="O492" i="22"/>
  <c r="P874" i="22"/>
  <c r="O874" i="22"/>
  <c r="P491" i="22"/>
  <c r="O491" i="22"/>
  <c r="P490" i="22"/>
  <c r="O490" i="22"/>
  <c r="P489" i="22"/>
  <c r="O489" i="22"/>
  <c r="P873" i="22"/>
  <c r="O873" i="22"/>
  <c r="P1087" i="22"/>
  <c r="O1087" i="22"/>
  <c r="P488" i="22"/>
  <c r="O488" i="22"/>
  <c r="P1052" i="22"/>
  <c r="O1052" i="22"/>
  <c r="P487" i="22"/>
  <c r="O487" i="22"/>
  <c r="P486" i="22"/>
  <c r="O486" i="22"/>
  <c r="P485" i="22"/>
  <c r="O485" i="22"/>
  <c r="P872" i="22"/>
  <c r="O872" i="22"/>
  <c r="P871" i="22"/>
  <c r="O871" i="22"/>
  <c r="P484" i="22"/>
  <c r="O484" i="22"/>
  <c r="P483" i="22"/>
  <c r="O483" i="22"/>
  <c r="P870" i="22"/>
  <c r="O870" i="22"/>
  <c r="P482" i="22"/>
  <c r="O482" i="22"/>
  <c r="P1051" i="22"/>
  <c r="O1051" i="22"/>
  <c r="P481" i="22"/>
  <c r="O481" i="22"/>
  <c r="P869" i="22"/>
  <c r="O869" i="22"/>
  <c r="P480" i="22"/>
  <c r="O480" i="22"/>
  <c r="P1086" i="22"/>
  <c r="O1086" i="22"/>
  <c r="P479" i="22"/>
  <c r="O479" i="22"/>
  <c r="P478" i="22"/>
  <c r="O478" i="22"/>
  <c r="P1050" i="22"/>
  <c r="O1050" i="22"/>
  <c r="P477" i="22"/>
  <c r="O477" i="22"/>
  <c r="P476" i="22"/>
  <c r="O476" i="22"/>
  <c r="P475" i="22"/>
  <c r="O475" i="22"/>
  <c r="P868" i="22"/>
  <c r="O868" i="22"/>
  <c r="P474" i="22"/>
  <c r="O474" i="22"/>
  <c r="P473" i="22"/>
  <c r="O473" i="22"/>
  <c r="P472" i="22"/>
  <c r="O472" i="22"/>
  <c r="P471" i="22"/>
  <c r="O471" i="22"/>
  <c r="P470" i="22"/>
  <c r="O470" i="22"/>
  <c r="P469" i="22"/>
  <c r="O469" i="22"/>
  <c r="P468" i="22"/>
  <c r="O468" i="22"/>
  <c r="P467" i="22"/>
  <c r="O467" i="22"/>
  <c r="P867" i="22"/>
  <c r="O867" i="22"/>
  <c r="P866" i="22"/>
  <c r="O866" i="22"/>
  <c r="P466" i="22"/>
  <c r="O466" i="22"/>
  <c r="P465" i="22"/>
  <c r="O465" i="22"/>
  <c r="P865" i="22"/>
  <c r="O865" i="22"/>
  <c r="P864" i="22"/>
  <c r="O864" i="22"/>
  <c r="P464" i="22"/>
  <c r="O464" i="22"/>
  <c r="P863" i="22"/>
  <c r="O863" i="22"/>
  <c r="P862" i="22"/>
  <c r="O862" i="22"/>
  <c r="P463" i="22"/>
  <c r="O463" i="22"/>
  <c r="P462" i="22"/>
  <c r="O462" i="22"/>
  <c r="P461" i="22"/>
  <c r="O461" i="22"/>
  <c r="P861" i="22"/>
  <c r="O861" i="22"/>
  <c r="P460" i="22"/>
  <c r="O460" i="22"/>
  <c r="P860" i="22"/>
  <c r="O860" i="22"/>
  <c r="P459" i="22"/>
  <c r="O459" i="22"/>
  <c r="P458" i="22"/>
  <c r="O458" i="22"/>
  <c r="P859" i="22"/>
  <c r="O859" i="22"/>
  <c r="P457" i="22"/>
  <c r="O457" i="22"/>
  <c r="P456" i="22"/>
  <c r="O456" i="22"/>
  <c r="P455" i="22"/>
  <c r="O455" i="22"/>
  <c r="P858" i="22"/>
  <c r="O858" i="22"/>
  <c r="P454" i="22"/>
  <c r="O454" i="22"/>
  <c r="P453" i="22"/>
  <c r="O453" i="22"/>
  <c r="P452" i="22"/>
  <c r="O452" i="22"/>
  <c r="P451" i="22"/>
  <c r="O451" i="22"/>
  <c r="P450" i="22"/>
  <c r="O450" i="22"/>
  <c r="P857" i="22"/>
  <c r="O857" i="22"/>
  <c r="P856" i="22"/>
  <c r="O856" i="22"/>
  <c r="P449" i="22"/>
  <c r="O449" i="22"/>
  <c r="P448" i="22"/>
  <c r="O448" i="22"/>
  <c r="P855" i="22"/>
  <c r="O855" i="22"/>
  <c r="P447" i="22"/>
  <c r="O447" i="22"/>
  <c r="P446" i="22"/>
  <c r="O446" i="22"/>
  <c r="P854" i="22"/>
  <c r="O854" i="22"/>
  <c r="P1049" i="22"/>
  <c r="O1049" i="22"/>
  <c r="P853" i="22"/>
  <c r="O853" i="22"/>
  <c r="P445" i="22"/>
  <c r="O445" i="22"/>
  <c r="P852" i="22"/>
  <c r="O852" i="22"/>
  <c r="P851" i="22"/>
  <c r="O851" i="22"/>
  <c r="P444" i="22"/>
  <c r="O444" i="22"/>
  <c r="P1048" i="22"/>
  <c r="O1048" i="22"/>
  <c r="P443" i="22"/>
  <c r="O443" i="22"/>
  <c r="P442" i="22"/>
  <c r="O442" i="22"/>
  <c r="P441" i="22"/>
  <c r="O441" i="22"/>
  <c r="P440" i="22"/>
  <c r="O440" i="22"/>
  <c r="P439" i="22"/>
  <c r="O439" i="22"/>
  <c r="P438" i="22"/>
  <c r="O438" i="22"/>
  <c r="P437" i="22"/>
  <c r="O437" i="22"/>
  <c r="P1047" i="22"/>
  <c r="O1047" i="22"/>
  <c r="P436" i="22"/>
  <c r="O436" i="22"/>
  <c r="P1046" i="22"/>
  <c r="O1046" i="22"/>
  <c r="P435" i="22"/>
  <c r="O435" i="22"/>
  <c r="P434" i="22"/>
  <c r="O434" i="22"/>
  <c r="P850" i="22"/>
  <c r="O850" i="22"/>
  <c r="P433" i="22"/>
  <c r="O433" i="22"/>
  <c r="P432" i="22"/>
  <c r="O432" i="22"/>
  <c r="P431" i="22"/>
  <c r="O431" i="22"/>
  <c r="P1045" i="22"/>
  <c r="O1045" i="22"/>
  <c r="P430" i="22"/>
  <c r="O430" i="22"/>
  <c r="P429" i="22"/>
  <c r="O429" i="22"/>
  <c r="P849" i="22"/>
  <c r="O849" i="22"/>
  <c r="P848" i="22"/>
  <c r="O848" i="22"/>
  <c r="P847" i="22"/>
  <c r="O847" i="22"/>
  <c r="P846" i="22"/>
  <c r="O846" i="22"/>
  <c r="P428" i="22"/>
  <c r="O428" i="22"/>
  <c r="P427" i="22"/>
  <c r="O427" i="22"/>
  <c r="P426" i="22"/>
  <c r="O426" i="22"/>
  <c r="P425" i="22"/>
  <c r="O425" i="22"/>
  <c r="P424" i="22"/>
  <c r="O424" i="22"/>
  <c r="P845" i="22"/>
  <c r="O845" i="22"/>
  <c r="P844" i="22"/>
  <c r="O844" i="22"/>
  <c r="P843" i="22"/>
  <c r="O843" i="22"/>
  <c r="P423" i="22"/>
  <c r="O423" i="22"/>
  <c r="P422" i="22"/>
  <c r="O422" i="22"/>
  <c r="P421" i="22"/>
  <c r="O421" i="22"/>
  <c r="P842" i="22"/>
  <c r="O842" i="22"/>
  <c r="P420" i="22"/>
  <c r="O420" i="22"/>
  <c r="P419" i="22"/>
  <c r="O419" i="22"/>
  <c r="P418" i="22"/>
  <c r="O418" i="22"/>
  <c r="P841" i="22"/>
  <c r="O841" i="22"/>
  <c r="P1044" i="22"/>
  <c r="O1044" i="22"/>
  <c r="P417" i="22"/>
  <c r="O417" i="22"/>
  <c r="P416" i="22"/>
  <c r="O416" i="22"/>
  <c r="P415" i="22"/>
  <c r="O415" i="22"/>
  <c r="P414" i="22"/>
  <c r="O414" i="22"/>
  <c r="P413" i="22"/>
  <c r="O413" i="22"/>
  <c r="P412" i="22"/>
  <c r="O412" i="22"/>
  <c r="P840" i="22"/>
  <c r="O840" i="22"/>
  <c r="P411" i="22"/>
  <c r="O411" i="22"/>
  <c r="P839" i="22"/>
  <c r="O839" i="22"/>
  <c r="P410" i="22"/>
  <c r="O410" i="22"/>
  <c r="P409" i="22"/>
  <c r="O409" i="22"/>
  <c r="P1043" i="22"/>
  <c r="O1043" i="22"/>
  <c r="P408" i="22"/>
  <c r="O408" i="22"/>
  <c r="P407" i="22"/>
  <c r="O407" i="22"/>
  <c r="P838" i="22"/>
  <c r="O838" i="22"/>
  <c r="P837" i="22"/>
  <c r="O837" i="22"/>
  <c r="P406" i="22"/>
  <c r="O406" i="22"/>
  <c r="P405" i="22"/>
  <c r="O405" i="22"/>
  <c r="P404" i="22"/>
  <c r="O404" i="22"/>
  <c r="P1042" i="22"/>
  <c r="O1042" i="22"/>
  <c r="P403" i="22"/>
  <c r="O403" i="22"/>
  <c r="P402" i="22"/>
  <c r="O402" i="22"/>
  <c r="P401" i="22"/>
  <c r="O401" i="22"/>
  <c r="P400" i="22"/>
  <c r="O400" i="22"/>
  <c r="P836" i="22"/>
  <c r="O836" i="22"/>
  <c r="P835" i="22"/>
  <c r="O835" i="22"/>
  <c r="P399" i="22"/>
  <c r="O399" i="22"/>
  <c r="P834" i="22"/>
  <c r="O834" i="22"/>
  <c r="P398" i="22"/>
  <c r="O398" i="22"/>
  <c r="P833" i="22"/>
  <c r="O833" i="22"/>
  <c r="P832" i="22"/>
  <c r="O832" i="22"/>
  <c r="P831" i="22"/>
  <c r="O831" i="22"/>
  <c r="P397" i="22"/>
  <c r="O397" i="22"/>
  <c r="P830" i="22"/>
  <c r="O830" i="22"/>
  <c r="P829" i="22"/>
  <c r="O829" i="22"/>
  <c r="P396" i="22"/>
  <c r="O396" i="22"/>
  <c r="P828" i="22"/>
  <c r="O828" i="22"/>
  <c r="P827" i="22"/>
  <c r="O827" i="22"/>
  <c r="P395" i="22"/>
  <c r="O395" i="22"/>
  <c r="P394" i="22"/>
  <c r="O394" i="22"/>
  <c r="P393" i="22"/>
  <c r="O393" i="22"/>
  <c r="P392" i="22"/>
  <c r="O392" i="22"/>
  <c r="P826" i="22"/>
  <c r="O826" i="22"/>
  <c r="P391" i="22"/>
  <c r="O391" i="22"/>
  <c r="P390" i="22"/>
  <c r="O390" i="22"/>
  <c r="P389" i="22"/>
  <c r="O389" i="22"/>
  <c r="P825" i="22"/>
  <c r="O825" i="22"/>
  <c r="P824" i="22"/>
  <c r="O824" i="22"/>
  <c r="P388" i="22"/>
  <c r="O388" i="22"/>
  <c r="P387" i="22"/>
  <c r="O387" i="22"/>
  <c r="P823" i="22"/>
  <c r="O823" i="22"/>
  <c r="P386" i="22"/>
  <c r="O386" i="22"/>
  <c r="P822" i="22"/>
  <c r="O822" i="22"/>
  <c r="P821" i="22"/>
  <c r="O821" i="22"/>
  <c r="P385" i="22"/>
  <c r="O385" i="22"/>
  <c r="P384" i="22"/>
  <c r="O384" i="22"/>
  <c r="P383" i="22"/>
  <c r="O383" i="22"/>
  <c r="P382" i="22"/>
  <c r="O382" i="22"/>
  <c r="P381" i="22"/>
  <c r="O381" i="22"/>
  <c r="P380" i="22"/>
  <c r="O380" i="22"/>
  <c r="P379" i="22"/>
  <c r="O379" i="22"/>
  <c r="P378" i="22"/>
  <c r="O378" i="22"/>
  <c r="P820" i="22"/>
  <c r="O820" i="22"/>
  <c r="P1085" i="22"/>
  <c r="O1085" i="22"/>
  <c r="P377" i="22"/>
  <c r="O377" i="22"/>
  <c r="P376" i="22"/>
  <c r="O376" i="22"/>
  <c r="P375" i="22"/>
  <c r="O375" i="22"/>
  <c r="P374" i="22"/>
  <c r="O374" i="22"/>
  <c r="P373" i="22"/>
  <c r="O373" i="22"/>
  <c r="P372" i="22"/>
  <c r="O372" i="22"/>
  <c r="P371" i="22"/>
  <c r="O371" i="22"/>
  <c r="P1041" i="22"/>
  <c r="O1041" i="22"/>
  <c r="P1040" i="22"/>
  <c r="O1040" i="22"/>
  <c r="P370" i="22"/>
  <c r="O370" i="22"/>
  <c r="P369" i="22"/>
  <c r="O369" i="22"/>
  <c r="P819" i="22"/>
  <c r="O819" i="22"/>
  <c r="P368" i="22"/>
  <c r="O368" i="22"/>
  <c r="P367" i="22"/>
  <c r="O367" i="22"/>
  <c r="P366" i="22"/>
  <c r="O366" i="22"/>
  <c r="P818" i="22"/>
  <c r="O818" i="22"/>
  <c r="P1039" i="22"/>
  <c r="O1039" i="22"/>
  <c r="P365" i="22"/>
  <c r="O365" i="22"/>
  <c r="P817" i="22"/>
  <c r="O817" i="22"/>
  <c r="P364" i="22"/>
  <c r="O364" i="22"/>
  <c r="P363" i="22"/>
  <c r="O363" i="22"/>
  <c r="P816" i="22"/>
  <c r="O816" i="22"/>
  <c r="P815" i="22"/>
  <c r="O815" i="22"/>
  <c r="P362" i="22"/>
  <c r="O362" i="22"/>
  <c r="P361" i="22"/>
  <c r="O361" i="22"/>
  <c r="P360" i="22"/>
  <c r="O360" i="22"/>
  <c r="P359" i="22"/>
  <c r="O359" i="22"/>
  <c r="P1038" i="22"/>
  <c r="O1038" i="22"/>
  <c r="P358" i="22"/>
  <c r="O358" i="22"/>
  <c r="P357" i="22"/>
  <c r="O357" i="22"/>
  <c r="P939" i="22"/>
  <c r="O939" i="22"/>
  <c r="P356" i="22"/>
  <c r="O356" i="22"/>
  <c r="P814" i="22"/>
  <c r="O814" i="22"/>
  <c r="P355" i="22"/>
  <c r="O355" i="22"/>
  <c r="P1037" i="22"/>
  <c r="O1037" i="22"/>
  <c r="P813" i="22"/>
  <c r="O813" i="22"/>
  <c r="P812" i="22"/>
  <c r="O812" i="22"/>
  <c r="P354" i="22"/>
  <c r="O354" i="22"/>
  <c r="P353" i="22"/>
  <c r="O353" i="22"/>
  <c r="P352" i="22"/>
  <c r="O352" i="22"/>
  <c r="P351" i="22"/>
  <c r="O351" i="22"/>
  <c r="P1036" i="22"/>
  <c r="O1036" i="22"/>
  <c r="P1084" i="22"/>
  <c r="O1084" i="22"/>
  <c r="P811" i="22"/>
  <c r="O811" i="22"/>
  <c r="P350" i="22"/>
  <c r="O350" i="22"/>
  <c r="P349" i="22"/>
  <c r="O349" i="22"/>
  <c r="P348" i="22"/>
  <c r="O348" i="22"/>
  <c r="P347" i="22"/>
  <c r="O347" i="22"/>
  <c r="P810" i="22"/>
  <c r="O810" i="22"/>
  <c r="P809" i="22"/>
  <c r="O809" i="22"/>
  <c r="P808" i="22"/>
  <c r="O808" i="22"/>
  <c r="P807" i="22"/>
  <c r="O807" i="22"/>
  <c r="P806" i="22"/>
  <c r="O806" i="22"/>
  <c r="P346" i="22"/>
  <c r="O346" i="22"/>
  <c r="P805" i="22"/>
  <c r="O805" i="22"/>
  <c r="P345" i="22"/>
  <c r="O345" i="22"/>
  <c r="P344" i="22"/>
  <c r="O344" i="22"/>
  <c r="P1035" i="22"/>
  <c r="O1035" i="22"/>
  <c r="P804" i="22"/>
  <c r="O804" i="22"/>
  <c r="P1083" i="22"/>
  <c r="O1083" i="22"/>
  <c r="P803" i="22"/>
  <c r="O803" i="22"/>
  <c r="P802" i="22"/>
  <c r="O802" i="22"/>
  <c r="P343" i="22"/>
  <c r="O343" i="22"/>
  <c r="P342" i="22"/>
  <c r="O342" i="22"/>
  <c r="P341" i="22"/>
  <c r="O341" i="22"/>
  <c r="P340" i="22"/>
  <c r="O340" i="22"/>
  <c r="P801" i="22"/>
  <c r="O801" i="22"/>
  <c r="P339" i="22"/>
  <c r="O339" i="22"/>
  <c r="P800" i="22"/>
  <c r="O800" i="22"/>
  <c r="P1034" i="22"/>
  <c r="O1034" i="22"/>
  <c r="P338" i="22"/>
  <c r="O338" i="22"/>
  <c r="P799" i="22"/>
  <c r="O799" i="22"/>
  <c r="P798" i="22"/>
  <c r="O798" i="22"/>
  <c r="P797" i="22"/>
  <c r="O797" i="22"/>
  <c r="P796" i="22"/>
  <c r="O796" i="22"/>
  <c r="P337" i="22"/>
  <c r="O337" i="22"/>
  <c r="P795" i="22"/>
  <c r="O795" i="22"/>
  <c r="P336" i="22"/>
  <c r="O336" i="22"/>
  <c r="P1033" i="22"/>
  <c r="O1033" i="22"/>
  <c r="P335" i="22"/>
  <c r="O335" i="22"/>
  <c r="P794" i="22"/>
  <c r="O794" i="22"/>
  <c r="P793" i="22"/>
  <c r="O793" i="22"/>
  <c r="P792" i="22"/>
  <c r="O792" i="22"/>
  <c r="P334" i="22"/>
  <c r="O334" i="22"/>
  <c r="P333" i="22"/>
  <c r="O333" i="22"/>
  <c r="P791" i="22"/>
  <c r="O791" i="22"/>
  <c r="P332" i="22"/>
  <c r="O332" i="22"/>
  <c r="P331" i="22"/>
  <c r="O331" i="22"/>
  <c r="P330" i="22"/>
  <c r="O330" i="22"/>
  <c r="P329" i="22"/>
  <c r="O329" i="22"/>
  <c r="P328" i="22"/>
  <c r="O328" i="22"/>
  <c r="P327" i="22"/>
  <c r="O327" i="22"/>
  <c r="P326" i="22"/>
  <c r="O326" i="22"/>
  <c r="P325" i="22"/>
  <c r="O325" i="22"/>
  <c r="P324" i="22"/>
  <c r="O324" i="22"/>
  <c r="P790" i="22"/>
  <c r="O790" i="22"/>
  <c r="P789" i="22"/>
  <c r="O789" i="22"/>
  <c r="P323" i="22"/>
  <c r="O323" i="22"/>
  <c r="P788" i="22"/>
  <c r="O788" i="22"/>
  <c r="P322" i="22"/>
  <c r="O322" i="22"/>
  <c r="P321" i="22"/>
  <c r="O321" i="22"/>
  <c r="P320" i="22"/>
  <c r="O320" i="22"/>
  <c r="P319" i="22"/>
  <c r="O319" i="22"/>
  <c r="P318" i="22"/>
  <c r="O318" i="22"/>
  <c r="P317" i="22"/>
  <c r="O317" i="22"/>
  <c r="P316" i="22"/>
  <c r="O316" i="22"/>
  <c r="P315" i="22"/>
  <c r="O315" i="22"/>
  <c r="P314" i="22"/>
  <c r="O314" i="22"/>
  <c r="P313" i="22"/>
  <c r="O313" i="22"/>
  <c r="P312" i="22"/>
  <c r="O312" i="22"/>
  <c r="P311" i="22"/>
  <c r="O311" i="22"/>
  <c r="P310" i="22"/>
  <c r="O310" i="22"/>
  <c r="P309" i="22"/>
  <c r="O309" i="22"/>
  <c r="P308" i="22"/>
  <c r="O308" i="22"/>
  <c r="P307" i="22"/>
  <c r="O307" i="22"/>
  <c r="P306" i="22"/>
  <c r="O306" i="22"/>
  <c r="P305" i="22"/>
  <c r="O305" i="22"/>
  <c r="P304" i="22"/>
  <c r="O304" i="22"/>
  <c r="P303" i="22"/>
  <c r="O303" i="22"/>
  <c r="P302" i="22"/>
  <c r="O302" i="22"/>
  <c r="P301" i="22"/>
  <c r="O301" i="22"/>
  <c r="P300" i="22"/>
  <c r="O300" i="22"/>
  <c r="P299" i="22"/>
  <c r="O299" i="22"/>
  <c r="P298" i="22"/>
  <c r="O298" i="22"/>
  <c r="P787" i="22"/>
  <c r="O787" i="22"/>
  <c r="P786" i="22"/>
  <c r="O786" i="22"/>
  <c r="P297" i="22"/>
  <c r="O297" i="22"/>
  <c r="P785" i="22"/>
  <c r="O785" i="22"/>
  <c r="P296" i="22"/>
  <c r="O296" i="22"/>
  <c r="P295" i="22"/>
  <c r="O295" i="22"/>
  <c r="P294" i="22"/>
  <c r="O294" i="22"/>
  <c r="P293" i="22"/>
  <c r="O293" i="22"/>
  <c r="P292" i="22"/>
  <c r="O292" i="22"/>
  <c r="P291" i="22"/>
  <c r="O291" i="22"/>
  <c r="P290" i="22"/>
  <c r="O290" i="22"/>
  <c r="P289" i="22"/>
  <c r="O289" i="22"/>
  <c r="P288" i="22"/>
  <c r="O288" i="22"/>
  <c r="P287" i="22"/>
  <c r="O287" i="22"/>
  <c r="P286" i="22"/>
  <c r="O286" i="22"/>
  <c r="P285" i="22"/>
  <c r="O285" i="22"/>
  <c r="P284" i="22"/>
  <c r="O284" i="22"/>
  <c r="P784" i="22"/>
  <c r="O784" i="22"/>
  <c r="P1082" i="22"/>
  <c r="O1082" i="22"/>
  <c r="P783" i="22"/>
  <c r="O783" i="22"/>
  <c r="P782" i="22"/>
  <c r="O782" i="22"/>
  <c r="P781" i="22"/>
  <c r="O781" i="22"/>
  <c r="P283" i="22"/>
  <c r="O283" i="22"/>
  <c r="P282" i="22"/>
  <c r="O282" i="22"/>
  <c r="P1032" i="22"/>
  <c r="O1032" i="22"/>
  <c r="P281" i="22"/>
  <c r="O281" i="22"/>
  <c r="P280" i="22"/>
  <c r="O280" i="22"/>
  <c r="P279" i="22"/>
  <c r="O279" i="22"/>
  <c r="P278" i="22"/>
  <c r="O278" i="22"/>
  <c r="P780" i="22"/>
  <c r="O780" i="22"/>
  <c r="P277" i="22"/>
  <c r="O277" i="22"/>
  <c r="P276" i="22"/>
  <c r="O276" i="22"/>
  <c r="P275" i="22"/>
  <c r="O275" i="22"/>
  <c r="P274" i="22"/>
  <c r="O274" i="22"/>
  <c r="P273" i="22"/>
  <c r="O273" i="22"/>
  <c r="P272" i="22"/>
  <c r="O272" i="22"/>
  <c r="P779" i="22"/>
  <c r="O779" i="22"/>
  <c r="P778" i="22"/>
  <c r="O778" i="22"/>
  <c r="P271" i="22"/>
  <c r="O271" i="22"/>
  <c r="P1031" i="22"/>
  <c r="O1031" i="22"/>
  <c r="P1030" i="22"/>
  <c r="O1030" i="22"/>
  <c r="P270" i="22"/>
  <c r="O270" i="22"/>
  <c r="P777" i="22"/>
  <c r="O777" i="22"/>
  <c r="P1029" i="22"/>
  <c r="O1029" i="22"/>
  <c r="P1028" i="22"/>
  <c r="O1028" i="22"/>
  <c r="P269" i="22"/>
  <c r="O269" i="22"/>
  <c r="P268" i="22"/>
  <c r="O268" i="22"/>
  <c r="P1081" i="22"/>
  <c r="O1081" i="22"/>
  <c r="P267" i="22"/>
  <c r="O267" i="22"/>
  <c r="P266" i="22"/>
  <c r="O266" i="22"/>
  <c r="P265" i="22"/>
  <c r="O265" i="22"/>
  <c r="P776" i="22"/>
  <c r="O776" i="22"/>
  <c r="P1027" i="22"/>
  <c r="O1027" i="22"/>
  <c r="P775" i="22"/>
  <c r="O775" i="22"/>
  <c r="P1026" i="22"/>
  <c r="O1026" i="22"/>
  <c r="P264" i="22"/>
  <c r="O264" i="22"/>
  <c r="P263" i="22"/>
  <c r="O263" i="22"/>
  <c r="P774" i="22"/>
  <c r="O774" i="22"/>
  <c r="P773" i="22"/>
  <c r="O773" i="22"/>
  <c r="P262" i="22"/>
  <c r="O262" i="22"/>
  <c r="P261" i="22"/>
  <c r="O261" i="22"/>
  <c r="P260" i="22"/>
  <c r="O260" i="22"/>
  <c r="P259" i="22"/>
  <c r="O259" i="22"/>
  <c r="P772" i="22"/>
  <c r="O772" i="22"/>
  <c r="P771" i="22"/>
  <c r="O771" i="22"/>
  <c r="P770" i="22"/>
  <c r="O770" i="22"/>
  <c r="P258" i="22"/>
  <c r="O258" i="22"/>
  <c r="P257" i="22"/>
  <c r="O257" i="22"/>
  <c r="P769" i="22"/>
  <c r="O769" i="22"/>
  <c r="P256" i="22"/>
  <c r="O256" i="22"/>
  <c r="P255" i="22"/>
  <c r="O255" i="22"/>
  <c r="P254" i="22"/>
  <c r="O254" i="22"/>
  <c r="P253" i="22"/>
  <c r="O253" i="22"/>
  <c r="P252" i="22"/>
  <c r="O252" i="22"/>
  <c r="P251" i="22"/>
  <c r="O251" i="22"/>
  <c r="P250" i="22"/>
  <c r="O250" i="22"/>
  <c r="P249" i="22"/>
  <c r="O249" i="22"/>
  <c r="P768" i="22"/>
  <c r="O768" i="22"/>
  <c r="P767" i="22"/>
  <c r="O767" i="22"/>
  <c r="P1025" i="22"/>
  <c r="O1025" i="22"/>
  <c r="P766" i="22"/>
  <c r="O766" i="22"/>
  <c r="P765" i="22"/>
  <c r="O765" i="22"/>
  <c r="P764" i="22"/>
  <c r="O764" i="22"/>
  <c r="P248" i="22"/>
  <c r="O248" i="22"/>
  <c r="P763" i="22"/>
  <c r="O763" i="22"/>
  <c r="P247" i="22"/>
  <c r="O247" i="22"/>
  <c r="P246" i="22"/>
  <c r="O246" i="22"/>
  <c r="P762" i="22"/>
  <c r="O762" i="22"/>
  <c r="P1024" i="22"/>
  <c r="O1024" i="22"/>
  <c r="P761" i="22"/>
  <c r="O761" i="22"/>
  <c r="P760" i="22"/>
  <c r="O760" i="22"/>
  <c r="P759" i="22"/>
  <c r="O759" i="22"/>
  <c r="P758" i="22"/>
  <c r="O758" i="22"/>
  <c r="P245" i="22"/>
  <c r="O245" i="22"/>
  <c r="P757" i="22"/>
  <c r="O757" i="22"/>
  <c r="P756" i="22"/>
  <c r="O756" i="22"/>
  <c r="P244" i="22"/>
  <c r="O244" i="22"/>
  <c r="P755" i="22"/>
  <c r="O755" i="22"/>
  <c r="P754" i="22"/>
  <c r="O754" i="22"/>
  <c r="P753" i="22"/>
  <c r="O753" i="22"/>
  <c r="P752" i="22"/>
  <c r="O752" i="22"/>
  <c r="P751" i="22"/>
  <c r="O751" i="22"/>
  <c r="P750" i="22"/>
  <c r="O750" i="22"/>
  <c r="P243" i="22"/>
  <c r="O243" i="22"/>
  <c r="P242" i="22"/>
  <c r="O242" i="22"/>
  <c r="P241" i="22"/>
  <c r="O241" i="22"/>
  <c r="P749" i="22"/>
  <c r="O749" i="22"/>
  <c r="P240" i="22"/>
  <c r="O240" i="22"/>
  <c r="P748" i="22"/>
  <c r="O748" i="22"/>
  <c r="P239" i="22"/>
  <c r="O239" i="22"/>
  <c r="P238" i="22"/>
  <c r="O238" i="22"/>
  <c r="P237" i="22"/>
  <c r="O237" i="22"/>
  <c r="P236" i="22"/>
  <c r="O236" i="22"/>
  <c r="P747" i="22"/>
  <c r="O747" i="22"/>
  <c r="P235" i="22"/>
  <c r="O235" i="22"/>
  <c r="P234" i="22"/>
  <c r="O234" i="22"/>
  <c r="P233" i="22"/>
  <c r="O233" i="22"/>
  <c r="P1023" i="22"/>
  <c r="O1023" i="22"/>
  <c r="P232" i="22"/>
  <c r="O232" i="22"/>
  <c r="P231" i="22"/>
  <c r="O231" i="22"/>
  <c r="P230" i="22"/>
  <c r="O230" i="22"/>
  <c r="P746" i="22"/>
  <c r="O746" i="22"/>
  <c r="P745" i="22"/>
  <c r="O745" i="22"/>
  <c r="P744" i="22"/>
  <c r="O744" i="22"/>
  <c r="P743" i="22"/>
  <c r="O743" i="22"/>
  <c r="P1022" i="22"/>
  <c r="O1022" i="22"/>
  <c r="P1021" i="22"/>
  <c r="O1021" i="22"/>
  <c r="P1020" i="22"/>
  <c r="O1020" i="22"/>
  <c r="P1019" i="22"/>
  <c r="O1019" i="22"/>
  <c r="P742" i="22"/>
  <c r="O742" i="22"/>
  <c r="P1018" i="22"/>
  <c r="O1018" i="22"/>
  <c r="P229" i="22"/>
  <c r="O229" i="22"/>
  <c r="P228" i="22"/>
  <c r="O228" i="22"/>
  <c r="P1017" i="22"/>
  <c r="O1017" i="22"/>
  <c r="P741" i="22"/>
  <c r="O741" i="22"/>
  <c r="P227" i="22"/>
  <c r="O227" i="22"/>
  <c r="P1016" i="22"/>
  <c r="O1016" i="22"/>
  <c r="P226" i="22"/>
  <c r="O226" i="22"/>
  <c r="P225" i="22"/>
  <c r="O225" i="22"/>
  <c r="P1015" i="22"/>
  <c r="O1015" i="22"/>
  <c r="P740" i="22"/>
  <c r="O740" i="22"/>
  <c r="P224" i="22"/>
  <c r="O224" i="22"/>
  <c r="P1014" i="22"/>
  <c r="O1014" i="22"/>
  <c r="P739" i="22"/>
  <c r="O739" i="22"/>
  <c r="P738" i="22"/>
  <c r="O738" i="22"/>
  <c r="P737" i="22"/>
  <c r="O737" i="22"/>
  <c r="P223" i="22"/>
  <c r="O223" i="22"/>
  <c r="P222" i="22"/>
  <c r="O222" i="22"/>
  <c r="P736" i="22"/>
  <c r="O736" i="22"/>
  <c r="P221" i="22"/>
  <c r="O221" i="22"/>
  <c r="P735" i="22"/>
  <c r="O735" i="22"/>
  <c r="P220" i="22"/>
  <c r="O220" i="22"/>
  <c r="P1013" i="22"/>
  <c r="O1013" i="22"/>
  <c r="P1012" i="22"/>
  <c r="O1012" i="22"/>
  <c r="P734" i="22"/>
  <c r="O734" i="22"/>
  <c r="P733" i="22"/>
  <c r="O733" i="22"/>
  <c r="P1011" i="22"/>
  <c r="O1011" i="22"/>
  <c r="P732" i="22"/>
  <c r="O732" i="22"/>
  <c r="P731" i="22"/>
  <c r="O731" i="22"/>
  <c r="P730" i="22"/>
  <c r="O730" i="22"/>
  <c r="P729" i="22"/>
  <c r="O729" i="22"/>
  <c r="P728" i="22"/>
  <c r="O728" i="22"/>
  <c r="P219" i="22"/>
  <c r="O219" i="22"/>
  <c r="P218" i="22"/>
  <c r="O218" i="22"/>
  <c r="P1010" i="22"/>
  <c r="O1010" i="22"/>
  <c r="P1009" i="22"/>
  <c r="O1009" i="22"/>
  <c r="P1008" i="22"/>
  <c r="O1008" i="22"/>
  <c r="P217" i="22"/>
  <c r="O217" i="22"/>
  <c r="P1007" i="22"/>
  <c r="O1007" i="22"/>
  <c r="P727" i="22"/>
  <c r="O727" i="22"/>
  <c r="P216" i="22"/>
  <c r="O216" i="22"/>
  <c r="P1080" i="22"/>
  <c r="O1080" i="22"/>
  <c r="P726" i="22"/>
  <c r="O726" i="22"/>
  <c r="P725" i="22"/>
  <c r="O725" i="22"/>
  <c r="P724" i="22"/>
  <c r="O724" i="22"/>
  <c r="P215" i="22"/>
  <c r="O215" i="22"/>
  <c r="P1006" i="22"/>
  <c r="O1006" i="22"/>
  <c r="P723" i="22"/>
  <c r="O723" i="22"/>
  <c r="P722" i="22"/>
  <c r="O722" i="22"/>
  <c r="P721" i="22"/>
  <c r="O721" i="22"/>
  <c r="P214" i="22"/>
  <c r="O214" i="22"/>
  <c r="P213" i="22"/>
  <c r="O213" i="22"/>
  <c r="P720" i="22"/>
  <c r="O720" i="22"/>
  <c r="P1005" i="22"/>
  <c r="O1005" i="22"/>
  <c r="P1004" i="22"/>
  <c r="O1004" i="22"/>
  <c r="P1003" i="22"/>
  <c r="O1003" i="22"/>
  <c r="P1002" i="22"/>
  <c r="O1002" i="22"/>
  <c r="P212" i="22"/>
  <c r="O212" i="22"/>
  <c r="P211" i="22"/>
  <c r="O211" i="22"/>
  <c r="P1001" i="22"/>
  <c r="O1001" i="22"/>
  <c r="P210" i="22"/>
  <c r="O210" i="22"/>
  <c r="P209" i="22"/>
  <c r="O209" i="22"/>
  <c r="P1000" i="22"/>
  <c r="O1000" i="22"/>
  <c r="P999" i="22"/>
  <c r="O999" i="22"/>
  <c r="P208" i="22"/>
  <c r="O208" i="22"/>
  <c r="P207" i="22"/>
  <c r="O207" i="22"/>
  <c r="P998" i="22"/>
  <c r="O998" i="22"/>
  <c r="P1079" i="22"/>
  <c r="O1079" i="22"/>
  <c r="P719" i="22"/>
  <c r="O719" i="22"/>
  <c r="P997" i="22"/>
  <c r="O997" i="22"/>
  <c r="P718" i="22"/>
  <c r="O718" i="22"/>
  <c r="P206" i="22"/>
  <c r="O206" i="22"/>
  <c r="P996" i="22"/>
  <c r="O996" i="22"/>
  <c r="P205" i="22"/>
  <c r="O205" i="22"/>
  <c r="P717" i="22"/>
  <c r="O717" i="22"/>
  <c r="P995" i="22"/>
  <c r="O995" i="22"/>
  <c r="P716" i="22"/>
  <c r="O716" i="22"/>
  <c r="P715" i="22"/>
  <c r="O715" i="22"/>
  <c r="P204" i="22"/>
  <c r="O204" i="22"/>
  <c r="P994" i="22"/>
  <c r="O994" i="22"/>
  <c r="P993" i="22"/>
  <c r="O993" i="22"/>
  <c r="P992" i="22"/>
  <c r="O992" i="22"/>
  <c r="P991" i="22"/>
  <c r="O991" i="22"/>
  <c r="P203" i="22"/>
  <c r="O203" i="22"/>
  <c r="P990" i="22"/>
  <c r="O990" i="22"/>
  <c r="P989" i="22"/>
  <c r="O989" i="22"/>
  <c r="P938" i="22"/>
  <c r="O938" i="22"/>
  <c r="P988" i="22"/>
  <c r="O988" i="22"/>
  <c r="P987" i="22"/>
  <c r="O987" i="22"/>
  <c r="P202" i="22"/>
  <c r="O202" i="22"/>
  <c r="P201" i="22"/>
  <c r="O201" i="22"/>
  <c r="P714" i="22"/>
  <c r="O714" i="22"/>
  <c r="P200" i="22"/>
  <c r="O200" i="22"/>
  <c r="P199" i="22"/>
  <c r="O199" i="22"/>
  <c r="P198" i="22"/>
  <c r="O198" i="22"/>
  <c r="P197" i="22"/>
  <c r="O197" i="22"/>
  <c r="P986" i="22"/>
  <c r="O986" i="22"/>
  <c r="P713" i="22"/>
  <c r="O713" i="22"/>
  <c r="P985" i="22"/>
  <c r="O985" i="22"/>
  <c r="P712" i="22"/>
  <c r="O712" i="22"/>
  <c r="P196" i="22"/>
  <c r="O196" i="22"/>
  <c r="P711" i="22"/>
  <c r="O711" i="22"/>
  <c r="P710" i="22"/>
  <c r="O710" i="22"/>
  <c r="P709" i="22"/>
  <c r="O709" i="22"/>
  <c r="P984" i="22"/>
  <c r="O984" i="22"/>
  <c r="P195" i="22"/>
  <c r="O195" i="22"/>
  <c r="P983" i="22"/>
  <c r="O983" i="22"/>
  <c r="P982" i="22"/>
  <c r="O982" i="22"/>
  <c r="P981" i="22"/>
  <c r="O981" i="22"/>
  <c r="P194" i="22"/>
  <c r="O194" i="22"/>
  <c r="P708" i="22"/>
  <c r="O708" i="22"/>
  <c r="P193" i="22"/>
  <c r="O193" i="22"/>
  <c r="P707" i="22"/>
  <c r="O707" i="22"/>
  <c r="P980" i="22"/>
  <c r="O980" i="22"/>
  <c r="P706" i="22"/>
  <c r="O706" i="22"/>
  <c r="P705" i="22"/>
  <c r="O705" i="22"/>
  <c r="P192" i="22"/>
  <c r="O192" i="22"/>
  <c r="P191" i="22"/>
  <c r="O191" i="22"/>
  <c r="P190" i="22"/>
  <c r="O190" i="22"/>
  <c r="P189" i="22"/>
  <c r="O189" i="22"/>
  <c r="P188" i="22"/>
  <c r="O188" i="22"/>
  <c r="P187" i="22"/>
  <c r="O187" i="22"/>
  <c r="P186" i="22"/>
  <c r="O186" i="22"/>
  <c r="P185" i="22"/>
  <c r="O185" i="22"/>
  <c r="P184" i="22"/>
  <c r="O184" i="22"/>
  <c r="P183" i="22"/>
  <c r="O183" i="22"/>
  <c r="P704" i="22"/>
  <c r="O704" i="22"/>
  <c r="P703" i="22"/>
  <c r="O703" i="22"/>
  <c r="P702" i="22"/>
  <c r="O702" i="22"/>
  <c r="P701" i="22"/>
  <c r="O701" i="22"/>
  <c r="P182" i="22"/>
  <c r="O182" i="22"/>
  <c r="P700" i="22"/>
  <c r="O700" i="22"/>
  <c r="P699" i="22"/>
  <c r="O699" i="22"/>
  <c r="P698" i="22"/>
  <c r="O698" i="22"/>
  <c r="P181" i="22"/>
  <c r="O181" i="22"/>
  <c r="P180" i="22"/>
  <c r="O180" i="22"/>
  <c r="P179" i="22"/>
  <c r="O179" i="22"/>
  <c r="P697" i="22"/>
  <c r="O697" i="22"/>
  <c r="P178" i="22"/>
  <c r="O178" i="22"/>
  <c r="P177" i="22"/>
  <c r="O177" i="22"/>
  <c r="P176" i="22"/>
  <c r="O176" i="22"/>
  <c r="P175" i="22"/>
  <c r="O175" i="22"/>
  <c r="P979" i="22"/>
  <c r="O979" i="22"/>
  <c r="P174" i="22"/>
  <c r="O174" i="22"/>
  <c r="P173" i="22"/>
  <c r="O173" i="22"/>
  <c r="P172" i="22"/>
  <c r="O172" i="22"/>
  <c r="P171" i="22"/>
  <c r="O171" i="22"/>
  <c r="P978" i="22"/>
  <c r="O978" i="22"/>
  <c r="P977" i="22"/>
  <c r="O977" i="22"/>
  <c r="P696" i="22"/>
  <c r="O696" i="22"/>
  <c r="P170" i="22"/>
  <c r="O170" i="22"/>
  <c r="P169" i="22"/>
  <c r="O169" i="22"/>
  <c r="P168" i="22"/>
  <c r="O168" i="22"/>
  <c r="P976" i="22"/>
  <c r="O976" i="22"/>
  <c r="P695" i="22"/>
  <c r="O695" i="22"/>
  <c r="P694" i="22"/>
  <c r="O694" i="22"/>
  <c r="P693" i="22"/>
  <c r="O693" i="22"/>
  <c r="P167" i="22"/>
  <c r="O167" i="22"/>
  <c r="P975" i="22"/>
  <c r="O975" i="22"/>
  <c r="P166" i="22"/>
  <c r="O166" i="22"/>
  <c r="P692" i="22"/>
  <c r="O692" i="22"/>
  <c r="P691" i="22"/>
  <c r="O691" i="22"/>
  <c r="P165" i="22"/>
  <c r="O165" i="22"/>
  <c r="P974" i="22"/>
  <c r="O974" i="22"/>
  <c r="P164" i="22"/>
  <c r="O164" i="22"/>
  <c r="P690" i="22"/>
  <c r="O690" i="22"/>
  <c r="P689" i="22"/>
  <c r="O689" i="22"/>
  <c r="P163" i="22"/>
  <c r="O163" i="22"/>
  <c r="P688" i="22"/>
  <c r="O688" i="22"/>
  <c r="P687" i="22"/>
  <c r="O687" i="22"/>
  <c r="P162" i="22"/>
  <c r="O162" i="22"/>
  <c r="P1078" i="22"/>
  <c r="O1078" i="22"/>
  <c r="P686" i="22"/>
  <c r="O686" i="22"/>
  <c r="P685" i="22"/>
  <c r="O685" i="22"/>
  <c r="P937" i="22"/>
  <c r="O937" i="22"/>
  <c r="P161" i="22"/>
  <c r="O161" i="22"/>
  <c r="P160" i="22"/>
  <c r="O160" i="22"/>
  <c r="P973" i="22"/>
  <c r="O973" i="22"/>
  <c r="P972" i="22"/>
  <c r="O972" i="22"/>
  <c r="P159" i="22"/>
  <c r="O159" i="22"/>
  <c r="P684" i="22"/>
  <c r="O684" i="22"/>
  <c r="P683" i="22"/>
  <c r="O683" i="22"/>
  <c r="P158" i="22"/>
  <c r="O158" i="22"/>
  <c r="P157" i="22"/>
  <c r="O157" i="22"/>
  <c r="P156" i="22"/>
  <c r="O156" i="22"/>
  <c r="P682" i="22"/>
  <c r="O682" i="22"/>
  <c r="P155" i="22"/>
  <c r="O155" i="22"/>
  <c r="P154" i="22"/>
  <c r="O154" i="22"/>
  <c r="P153" i="22"/>
  <c r="O153" i="22"/>
  <c r="P681" i="22"/>
  <c r="O681" i="22"/>
  <c r="P680" i="22"/>
  <c r="O680" i="22"/>
  <c r="P152" i="22"/>
  <c r="O152" i="22"/>
  <c r="P679" i="22"/>
  <c r="O679" i="22"/>
  <c r="P151" i="22"/>
  <c r="O151" i="22"/>
  <c r="P971" i="22"/>
  <c r="O971" i="22"/>
  <c r="P150" i="22"/>
  <c r="O150" i="22"/>
  <c r="P149" i="22"/>
  <c r="O149" i="22"/>
  <c r="P148" i="22"/>
  <c r="O148" i="22"/>
  <c r="P147" i="22"/>
  <c r="O147" i="22"/>
  <c r="P678" i="22"/>
  <c r="O678" i="22"/>
  <c r="P677" i="22"/>
  <c r="O677" i="22"/>
  <c r="P936" i="22"/>
  <c r="O936" i="22"/>
  <c r="P146" i="22"/>
  <c r="O146" i="22"/>
  <c r="P676" i="22"/>
  <c r="O676" i="22"/>
  <c r="P145" i="22"/>
  <c r="O145" i="22"/>
  <c r="P144" i="22"/>
  <c r="O144" i="22"/>
  <c r="P143" i="22"/>
  <c r="O143" i="22"/>
  <c r="P142" i="22"/>
  <c r="O142" i="22"/>
  <c r="P141" i="22"/>
  <c r="O141" i="22"/>
  <c r="P675" i="22"/>
  <c r="O675" i="22"/>
  <c r="P140" i="22"/>
  <c r="O140" i="22"/>
  <c r="P139" i="22"/>
  <c r="O139" i="22"/>
  <c r="P674" i="22"/>
  <c r="O674" i="22"/>
  <c r="P138" i="22"/>
  <c r="O138" i="22"/>
  <c r="P673" i="22"/>
  <c r="O673" i="22"/>
  <c r="P137" i="22"/>
  <c r="O137" i="22"/>
  <c r="P672" i="22"/>
  <c r="O672" i="22"/>
  <c r="P1077" i="22"/>
  <c r="O1077" i="22"/>
  <c r="P136" i="22"/>
  <c r="O136" i="22"/>
  <c r="P135" i="22"/>
  <c r="O135" i="22"/>
  <c r="P671" i="22"/>
  <c r="O671" i="22"/>
  <c r="P670" i="22"/>
  <c r="O670" i="22"/>
  <c r="P669" i="22"/>
  <c r="O669" i="22"/>
  <c r="P668" i="22"/>
  <c r="O668" i="22"/>
  <c r="P970" i="22"/>
  <c r="O970" i="22"/>
  <c r="P667" i="22"/>
  <c r="O667" i="22"/>
  <c r="P134" i="22"/>
  <c r="O134" i="22"/>
  <c r="P133" i="22"/>
  <c r="O133" i="22"/>
  <c r="P666" i="22"/>
  <c r="O666" i="22"/>
  <c r="P665" i="22"/>
  <c r="O665" i="22"/>
  <c r="P664" i="22"/>
  <c r="O664" i="22"/>
  <c r="P969" i="22"/>
  <c r="O969" i="22"/>
  <c r="P968" i="22"/>
  <c r="O968" i="22"/>
  <c r="P663" i="22"/>
  <c r="O663" i="22"/>
  <c r="P132" i="22"/>
  <c r="O132" i="22"/>
  <c r="P131" i="22"/>
  <c r="O131" i="22"/>
  <c r="P130" i="22"/>
  <c r="O130" i="22"/>
  <c r="P967" i="22"/>
  <c r="O967" i="22"/>
  <c r="P662" i="22"/>
  <c r="O662" i="22"/>
  <c r="P661" i="22"/>
  <c r="O661" i="22"/>
  <c r="P660" i="22"/>
  <c r="O660" i="22"/>
  <c r="P129" i="22"/>
  <c r="O129" i="22"/>
  <c r="P659" i="22"/>
  <c r="O659" i="22"/>
  <c r="P966" i="22"/>
  <c r="O966" i="22"/>
  <c r="P128" i="22"/>
  <c r="O128" i="22"/>
  <c r="P658" i="22"/>
  <c r="O658" i="22"/>
  <c r="P657" i="22"/>
  <c r="O657" i="22"/>
  <c r="P127" i="22"/>
  <c r="O127" i="22"/>
  <c r="P126" i="22"/>
  <c r="O126" i="22"/>
  <c r="P125" i="22"/>
  <c r="O125" i="22"/>
  <c r="P656" i="22"/>
  <c r="O656" i="22"/>
  <c r="P655" i="22"/>
  <c r="O655" i="22"/>
  <c r="P124" i="22"/>
  <c r="O124" i="22"/>
  <c r="P1076" i="22"/>
  <c r="O1076" i="22"/>
  <c r="P123" i="22"/>
  <c r="O123" i="22"/>
  <c r="P654" i="22"/>
  <c r="O654" i="22"/>
  <c r="P653" i="22"/>
  <c r="O653" i="22"/>
  <c r="P652" i="22"/>
  <c r="O652" i="22"/>
  <c r="P122" i="22"/>
  <c r="O122" i="22"/>
  <c r="P965" i="22"/>
  <c r="O965" i="22"/>
  <c r="P964" i="22"/>
  <c r="O964" i="22"/>
  <c r="P121" i="22"/>
  <c r="O121" i="22"/>
  <c r="P120" i="22"/>
  <c r="O120" i="22"/>
  <c r="P119" i="22"/>
  <c r="O119" i="22"/>
  <c r="P118" i="22"/>
  <c r="O118" i="22"/>
  <c r="P963" i="22"/>
  <c r="O963" i="22"/>
  <c r="P117" i="22"/>
  <c r="O117" i="22"/>
  <c r="P651" i="22"/>
  <c r="O651" i="22"/>
  <c r="P116" i="22"/>
  <c r="O116" i="22"/>
  <c r="P650" i="22"/>
  <c r="O650" i="22"/>
  <c r="P1075" i="22"/>
  <c r="O1075" i="22"/>
  <c r="P115" i="22"/>
  <c r="O115" i="22"/>
  <c r="P962" i="22"/>
  <c r="O962" i="22"/>
  <c r="P649" i="22"/>
  <c r="O649" i="22"/>
  <c r="P648" i="22"/>
  <c r="O648" i="22"/>
  <c r="P647" i="22"/>
  <c r="O647" i="22"/>
  <c r="P114" i="22"/>
  <c r="O114" i="22"/>
  <c r="P113" i="22"/>
  <c r="O113" i="22"/>
  <c r="P112" i="22"/>
  <c r="O112" i="22"/>
  <c r="P646" i="22"/>
  <c r="O646" i="22"/>
  <c r="P111" i="22"/>
  <c r="O111" i="22"/>
  <c r="P110" i="22"/>
  <c r="O110" i="22"/>
  <c r="P109" i="22"/>
  <c r="O109" i="22"/>
  <c r="P961" i="22"/>
  <c r="O961" i="22"/>
  <c r="P645" i="22"/>
  <c r="O645" i="22"/>
  <c r="P644" i="22"/>
  <c r="O644" i="22"/>
  <c r="P643" i="22"/>
  <c r="O643" i="22"/>
  <c r="P642" i="22"/>
  <c r="O642" i="22"/>
  <c r="P108" i="22"/>
  <c r="O108" i="22"/>
  <c r="P107" i="22"/>
  <c r="O107" i="22"/>
  <c r="P641" i="22"/>
  <c r="O641" i="22"/>
  <c r="P106" i="22"/>
  <c r="O106" i="22"/>
  <c r="P1074" i="22"/>
  <c r="O1074" i="22"/>
  <c r="P105" i="22"/>
  <c r="O105" i="22"/>
  <c r="P104" i="22"/>
  <c r="O104" i="22"/>
  <c r="P103" i="22"/>
  <c r="O103" i="22"/>
  <c r="P102" i="22"/>
  <c r="O102" i="22"/>
  <c r="P101" i="22"/>
  <c r="O101" i="22"/>
  <c r="P100" i="22"/>
  <c r="O100" i="22"/>
  <c r="P99" i="22"/>
  <c r="O99" i="22"/>
  <c r="P98" i="22"/>
  <c r="O98" i="22"/>
  <c r="P97" i="22"/>
  <c r="O97" i="22"/>
  <c r="P96" i="22"/>
  <c r="O96" i="22"/>
  <c r="P95" i="22"/>
  <c r="O95" i="22"/>
  <c r="P94" i="22"/>
  <c r="O94" i="22"/>
  <c r="P640" i="22"/>
  <c r="O640" i="22"/>
  <c r="P93" i="22"/>
  <c r="O93" i="22"/>
  <c r="P960" i="22"/>
  <c r="O960" i="22"/>
  <c r="P959" i="22"/>
  <c r="O959" i="22"/>
  <c r="P92" i="22"/>
  <c r="O92" i="22"/>
  <c r="P91" i="22"/>
  <c r="O91" i="22"/>
  <c r="P90" i="22"/>
  <c r="O90" i="22"/>
  <c r="P89" i="22"/>
  <c r="O89" i="22"/>
  <c r="P958" i="22"/>
  <c r="O958" i="22"/>
  <c r="P88" i="22"/>
  <c r="O88" i="22"/>
  <c r="P87" i="22"/>
  <c r="O87" i="22"/>
  <c r="P639" i="22"/>
  <c r="O639" i="22"/>
  <c r="P1073" i="22"/>
  <c r="O1073" i="22"/>
  <c r="P86" i="22"/>
  <c r="O86" i="22"/>
  <c r="P638" i="22"/>
  <c r="O638" i="22"/>
  <c r="P85" i="22"/>
  <c r="O85" i="22"/>
  <c r="P637" i="22"/>
  <c r="O637" i="22"/>
  <c r="P636" i="22"/>
  <c r="O636" i="22"/>
  <c r="P635" i="22"/>
  <c r="O635" i="22"/>
  <c r="P84" i="22"/>
  <c r="O84" i="22"/>
  <c r="P634" i="22"/>
  <c r="O634" i="22"/>
  <c r="P83" i="22"/>
  <c r="O83" i="22"/>
  <c r="P82" i="22"/>
  <c r="O82" i="22"/>
  <c r="P1072" i="22"/>
  <c r="O1072" i="22"/>
  <c r="P633" i="22"/>
  <c r="O633" i="22"/>
  <c r="P957" i="22"/>
  <c r="O957" i="22"/>
  <c r="P632" i="22"/>
  <c r="O632" i="22"/>
  <c r="P631" i="22"/>
  <c r="O631" i="22"/>
  <c r="P630" i="22"/>
  <c r="O630" i="22"/>
  <c r="P629" i="22"/>
  <c r="O629" i="22"/>
  <c r="P81" i="22"/>
  <c r="O81" i="22"/>
  <c r="P628" i="22"/>
  <c r="O628" i="22"/>
  <c r="P627" i="22"/>
  <c r="O627" i="22"/>
  <c r="P80" i="22"/>
  <c r="O80" i="22"/>
  <c r="P626" i="22"/>
  <c r="O626" i="22"/>
  <c r="P625" i="22"/>
  <c r="O625" i="22"/>
  <c r="P624" i="22"/>
  <c r="O624" i="22"/>
  <c r="P956" i="22"/>
  <c r="O956" i="22"/>
  <c r="P623" i="22"/>
  <c r="O623" i="22"/>
  <c r="P622" i="22"/>
  <c r="O622" i="22"/>
  <c r="P621" i="22"/>
  <c r="O621" i="22"/>
  <c r="P620" i="22"/>
  <c r="O620" i="22"/>
  <c r="P619" i="22"/>
  <c r="O619" i="22"/>
  <c r="P955" i="22"/>
  <c r="O955" i="22"/>
  <c r="P79" i="22"/>
  <c r="O79" i="22"/>
  <c r="P78" i="22"/>
  <c r="O78" i="22"/>
  <c r="P954" i="22"/>
  <c r="O954" i="22"/>
  <c r="P77" i="22"/>
  <c r="O77" i="22"/>
  <c r="P76" i="22"/>
  <c r="O76" i="22"/>
  <c r="P75" i="22"/>
  <c r="O75" i="22"/>
  <c r="P74" i="22"/>
  <c r="O74" i="22"/>
  <c r="P73" i="22"/>
  <c r="O73" i="22"/>
  <c r="P72" i="22"/>
  <c r="O72" i="22"/>
  <c r="P71" i="22"/>
  <c r="O71" i="22"/>
  <c r="P953" i="22"/>
  <c r="O953" i="22"/>
  <c r="P70" i="22"/>
  <c r="O70" i="22"/>
  <c r="P952" i="22"/>
  <c r="O952" i="22"/>
  <c r="P618" i="22"/>
  <c r="O618" i="22"/>
  <c r="P617" i="22"/>
  <c r="O617" i="22"/>
  <c r="P616" i="22"/>
  <c r="O616" i="22"/>
  <c r="P1071" i="22"/>
  <c r="O1071" i="22"/>
  <c r="P69" i="22"/>
  <c r="O69" i="22"/>
  <c r="P615" i="22"/>
  <c r="O615" i="22"/>
  <c r="P68" i="22"/>
  <c r="O68" i="22"/>
  <c r="P951" i="22"/>
  <c r="O951" i="22"/>
  <c r="P614" i="22"/>
  <c r="O614" i="22"/>
  <c r="P613" i="22"/>
  <c r="O613" i="22"/>
  <c r="P67" i="22"/>
  <c r="O67" i="22"/>
  <c r="P66" i="22"/>
  <c r="O66" i="22"/>
  <c r="P612" i="22"/>
  <c r="O612"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950" i="22"/>
  <c r="O950" i="22"/>
  <c r="P611" i="22"/>
  <c r="O611" i="22"/>
  <c r="P49" i="22"/>
  <c r="O49" i="22"/>
  <c r="P48" i="22"/>
  <c r="O48" i="22"/>
  <c r="P610" i="22"/>
  <c r="O610" i="22"/>
  <c r="P47" i="22"/>
  <c r="O47" i="22"/>
  <c r="P609" i="22"/>
  <c r="O609" i="22"/>
  <c r="P608" i="22"/>
  <c r="O608" i="22"/>
  <c r="P607" i="22"/>
  <c r="O607" i="22"/>
  <c r="P46" i="22"/>
  <c r="O46" i="22"/>
  <c r="P606" i="22"/>
  <c r="O606" i="22"/>
  <c r="P605" i="22"/>
  <c r="O605" i="22"/>
  <c r="P604" i="22"/>
  <c r="O604" i="22"/>
  <c r="P603" i="22"/>
  <c r="O603" i="22"/>
  <c r="P602" i="22"/>
  <c r="O602" i="22"/>
  <c r="P1070" i="22"/>
  <c r="O1070" i="22"/>
  <c r="P949" i="22"/>
  <c r="O949" i="22"/>
  <c r="P45" i="22"/>
  <c r="O45" i="22"/>
  <c r="P44" i="22"/>
  <c r="O44" i="22"/>
  <c r="P601" i="22"/>
  <c r="O601" i="22"/>
  <c r="P1069" i="22"/>
  <c r="O1069" i="22"/>
  <c r="P948" i="22"/>
  <c r="O948" i="22"/>
  <c r="P947" i="22"/>
  <c r="O947" i="22"/>
  <c r="P43" i="22"/>
  <c r="O43" i="22"/>
  <c r="P42" i="22"/>
  <c r="O42" i="22"/>
  <c r="P600" i="22"/>
  <c r="O600" i="22"/>
  <c r="P599" i="22"/>
  <c r="O599" i="22"/>
  <c r="P41" i="22"/>
  <c r="O41" i="22"/>
  <c r="P598" i="22"/>
  <c r="O598" i="22"/>
  <c r="P40" i="22"/>
  <c r="O40" i="22"/>
  <c r="P39" i="22"/>
  <c r="O39" i="22"/>
  <c r="P38" i="22"/>
  <c r="O38" i="22"/>
  <c r="P946" i="22"/>
  <c r="O946" i="22"/>
  <c r="P945" i="22"/>
  <c r="O945" i="22"/>
  <c r="P944" i="22"/>
  <c r="O944" i="22"/>
  <c r="P37" i="22"/>
  <c r="O37" i="22"/>
  <c r="P36" i="22"/>
  <c r="O36" i="22"/>
  <c r="P597" i="22"/>
  <c r="O597" i="22"/>
  <c r="P35" i="22"/>
  <c r="O35" i="22"/>
  <c r="P34" i="22"/>
  <c r="O34" i="22"/>
  <c r="P33" i="22"/>
  <c r="O33" i="22"/>
  <c r="P596" i="22"/>
  <c r="O596" i="22"/>
  <c r="P595" i="22"/>
  <c r="O595" i="22"/>
  <c r="P594" i="22"/>
  <c r="O594" i="22"/>
  <c r="P593" i="22"/>
  <c r="O593" i="22"/>
  <c r="P32" i="22"/>
  <c r="O32" i="22"/>
  <c r="P592" i="22"/>
  <c r="O592" i="22"/>
  <c r="P31" i="22"/>
  <c r="O31" i="22"/>
  <c r="P30" i="22"/>
  <c r="O30" i="22"/>
  <c r="P29" i="22"/>
  <c r="O29" i="22"/>
  <c r="P943" i="22"/>
  <c r="O943" i="22"/>
  <c r="P28" i="22"/>
  <c r="O28" i="22"/>
  <c r="P591" i="22"/>
  <c r="O591" i="22"/>
  <c r="P590" i="22"/>
  <c r="O590" i="22"/>
  <c r="P589" i="22"/>
  <c r="O589" i="22"/>
  <c r="P27" i="22"/>
  <c r="O27" i="22"/>
  <c r="P26" i="22"/>
  <c r="O26" i="22"/>
  <c r="P25" i="22"/>
  <c r="O25" i="22"/>
  <c r="P588" i="22"/>
  <c r="O588" i="22"/>
  <c r="P24" i="22"/>
  <c r="O24" i="22"/>
  <c r="P23" i="22"/>
  <c r="O23" i="22"/>
  <c r="P587" i="22"/>
  <c r="O587" i="22"/>
  <c r="P22" i="22"/>
  <c r="O22" i="22"/>
  <c r="P21" i="22"/>
  <c r="O21" i="22"/>
  <c r="P586" i="22"/>
  <c r="O586" i="22"/>
  <c r="P585" i="22"/>
  <c r="O585" i="22"/>
  <c r="P20" i="22"/>
  <c r="O20" i="22"/>
  <c r="P584" i="22"/>
  <c r="O584" i="22"/>
  <c r="P583" i="22"/>
  <c r="O583" i="22"/>
  <c r="P19" i="22"/>
  <c r="O19" i="22"/>
  <c r="P18" i="22"/>
  <c r="O18" i="22"/>
  <c r="P17" i="22"/>
  <c r="O17" i="22"/>
  <c r="P16" i="22"/>
  <c r="O16" i="22"/>
  <c r="P15" i="22"/>
  <c r="O15" i="22"/>
  <c r="P582" i="22"/>
  <c r="O582" i="22"/>
  <c r="P581" i="22"/>
  <c r="O581" i="22"/>
  <c r="P580" i="22"/>
  <c r="O580" i="22"/>
  <c r="P579" i="22"/>
  <c r="O579" i="22"/>
  <c r="P578" i="22"/>
  <c r="O578" i="22"/>
  <c r="P577" i="22"/>
  <c r="O577" i="22"/>
  <c r="P576" i="22"/>
  <c r="O576" i="22"/>
  <c r="P14" i="22"/>
  <c r="O14" i="22"/>
  <c r="P942" i="22"/>
  <c r="O942" i="22"/>
  <c r="P575" i="22"/>
  <c r="O575" i="22"/>
  <c r="P13" i="22"/>
  <c r="O13" i="22"/>
  <c r="P12" i="22"/>
  <c r="O12" i="22"/>
  <c r="P11" i="22"/>
  <c r="O11" i="22"/>
  <c r="P10" i="22"/>
  <c r="O10" i="22"/>
  <c r="P9" i="22"/>
  <c r="O9" i="22"/>
  <c r="P8" i="22"/>
  <c r="O8" i="22"/>
  <c r="P7" i="22"/>
  <c r="O7" i="22"/>
  <c r="P6" i="22"/>
  <c r="O6" i="22"/>
  <c r="P574" i="22"/>
  <c r="O574" i="22"/>
  <c r="P941" i="22"/>
  <c r="O941" i="22"/>
  <c r="P940" i="22"/>
  <c r="O940" i="22"/>
  <c r="P5" i="22"/>
  <c r="O5" i="22"/>
  <c r="P4" i="22"/>
  <c r="O4" i="22"/>
  <c r="P573" i="22"/>
  <c r="O573" i="22"/>
  <c r="P3" i="22"/>
  <c r="O3" i="22"/>
  <c r="Q1113" i="22" l="1"/>
  <c r="Q1122" i="22" s="1"/>
  <c r="Q1114" i="22"/>
  <c r="K1095" i="22"/>
  <c r="M1095" i="22" s="1"/>
  <c r="L1100" i="22" s="1"/>
  <c r="D4" i="14" s="1"/>
  <c r="K1094" i="22"/>
  <c r="M1094" i="22" s="1"/>
  <c r="K1100" i="22" s="1"/>
  <c r="C4" i="14" s="1"/>
  <c r="S1091" i="22"/>
  <c r="C26" i="7"/>
  <c r="P36" i="13"/>
  <c r="R34" i="13"/>
  <c r="V28" i="13"/>
  <c r="P28" i="13"/>
  <c r="N28" i="13"/>
  <c r="V20" i="13"/>
  <c r="R20" i="13"/>
  <c r="S17" i="10"/>
  <c r="R22" i="10"/>
  <c r="R21" i="10"/>
  <c r="V12" i="10"/>
  <c r="N12" i="10"/>
  <c r="M1100" i="22" l="1"/>
  <c r="E4" i="14" s="1"/>
  <c r="P12" i="11" l="1"/>
  <c r="C567" i="22" l="1"/>
  <c r="C577" i="22"/>
  <c r="C406" i="22"/>
  <c r="C1037" i="22"/>
  <c r="C929" i="22"/>
  <c r="C1060" i="22"/>
  <c r="C512" i="22"/>
  <c r="C504" i="22"/>
  <c r="C882" i="22"/>
  <c r="C489" i="22"/>
  <c r="C869" i="22"/>
  <c r="C464" i="22"/>
  <c r="C432" i="22"/>
  <c r="C822" i="22"/>
  <c r="C343" i="22"/>
  <c r="C552" i="22"/>
  <c r="C1088" i="22"/>
  <c r="C426" i="22"/>
  <c r="C1085" i="22"/>
  <c r="C797" i="22"/>
  <c r="C570" i="22"/>
  <c r="C519" i="22"/>
  <c r="C480" i="22"/>
  <c r="C453" i="22"/>
  <c r="C433" i="22"/>
  <c r="C1043" i="22"/>
  <c r="C386" i="22"/>
  <c r="C1038" i="22"/>
  <c r="C1034" i="22"/>
  <c r="C312" i="22"/>
  <c r="C549" i="22"/>
  <c r="C565" i="22"/>
  <c r="C868" i="22"/>
  <c r="C389" i="22"/>
  <c r="C339" i="22"/>
  <c r="C571" i="22"/>
  <c r="C1057" i="22"/>
  <c r="C895" i="22"/>
  <c r="C501" i="22"/>
  <c r="C881" i="22"/>
  <c r="C488" i="22"/>
  <c r="C476" i="22"/>
  <c r="C858" i="22"/>
  <c r="C1044" i="22"/>
  <c r="C367" i="22"/>
  <c r="C325" i="22"/>
  <c r="C547" i="22"/>
  <c r="C932" i="22"/>
  <c r="C841" i="22"/>
  <c r="C368" i="22"/>
  <c r="C333" i="22"/>
  <c r="C1065" i="22"/>
  <c r="C904" i="22"/>
  <c r="C478" i="22"/>
  <c r="C856" i="22"/>
  <c r="C1045" i="22"/>
  <c r="C838" i="22"/>
  <c r="C385" i="22"/>
  <c r="C814" i="22"/>
  <c r="C581" i="22"/>
  <c r="C536" i="22"/>
  <c r="C8" i="22"/>
  <c r="C836" i="22"/>
  <c r="C348" i="22"/>
  <c r="C926" i="22"/>
  <c r="C528" i="22"/>
  <c r="C896" i="22"/>
  <c r="C502" i="22"/>
  <c r="C495" i="22"/>
  <c r="C1087" i="22"/>
  <c r="C1086" i="22"/>
  <c r="C861" i="22"/>
  <c r="C846" i="22"/>
  <c r="C820" i="22"/>
  <c r="C798" i="22"/>
  <c r="C920" i="22"/>
  <c r="C909" i="22"/>
  <c r="C418" i="22"/>
  <c r="C370" i="22"/>
  <c r="C334" i="22"/>
  <c r="C921" i="22"/>
  <c r="C517" i="22"/>
  <c r="C866" i="22"/>
  <c r="C857" i="22"/>
  <c r="C430" i="22"/>
  <c r="C837" i="22"/>
  <c r="C382" i="22"/>
  <c r="C356" i="22"/>
  <c r="C337" i="22"/>
  <c r="C306" i="22"/>
  <c r="C545" i="22"/>
  <c r="C905" i="22"/>
  <c r="C1046" i="22"/>
  <c r="C384" i="22"/>
  <c r="C336" i="22"/>
  <c r="C925" i="22"/>
  <c r="C521" i="22"/>
  <c r="C1053" i="22"/>
  <c r="C500" i="22"/>
  <c r="C879" i="22"/>
  <c r="C487" i="22"/>
  <c r="C473" i="22"/>
  <c r="C451" i="22"/>
  <c r="C410" i="22"/>
  <c r="C362" i="22"/>
  <c r="C318" i="22"/>
  <c r="C918" i="22"/>
  <c r="C933" i="22"/>
  <c r="C839" i="22"/>
  <c r="C815" i="22"/>
  <c r="C324" i="22"/>
  <c r="C541" i="22"/>
  <c r="C579" i="22"/>
  <c r="C865" i="22"/>
  <c r="C448" i="22"/>
  <c r="C429" i="22"/>
  <c r="C401" i="22"/>
  <c r="C379" i="22"/>
  <c r="C353" i="22"/>
  <c r="C794" i="22"/>
  <c r="C718" i="22"/>
  <c r="C975" i="22"/>
  <c r="C657" i="22"/>
  <c r="C625" i="22"/>
  <c r="C596" i="22"/>
  <c r="C1082" i="22"/>
  <c r="C1028" i="22"/>
  <c r="C769" i="22"/>
  <c r="C754" i="22"/>
  <c r="C1016" i="22"/>
  <c r="C724" i="22"/>
  <c r="C938" i="22"/>
  <c r="C704" i="22"/>
  <c r="C689" i="22"/>
  <c r="C143" i="22"/>
  <c r="C126" i="22"/>
  <c r="C641" i="22"/>
  <c r="C631" i="22"/>
  <c r="C67" i="22"/>
  <c r="C43" i="22"/>
  <c r="C585" i="22"/>
  <c r="C752" i="22"/>
  <c r="C1011" i="22"/>
  <c r="C201" i="22"/>
  <c r="C164" i="22"/>
  <c r="C1062" i="22"/>
  <c r="C573" i="22"/>
  <c r="C828" i="22"/>
  <c r="C804" i="22"/>
  <c r="C554" i="22"/>
  <c r="C523" i="22"/>
  <c r="C511" i="22"/>
  <c r="C890" i="22"/>
  <c r="C880" i="22"/>
  <c r="C1052" i="22"/>
  <c r="C477" i="22"/>
  <c r="C458" i="22"/>
  <c r="C422" i="22"/>
  <c r="C1040" i="22"/>
  <c r="C792" i="22"/>
  <c r="C544" i="22"/>
  <c r="C903" i="22"/>
  <c r="C411" i="22"/>
  <c r="C364" i="22"/>
  <c r="C327" i="22"/>
  <c r="C568" i="22"/>
  <c r="C516" i="22"/>
  <c r="C465" i="22"/>
  <c r="C449" i="22"/>
  <c r="C847" i="22"/>
  <c r="C402" i="22"/>
  <c r="C378" i="22"/>
  <c r="C354" i="22"/>
  <c r="C335" i="22"/>
  <c r="C302" i="22"/>
  <c r="C542" i="22"/>
  <c r="C580" i="22"/>
  <c r="C428" i="22"/>
  <c r="C376" i="22"/>
  <c r="C331" i="22"/>
  <c r="C551" i="22"/>
  <c r="C908" i="22"/>
  <c r="C510" i="22"/>
  <c r="C888" i="22"/>
  <c r="C878" i="22"/>
  <c r="C485" i="22"/>
  <c r="C471" i="22"/>
  <c r="C855" i="22"/>
  <c r="C405" i="22"/>
  <c r="C355" i="22"/>
  <c r="C310" i="22"/>
  <c r="C538" i="22"/>
  <c r="C10" i="22"/>
  <c r="C404" i="22"/>
  <c r="C939" i="22"/>
  <c r="C1064" i="22"/>
  <c r="C1068" i="22"/>
  <c r="C912" i="22"/>
  <c r="C472" i="22"/>
  <c r="C825" i="22"/>
  <c r="C801" i="22"/>
  <c r="C1066" i="22"/>
  <c r="C518" i="22"/>
  <c r="C894" i="22"/>
  <c r="C889" i="22"/>
  <c r="C494" i="22"/>
  <c r="C486" i="22"/>
  <c r="C474" i="22"/>
  <c r="C454" i="22"/>
  <c r="C415" i="22"/>
  <c r="C817" i="22"/>
  <c r="C326" i="22"/>
  <c r="C917" i="22"/>
  <c r="C11" i="22"/>
  <c r="C1042" i="22"/>
  <c r="C357" i="22"/>
  <c r="C320" i="22"/>
  <c r="C539" i="22"/>
  <c r="C942" i="22"/>
  <c r="C863" i="22"/>
  <c r="C446" i="22"/>
  <c r="C424" i="22"/>
  <c r="C834" i="22"/>
  <c r="C374" i="22"/>
  <c r="C1036" i="22"/>
  <c r="C791" i="22"/>
  <c r="C916" i="22"/>
  <c r="C578" i="22"/>
  <c r="C421" i="22"/>
  <c r="C818" i="22"/>
  <c r="C323" i="22"/>
  <c r="C919" i="22"/>
  <c r="C902" i="22"/>
  <c r="C508" i="22"/>
  <c r="C498" i="22"/>
  <c r="C876" i="22"/>
  <c r="C871" i="22"/>
  <c r="C469" i="22"/>
  <c r="C1049" i="22"/>
  <c r="C833" i="22"/>
  <c r="C811" i="22"/>
  <c r="C564" i="22"/>
  <c r="C534" i="22"/>
  <c r="C475" i="22"/>
  <c r="C398" i="22"/>
  <c r="C351" i="22"/>
  <c r="C935" i="22"/>
  <c r="C532" i="22"/>
  <c r="C575" i="22"/>
  <c r="C557" i="22"/>
  <c r="C525" i="22"/>
  <c r="C436" i="22"/>
  <c r="C383" i="22"/>
  <c r="C795" i="22"/>
  <c r="C546" i="22"/>
  <c r="C906" i="22"/>
  <c r="C509" i="22"/>
  <c r="C499" i="22"/>
  <c r="C877" i="22"/>
  <c r="C872" i="22"/>
  <c r="C470" i="22"/>
  <c r="C450" i="22"/>
  <c r="C408" i="22"/>
  <c r="C359" i="22"/>
  <c r="C537" i="22"/>
  <c r="C1050" i="22"/>
  <c r="C835" i="22"/>
  <c r="C352" i="22"/>
  <c r="C308" i="22"/>
  <c r="C535" i="22"/>
  <c r="C7" i="22"/>
  <c r="C463" i="22"/>
  <c r="C445" i="22"/>
  <c r="C423" i="22"/>
  <c r="C831" i="22"/>
  <c r="C1041" i="22"/>
  <c r="C347" i="22"/>
  <c r="C329" i="22"/>
  <c r="C562" i="22"/>
  <c r="C915" i="22"/>
  <c r="C576" i="22"/>
  <c r="C414" i="22"/>
  <c r="C360" i="22"/>
  <c r="C314" i="22"/>
  <c r="C540" i="22"/>
  <c r="C514" i="22"/>
  <c r="C893" i="22"/>
  <c r="C886" i="22"/>
  <c r="C493" i="22"/>
  <c r="C483" i="22"/>
  <c r="C467" i="22"/>
  <c r="C442" i="22"/>
  <c r="C827" i="22"/>
  <c r="C807" i="22"/>
  <c r="C560" i="22"/>
  <c r="C914" i="22"/>
  <c r="C444" i="22"/>
  <c r="C395" i="22"/>
  <c r="C810" i="22"/>
  <c r="C928" i="22"/>
  <c r="C566" i="22"/>
  <c r="C12" i="22"/>
  <c r="C860" i="22"/>
  <c r="C443" i="22"/>
  <c r="C419" i="22"/>
  <c r="C829" i="22"/>
  <c r="C369" i="22"/>
  <c r="C806" i="22"/>
  <c r="C789" i="22"/>
  <c r="C984" i="22"/>
  <c r="C971" i="22"/>
  <c r="C111" i="22"/>
  <c r="C612" i="22"/>
  <c r="C17" i="22"/>
  <c r="C277" i="22"/>
  <c r="C1027" i="22"/>
  <c r="C249" i="22"/>
  <c r="C235" i="22"/>
  <c r="C1013" i="22"/>
  <c r="C211" i="22"/>
  <c r="C710" i="22"/>
  <c r="C979" i="22"/>
  <c r="C158" i="22"/>
  <c r="C669" i="22"/>
  <c r="C118" i="22"/>
  <c r="C93" i="22"/>
  <c r="C955" i="22"/>
  <c r="C52" i="22"/>
  <c r="C597" i="22"/>
  <c r="C20" i="22"/>
  <c r="C230" i="22"/>
  <c r="C722" i="22"/>
  <c r="C190" i="22"/>
  <c r="C924" i="22"/>
  <c r="C520" i="22"/>
  <c r="C427" i="22"/>
  <c r="C375" i="22"/>
  <c r="C330" i="22"/>
  <c r="C543" i="22"/>
  <c r="C515" i="22"/>
  <c r="C507" i="22"/>
  <c r="C887" i="22"/>
  <c r="C875" i="22"/>
  <c r="C484" i="22"/>
  <c r="C468" i="22"/>
  <c r="C447" i="22"/>
  <c r="C403" i="22"/>
  <c r="C812" i="22"/>
  <c r="C931" i="22"/>
  <c r="C1063" i="22"/>
  <c r="C851" i="22"/>
  <c r="C830" i="22"/>
  <c r="C809" i="22"/>
  <c r="C1061" i="22"/>
  <c r="C574" i="22"/>
  <c r="C460" i="22"/>
  <c r="C1048" i="22"/>
  <c r="C420" i="22"/>
  <c r="C394" i="22"/>
  <c r="C819" i="22"/>
  <c r="C346" i="22"/>
  <c r="C790" i="22"/>
  <c r="C559" i="22"/>
  <c r="C922" i="22"/>
  <c r="C907" i="22"/>
  <c r="C842" i="22"/>
  <c r="C366" i="22"/>
  <c r="C788" i="22"/>
  <c r="C1089" i="22"/>
  <c r="C900" i="22"/>
  <c r="C506" i="22"/>
  <c r="C885" i="22"/>
  <c r="C492" i="22"/>
  <c r="C870" i="22"/>
  <c r="C867" i="22"/>
  <c r="C852" i="22"/>
  <c r="C832" i="22"/>
  <c r="C350" i="22"/>
  <c r="C558" i="22"/>
  <c r="C529" i="22"/>
  <c r="C438" i="22"/>
  <c r="C391" i="22"/>
  <c r="C345" i="22"/>
  <c r="C930" i="22"/>
  <c r="C1059" i="22"/>
  <c r="C4" i="22"/>
  <c r="C859" i="22"/>
  <c r="C440" i="22"/>
  <c r="C416" i="22"/>
  <c r="C392" i="22"/>
  <c r="C365" i="22"/>
  <c r="C1083" i="22"/>
  <c r="C322" i="22"/>
  <c r="C555" i="22"/>
  <c r="C1058" i="22"/>
  <c r="C9" i="22"/>
  <c r="C400" i="22"/>
  <c r="C349" i="22"/>
  <c r="C531" i="22"/>
  <c r="C513" i="22"/>
  <c r="C505" i="22"/>
  <c r="C883" i="22"/>
  <c r="C490" i="22"/>
  <c r="C481" i="22"/>
  <c r="C461" i="22"/>
  <c r="C849" i="22"/>
  <c r="C380" i="22"/>
  <c r="C799" i="22"/>
  <c r="C923" i="22"/>
  <c r="C524" i="22"/>
  <c r="C848" i="22"/>
  <c r="C381" i="22"/>
  <c r="C341" i="22"/>
  <c r="C1067" i="22"/>
  <c r="C522" i="22"/>
  <c r="C569" i="22"/>
  <c r="C901" i="22"/>
  <c r="C840" i="22"/>
  <c r="C361" i="22"/>
  <c r="C563" i="22"/>
  <c r="C533" i="22"/>
  <c r="C898" i="22"/>
  <c r="C891" i="22"/>
  <c r="C497" i="22"/>
  <c r="C491" i="22"/>
  <c r="C1051" i="22"/>
  <c r="C821" i="22"/>
  <c r="C387" i="22"/>
  <c r="C940" i="22"/>
  <c r="C913" i="22"/>
  <c r="C873" i="22"/>
  <c r="C372" i="22"/>
  <c r="C845" i="22"/>
  <c r="C1054" i="22"/>
  <c r="C455" i="22"/>
  <c r="C843" i="22"/>
  <c r="C823" i="22"/>
  <c r="C803" i="22"/>
  <c r="C748" i="22"/>
  <c r="C688" i="22"/>
  <c r="C1074" i="22"/>
  <c r="C601" i="22"/>
  <c r="C283" i="22"/>
  <c r="C263" i="22"/>
  <c r="C1024" i="22"/>
  <c r="C740" i="22"/>
  <c r="C1000" i="22"/>
  <c r="C192" i="22"/>
  <c r="C937" i="22"/>
  <c r="C666" i="22"/>
  <c r="C109" i="22"/>
  <c r="C80" i="22"/>
  <c r="C611" i="22"/>
  <c r="C28" i="22"/>
  <c r="C749" i="22"/>
  <c r="C1002" i="22"/>
  <c r="C171" i="22"/>
  <c r="C970" i="22"/>
  <c r="C104" i="22"/>
  <c r="C71" i="22"/>
  <c r="C34" i="22"/>
  <c r="C787" i="22"/>
  <c r="C280" i="22"/>
  <c r="C767" i="22"/>
  <c r="C225" i="22"/>
  <c r="C998" i="22"/>
  <c r="C176" i="22"/>
  <c r="C671" i="22"/>
  <c r="C100" i="22"/>
  <c r="C60" i="22"/>
  <c r="C21" i="22"/>
  <c r="C209" i="22"/>
  <c r="C976" i="22"/>
  <c r="C966" i="22"/>
  <c r="C626" i="22"/>
  <c r="C35" i="22"/>
  <c r="C270" i="22"/>
  <c r="C257" i="22"/>
  <c r="C243" i="22"/>
  <c r="C226" i="22"/>
  <c r="C215" i="22"/>
  <c r="C989" i="22"/>
  <c r="C183" i="22"/>
  <c r="C163" i="22"/>
  <c r="C139" i="22"/>
  <c r="C655" i="22"/>
  <c r="C105" i="22"/>
  <c r="C632" i="22"/>
  <c r="C613" i="22"/>
  <c r="C947" i="22"/>
  <c r="C586" i="22"/>
  <c r="C239" i="22"/>
  <c r="C725" i="22"/>
  <c r="C193" i="22"/>
  <c r="C683" i="22"/>
  <c r="C125" i="22"/>
  <c r="C638" i="22"/>
  <c r="C49" i="22"/>
  <c r="C300" i="22"/>
  <c r="C287" i="22"/>
  <c r="C778" i="22"/>
  <c r="C765" i="22"/>
  <c r="C224" i="22"/>
  <c r="C994" i="22"/>
  <c r="C166" i="22"/>
  <c r="C967" i="22"/>
  <c r="C1073" i="22"/>
  <c r="C950" i="22"/>
  <c r="C466" i="22"/>
  <c r="C340" i="22"/>
  <c r="C816" i="22"/>
  <c r="C407" i="22"/>
  <c r="C899" i="22"/>
  <c r="C482" i="22"/>
  <c r="C342" i="22"/>
  <c r="C388" i="22"/>
  <c r="C14" i="22"/>
  <c r="C452" i="22"/>
  <c r="C417" i="22"/>
  <c r="C377" i="22"/>
  <c r="C800" i="22"/>
  <c r="C1004" i="22"/>
  <c r="C156" i="22"/>
  <c r="C94" i="22"/>
  <c r="C38" i="22"/>
  <c r="C1032" i="22"/>
  <c r="C261" i="22"/>
  <c r="C757" i="22"/>
  <c r="C223" i="22"/>
  <c r="C719" i="22"/>
  <c r="C186" i="22"/>
  <c r="C160" i="22"/>
  <c r="C968" i="22"/>
  <c r="C643" i="22"/>
  <c r="C622" i="22"/>
  <c r="C608" i="22"/>
  <c r="C24" i="22"/>
  <c r="C233" i="22"/>
  <c r="C208" i="22"/>
  <c r="C695" i="22"/>
  <c r="C132" i="22"/>
  <c r="C96" i="22"/>
  <c r="C69" i="22"/>
  <c r="C29" i="22"/>
  <c r="C297" i="22"/>
  <c r="C779" i="22"/>
  <c r="C763" i="22"/>
  <c r="C738" i="22"/>
  <c r="C716" i="22"/>
  <c r="C170" i="22"/>
  <c r="C664" i="22"/>
  <c r="C959" i="22"/>
  <c r="C54" i="22"/>
  <c r="C15" i="22"/>
  <c r="C205" i="22"/>
  <c r="C690" i="22"/>
  <c r="C1076" i="22"/>
  <c r="C79" i="22"/>
  <c r="C589" i="22"/>
  <c r="C269" i="22"/>
  <c r="C254" i="22"/>
  <c r="C240" i="22"/>
  <c r="C739" i="22"/>
  <c r="C213" i="22"/>
  <c r="C714" i="22"/>
  <c r="C700" i="22"/>
  <c r="C1078" i="22"/>
  <c r="C138" i="22"/>
  <c r="C654" i="22"/>
  <c r="C103" i="22"/>
  <c r="C81" i="22"/>
  <c r="C63" i="22"/>
  <c r="C599" i="22"/>
  <c r="C582" i="22"/>
  <c r="C1023" i="22"/>
  <c r="C1005" i="22"/>
  <c r="C189" i="22"/>
  <c r="C152" i="22"/>
  <c r="C652" i="22"/>
  <c r="C633" i="22"/>
  <c r="C607" i="22"/>
  <c r="C298" i="22"/>
  <c r="C285" i="22"/>
  <c r="C1029" i="22"/>
  <c r="C759" i="22"/>
  <c r="C439" i="22"/>
  <c r="C556" i="22"/>
  <c r="C802" i="22"/>
  <c r="C396" i="22"/>
  <c r="C897" i="22"/>
  <c r="C479" i="22"/>
  <c r="C793" i="22"/>
  <c r="C373" i="22"/>
  <c r="C6" i="22"/>
  <c r="C854" i="22"/>
  <c r="C413" i="22"/>
  <c r="C371" i="22"/>
  <c r="C338" i="22"/>
  <c r="C993" i="22"/>
  <c r="C145" i="22"/>
  <c r="C88" i="22"/>
  <c r="C590" i="22"/>
  <c r="C275" i="22"/>
  <c r="C259" i="22"/>
  <c r="C750" i="22"/>
  <c r="C734" i="22"/>
  <c r="C717" i="22"/>
  <c r="C699" i="22"/>
  <c r="C155" i="22"/>
  <c r="C662" i="22"/>
  <c r="C102" i="22"/>
  <c r="C75" i="22"/>
  <c r="C605" i="22"/>
  <c r="C19" i="22"/>
  <c r="C1019" i="22"/>
  <c r="C996" i="22"/>
  <c r="C686" i="22"/>
  <c r="C659" i="22"/>
  <c r="C91" i="22"/>
  <c r="C64" i="22"/>
  <c r="C25" i="22"/>
  <c r="C294" i="22"/>
  <c r="C777" i="22"/>
  <c r="C760" i="22"/>
  <c r="C735" i="22"/>
  <c r="C990" i="22"/>
  <c r="C692" i="22"/>
  <c r="C660" i="22"/>
  <c r="C85" i="22"/>
  <c r="C47" i="22"/>
  <c r="C23" i="22"/>
  <c r="C203" i="22"/>
  <c r="C161" i="22"/>
  <c r="C963" i="22"/>
  <c r="C953" i="22"/>
  <c r="C18" i="22"/>
  <c r="C266" i="22"/>
  <c r="C252" i="22"/>
  <c r="C237" i="22"/>
  <c r="C222" i="22"/>
  <c r="C1003" i="22"/>
  <c r="C197" i="22"/>
  <c r="C180" i="22"/>
  <c r="C973" i="22"/>
  <c r="C670" i="22"/>
  <c r="C121" i="22"/>
  <c r="C97" i="22"/>
  <c r="C624" i="22"/>
  <c r="C59" i="22"/>
  <c r="C39" i="22"/>
  <c r="C307" i="22"/>
  <c r="C1022" i="22"/>
  <c r="C1001" i="22"/>
  <c r="C703" i="22"/>
  <c r="C936" i="22"/>
  <c r="C119" i="22"/>
  <c r="C627" i="22"/>
  <c r="C44" i="22"/>
  <c r="C786" i="22"/>
  <c r="C783" i="22"/>
  <c r="C1081" i="22"/>
  <c r="C753" i="22"/>
  <c r="C393" i="22"/>
  <c r="C1056" i="22"/>
  <c r="C316" i="22"/>
  <c r="C813" i="22"/>
  <c r="C892" i="22"/>
  <c r="C864" i="22"/>
  <c r="C927" i="22"/>
  <c r="C344" i="22"/>
  <c r="C941" i="22"/>
  <c r="C853" i="22"/>
  <c r="C409" i="22"/>
  <c r="C1039" i="22"/>
  <c r="C1033" i="22"/>
  <c r="C200" i="22"/>
  <c r="C673" i="22"/>
  <c r="C83" i="22"/>
  <c r="C587" i="22"/>
  <c r="C273" i="22"/>
  <c r="C771" i="22"/>
  <c r="C238" i="22"/>
  <c r="C729" i="22"/>
  <c r="C204" i="22"/>
  <c r="C179" i="22"/>
  <c r="C679" i="22"/>
  <c r="C128" i="22"/>
  <c r="C98" i="22"/>
  <c r="C73" i="22"/>
  <c r="C45" i="22"/>
  <c r="C592" i="22"/>
  <c r="C741" i="22"/>
  <c r="C991" i="22"/>
  <c r="C684" i="22"/>
  <c r="C124" i="22"/>
  <c r="C86" i="22"/>
  <c r="C56" i="22"/>
  <c r="C584" i="22"/>
  <c r="C292" i="22"/>
  <c r="C268" i="22"/>
  <c r="C244" i="22"/>
  <c r="C731" i="22"/>
  <c r="C198" i="22"/>
  <c r="C162" i="22"/>
  <c r="C656" i="22"/>
  <c r="C957" i="22"/>
  <c r="C1070" i="22"/>
  <c r="C319" i="22"/>
  <c r="C713" i="22"/>
  <c r="C682" i="22"/>
  <c r="C646" i="22"/>
  <c r="C951" i="22"/>
  <c r="C305" i="22"/>
  <c r="C776" i="22"/>
  <c r="C1025" i="22"/>
  <c r="C234" i="22"/>
  <c r="C220" i="22"/>
  <c r="C999" i="22"/>
  <c r="C711" i="22"/>
  <c r="C175" i="22"/>
  <c r="C157" i="22"/>
  <c r="C667" i="22"/>
  <c r="C651" i="22"/>
  <c r="C640" i="22"/>
  <c r="C619" i="22"/>
  <c r="C53" i="22"/>
  <c r="C944" i="22"/>
  <c r="C780" i="22"/>
  <c r="C229" i="22"/>
  <c r="C997" i="22"/>
  <c r="C697" i="22"/>
  <c r="C675" i="22"/>
  <c r="C115" i="22"/>
  <c r="C621" i="22"/>
  <c r="C598" i="22"/>
  <c r="C785" i="22"/>
  <c r="C781" i="22"/>
  <c r="C775" i="22"/>
  <c r="C805" i="22"/>
  <c r="C3" i="22"/>
  <c r="C553" i="22"/>
  <c r="C1035" i="22"/>
  <c r="C503" i="22"/>
  <c r="C459" i="22"/>
  <c r="C550" i="22"/>
  <c r="C796" i="22"/>
  <c r="C5" i="22"/>
  <c r="C441" i="22"/>
  <c r="C399" i="22"/>
  <c r="C363" i="22"/>
  <c r="C332" i="22"/>
  <c r="C706" i="22"/>
  <c r="C134" i="22"/>
  <c r="C77" i="22"/>
  <c r="C583" i="22"/>
  <c r="C271" i="22"/>
  <c r="C255" i="22"/>
  <c r="C232" i="22"/>
  <c r="C1010" i="22"/>
  <c r="C987" i="22"/>
  <c r="C977" i="22"/>
  <c r="C149" i="22"/>
  <c r="C123" i="22"/>
  <c r="C89" i="22"/>
  <c r="C618" i="22"/>
  <c r="C41" i="22"/>
  <c r="C315" i="22"/>
  <c r="C1014" i="22"/>
  <c r="C985" i="22"/>
  <c r="C680" i="22"/>
  <c r="C964" i="22"/>
  <c r="C84" i="22"/>
  <c r="C48" i="22"/>
  <c r="C943" i="22"/>
  <c r="C290" i="22"/>
  <c r="C1026" i="22"/>
  <c r="C242" i="22"/>
  <c r="C1008" i="22"/>
  <c r="C196" i="22"/>
  <c r="C972" i="22"/>
  <c r="C120" i="22"/>
  <c r="C628" i="22"/>
  <c r="C600" i="22"/>
  <c r="C303" i="22"/>
  <c r="C194" i="22"/>
  <c r="C150" i="22"/>
  <c r="C106" i="22"/>
  <c r="C61" i="22"/>
  <c r="C784" i="22"/>
  <c r="C264" i="22"/>
  <c r="C248" i="22"/>
  <c r="C746" i="22"/>
  <c r="C733" i="22"/>
  <c r="C207" i="22"/>
  <c r="C195" i="22"/>
  <c r="C172" i="22"/>
  <c r="C154" i="22"/>
  <c r="C969" i="22"/>
  <c r="C649" i="22"/>
  <c r="C90" i="22"/>
  <c r="C954" i="22"/>
  <c r="C610" i="22"/>
  <c r="C33" i="22"/>
  <c r="C768" i="22"/>
  <c r="C1015" i="22"/>
  <c r="C715" i="22"/>
  <c r="C978" i="22"/>
  <c r="C137" i="22"/>
  <c r="C110" i="22"/>
  <c r="C74" i="22"/>
  <c r="C36" i="22"/>
  <c r="C295" i="22"/>
  <c r="C282" i="22"/>
  <c r="C262" i="22"/>
  <c r="C1090" i="22"/>
  <c r="C456" i="22"/>
  <c r="C530" i="22"/>
  <c r="C304" i="22"/>
  <c r="C884" i="22"/>
  <c r="C434" i="22"/>
  <c r="C911" i="22"/>
  <c r="C572" i="22"/>
  <c r="C862" i="22"/>
  <c r="C437" i="22"/>
  <c r="C397" i="22"/>
  <c r="C358" i="22"/>
  <c r="C328" i="22"/>
  <c r="C184" i="22"/>
  <c r="C130" i="22"/>
  <c r="C616" i="22"/>
  <c r="C313" i="22"/>
  <c r="C1030" i="22"/>
  <c r="C251" i="22"/>
  <c r="C745" i="22"/>
  <c r="C1007" i="22"/>
  <c r="C986" i="22"/>
  <c r="C168" i="22"/>
  <c r="C146" i="22"/>
  <c r="C122" i="22"/>
  <c r="C639" i="22"/>
  <c r="C68" i="22"/>
  <c r="C945" i="22"/>
  <c r="C278" i="22"/>
  <c r="C736" i="22"/>
  <c r="C981" i="22"/>
  <c r="C147" i="22"/>
  <c r="C116" i="22"/>
  <c r="C629" i="22"/>
  <c r="C603" i="22"/>
  <c r="C317" i="22"/>
  <c r="C288" i="22"/>
  <c r="C773" i="22"/>
  <c r="C236" i="22"/>
  <c r="C726" i="22"/>
  <c r="C708" i="22"/>
  <c r="C153" i="22"/>
  <c r="C1075" i="22"/>
  <c r="C620" i="22"/>
  <c r="C37" i="22"/>
  <c r="C247" i="22"/>
  <c r="C185" i="22"/>
  <c r="C144" i="22"/>
  <c r="C95" i="22"/>
  <c r="C51" i="22"/>
  <c r="C274" i="22"/>
  <c r="C774" i="22"/>
  <c r="C761" i="22"/>
  <c r="C744" i="22"/>
  <c r="C730" i="22"/>
  <c r="C206" i="22"/>
  <c r="C980" i="22"/>
  <c r="C169" i="22"/>
  <c r="C151" i="22"/>
  <c r="C131" i="22"/>
  <c r="C113" i="22"/>
  <c r="C87" i="22"/>
  <c r="C72" i="22"/>
  <c r="C609" i="22"/>
  <c r="C593" i="22"/>
  <c r="C526" i="22"/>
  <c r="C1047" i="22"/>
  <c r="C910" i="22"/>
  <c r="C561" i="22"/>
  <c r="C496" i="22"/>
  <c r="C844" i="22"/>
  <c r="C1055" i="22"/>
  <c r="C548" i="22"/>
  <c r="C462" i="22"/>
  <c r="C850" i="22"/>
  <c r="C826" i="22"/>
  <c r="C1084" i="22"/>
  <c r="C321" i="22"/>
  <c r="C181" i="22"/>
  <c r="C653" i="22"/>
  <c r="C50" i="22"/>
  <c r="C296" i="22"/>
  <c r="C267" i="22"/>
  <c r="C766" i="22"/>
  <c r="C1021" i="22"/>
  <c r="C1006" i="22"/>
  <c r="C983" i="22"/>
  <c r="C693" i="22"/>
  <c r="C674" i="22"/>
  <c r="C962" i="22"/>
  <c r="C636" i="22"/>
  <c r="C62" i="22"/>
  <c r="C594" i="22"/>
  <c r="C764" i="22"/>
  <c r="C219" i="22"/>
  <c r="C702" i="22"/>
  <c r="C141" i="22"/>
  <c r="C114" i="22"/>
  <c r="C956" i="22"/>
  <c r="C948" i="22"/>
  <c r="C301" i="22"/>
  <c r="C284" i="22"/>
  <c r="C258" i="22"/>
  <c r="C743" i="22"/>
  <c r="C214" i="22"/>
  <c r="C431" i="22"/>
  <c r="C457" i="22"/>
  <c r="C286" i="22"/>
  <c r="C648" i="22"/>
  <c r="C645" i="22"/>
  <c r="C188" i="22"/>
  <c r="C32" i="22"/>
  <c r="C958" i="22"/>
  <c r="C756" i="22"/>
  <c r="C705" i="22"/>
  <c r="C961" i="22"/>
  <c r="C591" i="22"/>
  <c r="C988" i="22"/>
  <c r="C129" i="22"/>
  <c r="C22" i="22"/>
  <c r="C772" i="22"/>
  <c r="C737" i="22"/>
  <c r="C712" i="22"/>
  <c r="C681" i="22"/>
  <c r="C647" i="22"/>
  <c r="C617" i="22"/>
  <c r="C16" i="22"/>
  <c r="C412" i="22"/>
  <c r="C425" i="22"/>
  <c r="C265" i="22"/>
  <c r="C1072" i="22"/>
  <c r="C78" i="22"/>
  <c r="C182" i="22"/>
  <c r="C27" i="22"/>
  <c r="C634" i="22"/>
  <c r="C755" i="22"/>
  <c r="C187" i="22"/>
  <c r="C642" i="22"/>
  <c r="C588" i="22"/>
  <c r="C199" i="22"/>
  <c r="C107" i="22"/>
  <c r="C309" i="22"/>
  <c r="C256" i="22"/>
  <c r="C1012" i="22"/>
  <c r="C982" i="22"/>
  <c r="C678" i="22"/>
  <c r="C644" i="22"/>
  <c r="C66" i="22"/>
  <c r="C13" i="22"/>
  <c r="C390" i="22"/>
  <c r="C246" i="22"/>
  <c r="C58" i="22"/>
  <c r="C40" i="22"/>
  <c r="C677" i="22"/>
  <c r="C728" i="22"/>
  <c r="C604" i="22"/>
  <c r="C742" i="22"/>
  <c r="C167" i="22"/>
  <c r="C637" i="22"/>
  <c r="C762" i="22"/>
  <c r="C709" i="22"/>
  <c r="C99" i="22"/>
  <c r="C293" i="22"/>
  <c r="C250" i="22"/>
  <c r="C218" i="22"/>
  <c r="C191" i="22"/>
  <c r="C142" i="22"/>
  <c r="C101" i="22"/>
  <c r="C57" i="22"/>
  <c r="C934" i="22"/>
  <c r="C808" i="22"/>
  <c r="C228" i="22"/>
  <c r="C31" i="22"/>
  <c r="C299" i="22"/>
  <c r="C140" i="22"/>
  <c r="C723" i="22"/>
  <c r="C42" i="22"/>
  <c r="C227" i="22"/>
  <c r="C691" i="22"/>
  <c r="C82" i="22"/>
  <c r="C245" i="22"/>
  <c r="C694" i="22"/>
  <c r="C92" i="22"/>
  <c r="C291" i="22"/>
  <c r="C241" i="22"/>
  <c r="C1080" i="22"/>
  <c r="C701" i="22"/>
  <c r="C1077" i="22"/>
  <c r="C960" i="22"/>
  <c r="C606" i="22"/>
  <c r="C874" i="22"/>
  <c r="C311" i="22"/>
  <c r="C720" i="22"/>
  <c r="C758" i="22"/>
  <c r="C782" i="22"/>
  <c r="C112" i="22"/>
  <c r="C698" i="22"/>
  <c r="C272" i="22"/>
  <c r="C217" i="22"/>
  <c r="C148" i="22"/>
  <c r="C952" i="22"/>
  <c r="C751" i="22"/>
  <c r="C974" i="22"/>
  <c r="C1071" i="22"/>
  <c r="C289" i="22"/>
  <c r="C747" i="22"/>
  <c r="C721" i="22"/>
  <c r="C177" i="22"/>
  <c r="C133" i="22"/>
  <c r="C635" i="22"/>
  <c r="C1069" i="22"/>
  <c r="C824" i="22"/>
  <c r="C173" i="22"/>
  <c r="C707" i="22"/>
  <c r="C216" i="22"/>
  <c r="C253" i="22"/>
  <c r="C108" i="22"/>
  <c r="C174" i="22"/>
  <c r="C1031" i="22"/>
  <c r="C727" i="22"/>
  <c r="C676" i="22"/>
  <c r="C615" i="22"/>
  <c r="C221" i="22"/>
  <c r="C685" i="22"/>
  <c r="C65" i="22"/>
  <c r="C281" i="22"/>
  <c r="C231" i="22"/>
  <c r="C212" i="22"/>
  <c r="C696" i="22"/>
  <c r="C127" i="22"/>
  <c r="C630" i="22"/>
  <c r="C946" i="22"/>
  <c r="C435" i="22"/>
  <c r="C117" i="22"/>
  <c r="C165" i="22"/>
  <c r="C178" i="22"/>
  <c r="C1018" i="22"/>
  <c r="C70" i="22"/>
  <c r="C135" i="22"/>
  <c r="C260" i="22"/>
  <c r="C995" i="22"/>
  <c r="C661" i="22"/>
  <c r="C602" i="22"/>
  <c r="C732" i="22"/>
  <c r="C668" i="22"/>
  <c r="C55" i="22"/>
  <c r="C279" i="22"/>
  <c r="C1020" i="22"/>
  <c r="C1079" i="22"/>
  <c r="C687" i="22"/>
  <c r="C965" i="22"/>
  <c r="C623" i="22"/>
  <c r="C595" i="22"/>
  <c r="C527" i="22"/>
  <c r="C46" i="22"/>
  <c r="C136" i="22"/>
  <c r="C672" i="22"/>
  <c r="C210" i="22"/>
  <c r="C614" i="22"/>
  <c r="C665" i="22"/>
  <c r="C770" i="22"/>
  <c r="C992" i="22"/>
  <c r="C658" i="22"/>
  <c r="C949" i="22"/>
  <c r="C1009" i="22"/>
  <c r="C663" i="22"/>
  <c r="C30" i="22"/>
  <c r="C276" i="22"/>
  <c r="C1017" i="22"/>
  <c r="C202" i="22"/>
  <c r="C159" i="22"/>
  <c r="C650" i="22"/>
  <c r="C76" i="22"/>
  <c r="C26" i="22"/>
  <c r="AG13" i="10"/>
  <c r="AG10" i="10"/>
  <c r="U11" i="8" l="1"/>
  <c r="T11" i="8"/>
  <c r="S11" i="8"/>
  <c r="R11" i="8"/>
  <c r="E29" i="7" l="1"/>
  <c r="E30" i="7" s="1"/>
  <c r="E31" i="7" s="1"/>
  <c r="E32" i="7" s="1"/>
  <c r="E33" i="7" s="1"/>
  <c r="E34" i="7" s="1"/>
  <c r="E35" i="7" s="1"/>
  <c r="E36" i="7" s="1"/>
  <c r="E37" i="7" s="1"/>
  <c r="E38" i="7" s="1"/>
  <c r="E39" i="7" s="1"/>
  <c r="E40" i="7" s="1"/>
  <c r="E41" i="7" s="1"/>
  <c r="E42" i="7" s="1"/>
  <c r="E43" i="7" s="1"/>
  <c r="E44" i="7" s="1"/>
  <c r="E45" i="7" s="1"/>
  <c r="E46" i="7" s="1"/>
  <c r="E47" i="7" s="1"/>
  <c r="E48" i="7" s="1"/>
  <c r="E49" i="7" s="1"/>
  <c r="E50" i="7" s="1"/>
  <c r="E51" i="7" s="1"/>
  <c r="E52" i="7" s="1"/>
  <c r="E53" i="7" s="1"/>
  <c r="D29" i="7"/>
  <c r="D30" i="7" s="1"/>
  <c r="D31" i="7" s="1"/>
  <c r="D32" i="7" s="1"/>
  <c r="D33" i="7" s="1"/>
  <c r="D34" i="7" s="1"/>
  <c r="D35" i="7" s="1"/>
  <c r="D36" i="7" s="1"/>
  <c r="D37" i="7" s="1"/>
  <c r="D38" i="7" s="1"/>
  <c r="D39" i="7" s="1"/>
  <c r="D40" i="7" s="1"/>
  <c r="D41" i="7" s="1"/>
  <c r="D42" i="7" s="1"/>
  <c r="D43" i="7" s="1"/>
  <c r="D44" i="7" s="1"/>
  <c r="D45" i="7" s="1"/>
  <c r="D46" i="7" s="1"/>
  <c r="D47" i="7" s="1"/>
  <c r="D48" i="7" s="1"/>
  <c r="D49" i="7" s="1"/>
  <c r="D50" i="7" s="1"/>
  <c r="D51" i="7" s="1"/>
  <c r="D52" i="7" s="1"/>
  <c r="D53" i="7" s="1"/>
  <c r="C29" i="7"/>
  <c r="C30" i="7" s="1"/>
  <c r="C31" i="7" s="1"/>
  <c r="C32" i="7" s="1"/>
  <c r="C33" i="7" s="1"/>
  <c r="C34" i="7" s="1"/>
  <c r="C35" i="7" s="1"/>
  <c r="C36" i="7" s="1"/>
  <c r="C37" i="7" s="1"/>
  <c r="C38" i="7" s="1"/>
  <c r="C39" i="7" s="1"/>
  <c r="C40" i="7" s="1"/>
  <c r="C41" i="7" s="1"/>
  <c r="C42" i="7" s="1"/>
  <c r="C43" i="7" s="1"/>
  <c r="C44" i="7" s="1"/>
  <c r="C45" i="7" s="1"/>
  <c r="C46" i="7" s="1"/>
  <c r="C47" i="7" s="1"/>
  <c r="C48" i="7" s="1"/>
  <c r="C49" i="7" s="1"/>
  <c r="C50" i="7" s="1"/>
  <c r="C51" i="7" s="1"/>
  <c r="C52" i="7" s="1"/>
  <c r="C53" i="7" s="1"/>
  <c r="B29" i="7"/>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AK36" i="13" l="1"/>
  <c r="AK35" i="13"/>
  <c r="AK34" i="13"/>
  <c r="AK33" i="13"/>
  <c r="AK32" i="13"/>
  <c r="AK31" i="13"/>
  <c r="AK30" i="13"/>
  <c r="AK29" i="13"/>
  <c r="AK28" i="13"/>
  <c r="AK26" i="13"/>
  <c r="AK25" i="13"/>
  <c r="AK24" i="13"/>
  <c r="AK23" i="13"/>
  <c r="AK22" i="13"/>
  <c r="AK21" i="13"/>
  <c r="AK20" i="13"/>
  <c r="AK19" i="13"/>
  <c r="AK18" i="13"/>
  <c r="AK17" i="13"/>
  <c r="AK16" i="13"/>
  <c r="AK15" i="13"/>
  <c r="AK14" i="13"/>
  <c r="AK13" i="13"/>
  <c r="AK12" i="13"/>
  <c r="AK11" i="13"/>
  <c r="AK10" i="13"/>
  <c r="AK9" i="13"/>
  <c r="AK8" i="13"/>
  <c r="AK7" i="13"/>
  <c r="AK35" i="12"/>
  <c r="AK34" i="12"/>
  <c r="AK33" i="12"/>
  <c r="AK32" i="12"/>
  <c r="AK31" i="12"/>
  <c r="AK30" i="12"/>
  <c r="AK29" i="12"/>
  <c r="AK28" i="12"/>
  <c r="AK27" i="12"/>
  <c r="AK26" i="12"/>
  <c r="AK25" i="12"/>
  <c r="AK24" i="12"/>
  <c r="AK23" i="12"/>
  <c r="AK22" i="12"/>
  <c r="AK21" i="12"/>
  <c r="AK20" i="12"/>
  <c r="AK19" i="12"/>
  <c r="AK18" i="12"/>
  <c r="AK17" i="12"/>
  <c r="AK16" i="12"/>
  <c r="AK15" i="12"/>
  <c r="AK14" i="12"/>
  <c r="AK13" i="12"/>
  <c r="AK12" i="12"/>
  <c r="AK11" i="12"/>
  <c r="AK10" i="12"/>
  <c r="AK9" i="12"/>
  <c r="AK8" i="12"/>
  <c r="AK7" i="12"/>
  <c r="AK24" i="11"/>
  <c r="AK23" i="11"/>
  <c r="AK22" i="11"/>
  <c r="AK21" i="11"/>
  <c r="AK20" i="11"/>
  <c r="AK19" i="11"/>
  <c r="AK18" i="11"/>
  <c r="AK17" i="11"/>
  <c r="AK16" i="11"/>
  <c r="AK15" i="11"/>
  <c r="AK14" i="11"/>
  <c r="AK13" i="11"/>
  <c r="AK12" i="11"/>
  <c r="AK10" i="11"/>
  <c r="AK9" i="11"/>
  <c r="AK8" i="11"/>
  <c r="AK7" i="11"/>
  <c r="AK33" i="10"/>
  <c r="AK32" i="10"/>
  <c r="AK30" i="10"/>
  <c r="AK29" i="10"/>
  <c r="AK28" i="10"/>
  <c r="AK27" i="10"/>
  <c r="AK26" i="10"/>
  <c r="AK25" i="10"/>
  <c r="AK24" i="10"/>
  <c r="AK23" i="10"/>
  <c r="AK22" i="10"/>
  <c r="AK21" i="10"/>
  <c r="AK20" i="10"/>
  <c r="AK19" i="10"/>
  <c r="AK18" i="10"/>
  <c r="AK17" i="10"/>
  <c r="AK16" i="10"/>
  <c r="AK15" i="10"/>
  <c r="AK14" i="10"/>
  <c r="AK13" i="10"/>
  <c r="AK12" i="10"/>
  <c r="AK11" i="10"/>
  <c r="AK10" i="10"/>
  <c r="AK9" i="10"/>
  <c r="AK8" i="10"/>
  <c r="AK7" i="10"/>
  <c r="AK20" i="9"/>
  <c r="AK19" i="9"/>
  <c r="AK18" i="9"/>
  <c r="AK17" i="9"/>
  <c r="AK16" i="9"/>
  <c r="AK15" i="9"/>
  <c r="AK14" i="9"/>
  <c r="AK13" i="9"/>
  <c r="AK12" i="9"/>
  <c r="AK10" i="9"/>
  <c r="AK9" i="9"/>
  <c r="AK8" i="9"/>
  <c r="AK7" i="9"/>
  <c r="AK47" i="8"/>
  <c r="AK42" i="8"/>
  <c r="AK41" i="8"/>
  <c r="AK40" i="8"/>
  <c r="AK39" i="8"/>
  <c r="AK38" i="8"/>
  <c r="AK37" i="8"/>
  <c r="AK36" i="8"/>
  <c r="AK35" i="8"/>
  <c r="AK34" i="8"/>
  <c r="AK33" i="8"/>
  <c r="AK32" i="8"/>
  <c r="AK31" i="8"/>
  <c r="AK30" i="8"/>
  <c r="AK29" i="8"/>
  <c r="AK28" i="8"/>
  <c r="AK27" i="8"/>
  <c r="AK26" i="8"/>
  <c r="AK25" i="8"/>
  <c r="AK24" i="8"/>
  <c r="AK23" i="8"/>
  <c r="AK22" i="8"/>
  <c r="AK21" i="8"/>
  <c r="AK20" i="8"/>
  <c r="AK19" i="8"/>
  <c r="AK18" i="8"/>
  <c r="AK17" i="8"/>
  <c r="AK16" i="8"/>
  <c r="AK15" i="8"/>
  <c r="AK14" i="8"/>
  <c r="AK12" i="8"/>
  <c r="AK11" i="8"/>
  <c r="AK10" i="8"/>
  <c r="AK9" i="8"/>
  <c r="AK8" i="8"/>
  <c r="AK7" i="8"/>
  <c r="AJ36" i="13"/>
  <c r="AI36" i="13"/>
  <c r="AJ35" i="13"/>
  <c r="AI35" i="13"/>
  <c r="AJ34" i="13"/>
  <c r="AI34" i="13"/>
  <c r="AJ33" i="13"/>
  <c r="AI33" i="13"/>
  <c r="AJ32" i="13"/>
  <c r="AI32" i="13"/>
  <c r="AJ31" i="13"/>
  <c r="AI31" i="13"/>
  <c r="AJ30" i="13"/>
  <c r="AI30" i="13"/>
  <c r="AJ29" i="13"/>
  <c r="AI29" i="13"/>
  <c r="AJ28" i="13"/>
  <c r="AI28" i="13"/>
  <c r="AJ27" i="13"/>
  <c r="AJ26" i="13"/>
  <c r="AI26" i="13"/>
  <c r="AJ25" i="13"/>
  <c r="AI25" i="13"/>
  <c r="AJ24" i="13"/>
  <c r="AI24" i="13"/>
  <c r="AJ23" i="13"/>
  <c r="AI23" i="13"/>
  <c r="AJ22" i="13"/>
  <c r="AI22" i="13"/>
  <c r="AJ21" i="13"/>
  <c r="AJ20" i="13"/>
  <c r="AI20" i="13"/>
  <c r="AJ19" i="13"/>
  <c r="AI19" i="13"/>
  <c r="AJ18" i="13"/>
  <c r="AI18" i="13"/>
  <c r="AJ17" i="13"/>
  <c r="AI17" i="13"/>
  <c r="AJ16" i="13"/>
  <c r="AI16" i="13"/>
  <c r="AJ15" i="13"/>
  <c r="AI15" i="13"/>
  <c r="AJ14" i="13"/>
  <c r="AI14" i="13"/>
  <c r="AJ13" i="13"/>
  <c r="AI13" i="13"/>
  <c r="AJ12" i="13"/>
  <c r="AI12" i="13"/>
  <c r="AJ11" i="13"/>
  <c r="AI11" i="13"/>
  <c r="AJ10" i="13"/>
  <c r="AI10" i="13"/>
  <c r="AJ9" i="13"/>
  <c r="AI9" i="13"/>
  <c r="AJ8" i="13"/>
  <c r="AI8" i="13"/>
  <c r="AJ7" i="13"/>
  <c r="AI7" i="13"/>
  <c r="AJ24" i="12"/>
  <c r="AJ35" i="12"/>
  <c r="AI35" i="12"/>
  <c r="AJ34" i="12"/>
  <c r="AI34" i="12"/>
  <c r="AJ33" i="12"/>
  <c r="AI33" i="12"/>
  <c r="AJ32" i="12"/>
  <c r="AJ31" i="12"/>
  <c r="AI31" i="12"/>
  <c r="AJ30" i="12"/>
  <c r="AI30" i="12"/>
  <c r="AJ29" i="12"/>
  <c r="AJ28" i="12"/>
  <c r="AI28" i="12"/>
  <c r="AJ27" i="12"/>
  <c r="AI27" i="12"/>
  <c r="AJ26" i="12"/>
  <c r="AI26" i="12"/>
  <c r="AJ25" i="12"/>
  <c r="AI25" i="12"/>
  <c r="AI24" i="12"/>
  <c r="AJ23" i="12"/>
  <c r="AI23" i="12"/>
  <c r="AJ22" i="12"/>
  <c r="AI22" i="12"/>
  <c r="AJ21" i="12"/>
  <c r="AJ20" i="12"/>
  <c r="AI20" i="12"/>
  <c r="AJ19" i="12"/>
  <c r="AI19" i="12"/>
  <c r="AJ18" i="12"/>
  <c r="AI18" i="12"/>
  <c r="AJ17" i="12"/>
  <c r="AI17" i="12"/>
  <c r="AJ16" i="12"/>
  <c r="AI16" i="12"/>
  <c r="AJ15" i="12"/>
  <c r="AJ14" i="12"/>
  <c r="AI14" i="12"/>
  <c r="AJ13" i="12"/>
  <c r="AI13" i="12"/>
  <c r="AJ12" i="12"/>
  <c r="AI12" i="12"/>
  <c r="AJ11" i="12"/>
  <c r="AI11" i="12"/>
  <c r="AJ10" i="12"/>
  <c r="AI10" i="12"/>
  <c r="AJ9" i="12"/>
  <c r="AI9" i="12"/>
  <c r="AJ8" i="12"/>
  <c r="AI8" i="12"/>
  <c r="AJ7" i="12"/>
  <c r="AI7" i="12"/>
  <c r="AJ14" i="11"/>
  <c r="AI18" i="11"/>
  <c r="AJ24" i="11"/>
  <c r="AI24" i="11"/>
  <c r="AJ23" i="11"/>
  <c r="AI23" i="11"/>
  <c r="AJ22" i="11"/>
  <c r="AI22" i="11"/>
  <c r="AJ21" i="11"/>
  <c r="AI21" i="11"/>
  <c r="AJ20" i="11"/>
  <c r="AI20" i="11"/>
  <c r="AJ19" i="11"/>
  <c r="AJ18" i="11"/>
  <c r="AJ17" i="11"/>
  <c r="AI17" i="11"/>
  <c r="AJ16" i="11"/>
  <c r="AI16" i="11"/>
  <c r="AJ15" i="11"/>
  <c r="AJ13" i="11"/>
  <c r="AI13" i="11"/>
  <c r="AJ12" i="11"/>
  <c r="AI12" i="11"/>
  <c r="AJ11" i="11"/>
  <c r="AJ10" i="11"/>
  <c r="AI10" i="11"/>
  <c r="AJ9" i="11"/>
  <c r="AJ8" i="11"/>
  <c r="AJ7" i="11"/>
  <c r="AI7" i="11"/>
  <c r="AJ33" i="10"/>
  <c r="AI33" i="10"/>
  <c r="AJ32" i="10"/>
  <c r="AI32" i="10"/>
  <c r="AJ31" i="10"/>
  <c r="AJ30" i="10"/>
  <c r="AI30" i="10"/>
  <c r="AJ29" i="10"/>
  <c r="AI29" i="10"/>
  <c r="AJ28" i="10"/>
  <c r="AI28" i="10"/>
  <c r="AJ27" i="10"/>
  <c r="AJ26" i="10"/>
  <c r="AI26" i="10"/>
  <c r="AJ25" i="10"/>
  <c r="AI25" i="10"/>
  <c r="AJ24" i="10"/>
  <c r="AI24" i="10"/>
  <c r="AJ23" i="10"/>
  <c r="AI23" i="10"/>
  <c r="AJ22" i="10"/>
  <c r="AI22" i="10"/>
  <c r="AJ21" i="10"/>
  <c r="AI21" i="10"/>
  <c r="AJ20" i="10"/>
  <c r="AI20" i="10"/>
  <c r="AJ19" i="10"/>
  <c r="AJ18" i="10"/>
  <c r="AJ17" i="10"/>
  <c r="AI17" i="10"/>
  <c r="AJ16" i="10"/>
  <c r="AJ15" i="10"/>
  <c r="AJ14" i="10"/>
  <c r="AJ13" i="10"/>
  <c r="AI13" i="10"/>
  <c r="AJ12" i="10"/>
  <c r="AI12" i="10"/>
  <c r="AJ11" i="10"/>
  <c r="AI11" i="10"/>
  <c r="AJ10" i="10"/>
  <c r="AI10" i="10"/>
  <c r="AJ9" i="10"/>
  <c r="AJ8" i="10"/>
  <c r="AJ7" i="10"/>
  <c r="AI7" i="10"/>
  <c r="AI15" i="9"/>
  <c r="AI20" i="9"/>
  <c r="AI19" i="9"/>
  <c r="AI18" i="9"/>
  <c r="AI17" i="9"/>
  <c r="AI16" i="9"/>
  <c r="AI14" i="9"/>
  <c r="AI13" i="9"/>
  <c r="AI12" i="9"/>
  <c r="AI10" i="9"/>
  <c r="AI9" i="9"/>
  <c r="AI8" i="9"/>
  <c r="AI7" i="9"/>
  <c r="AJ20" i="9"/>
  <c r="AJ19" i="9"/>
  <c r="AJ18" i="9"/>
  <c r="AJ17" i="9"/>
  <c r="AJ16" i="9"/>
  <c r="AJ15" i="9"/>
  <c r="AJ14" i="9"/>
  <c r="AJ13" i="9"/>
  <c r="AJ12" i="9"/>
  <c r="AJ11" i="9"/>
  <c r="AJ10" i="9"/>
  <c r="AJ9" i="9"/>
  <c r="AJ8" i="9"/>
  <c r="AJ7" i="9"/>
  <c r="AJ42" i="8"/>
  <c r="AJ41" i="8"/>
  <c r="AJ40" i="8"/>
  <c r="AJ39" i="8"/>
  <c r="AJ38" i="8"/>
  <c r="AJ37" i="8"/>
  <c r="AJ36" i="8"/>
  <c r="AJ35" i="8"/>
  <c r="AJ34" i="8"/>
  <c r="AJ33" i="8"/>
  <c r="AJ32" i="8"/>
  <c r="AJ31" i="8"/>
  <c r="AJ30" i="8"/>
  <c r="AJ29" i="8"/>
  <c r="AJ28" i="8"/>
  <c r="AJ27" i="8"/>
  <c r="AJ26" i="8"/>
  <c r="AJ25" i="8"/>
  <c r="AJ24" i="8"/>
  <c r="AJ23" i="8"/>
  <c r="AJ22" i="8"/>
  <c r="AJ21" i="8"/>
  <c r="AJ20" i="8"/>
  <c r="AJ19" i="8"/>
  <c r="AJ18" i="8"/>
  <c r="AJ17" i="8"/>
  <c r="AJ16" i="8"/>
  <c r="AJ15" i="8"/>
  <c r="AJ14" i="8"/>
  <c r="AJ13" i="8"/>
  <c r="AJ12" i="8"/>
  <c r="AJ11" i="8"/>
  <c r="AJ10" i="8"/>
  <c r="AJ9" i="8"/>
  <c r="AJ8" i="8"/>
  <c r="AJ7" i="8"/>
  <c r="AI42" i="8"/>
  <c r="AI41" i="8"/>
  <c r="AI38" i="8"/>
  <c r="AI37" i="8"/>
  <c r="AI36" i="8"/>
  <c r="AI35" i="8"/>
  <c r="AI32" i="8"/>
  <c r="AI28" i="8"/>
  <c r="AI25" i="8"/>
  <c r="AI24" i="8"/>
  <c r="AI23" i="8"/>
  <c r="AI22" i="8"/>
  <c r="AI21" i="8"/>
  <c r="AI20" i="8"/>
  <c r="AI19" i="8"/>
  <c r="AI18" i="8"/>
  <c r="AI17" i="8"/>
  <c r="AI14" i="8"/>
  <c r="AI29" i="8"/>
  <c r="AI39" i="8"/>
  <c r="AI33" i="8"/>
  <c r="AI26" i="8"/>
  <c r="AI15" i="8"/>
  <c r="AI12" i="8"/>
  <c r="AI10" i="8"/>
  <c r="AI7" i="8"/>
  <c r="AK22" i="9" l="1"/>
  <c r="AJ47" i="8"/>
  <c r="AJ22" i="9"/>
  <c r="AI26" i="11"/>
  <c r="AI44" i="8"/>
  <c r="AJ37" i="12"/>
  <c r="AI35" i="10"/>
  <c r="AJ44" i="8"/>
  <c r="AJ35" i="10"/>
  <c r="AI22" i="9"/>
  <c r="AK26" i="11"/>
  <c r="AI37" i="12"/>
  <c r="AI38" i="13"/>
  <c r="AI47" i="8"/>
  <c r="AJ26" i="11"/>
  <c r="AK37" i="12"/>
  <c r="AJ38" i="13"/>
  <c r="AK35" i="10"/>
  <c r="AK44" i="8"/>
  <c r="AK38" i="13"/>
  <c r="T17" i="12"/>
  <c r="S17" i="12"/>
  <c r="R17" i="12"/>
  <c r="AK46" i="8" l="1"/>
  <c r="AK48" i="8" s="1"/>
  <c r="AJ46" i="8"/>
  <c r="AJ48" i="8" s="1"/>
  <c r="AI46" i="8"/>
  <c r="AI48" i="8" s="1"/>
  <c r="P19" i="12" l="1"/>
  <c r="Q19" i="12" s="1"/>
  <c r="P24" i="11"/>
  <c r="Q24" i="11" s="1"/>
  <c r="P19" i="11"/>
  <c r="Q19" i="11" s="1"/>
  <c r="P18" i="11"/>
  <c r="Q18" i="11" s="1"/>
  <c r="P16" i="10"/>
  <c r="Q16" i="10" s="1"/>
  <c r="P15" i="10"/>
  <c r="Q15" i="10" s="1"/>
  <c r="P11" i="9"/>
  <c r="Q11" i="9" s="1"/>
  <c r="U18" i="11" l="1"/>
  <c r="T18" i="11"/>
  <c r="R18" i="11"/>
  <c r="S18" i="11"/>
  <c r="S15" i="10"/>
  <c r="U15" i="10"/>
  <c r="T15" i="10"/>
  <c r="R15" i="10"/>
  <c r="U19" i="11"/>
  <c r="R19" i="11"/>
  <c r="T19" i="11"/>
  <c r="S19" i="11"/>
  <c r="U16" i="10"/>
  <c r="S16" i="10"/>
  <c r="T16" i="10"/>
  <c r="R16" i="10"/>
  <c r="U11" i="9"/>
  <c r="T11" i="9"/>
  <c r="R11" i="9"/>
  <c r="S11" i="9"/>
  <c r="V24" i="11"/>
  <c r="AG36" i="8"/>
  <c r="AF34" i="13"/>
  <c r="AF33" i="13"/>
  <c r="AF29" i="13"/>
  <c r="AF19" i="13"/>
  <c r="AF18" i="13"/>
  <c r="AF31" i="12"/>
  <c r="AF30" i="12"/>
  <c r="AF27" i="12"/>
  <c r="AF18" i="12"/>
  <c r="AF13" i="12"/>
  <c r="AF10" i="12"/>
  <c r="AF9" i="12"/>
  <c r="AF8" i="12"/>
  <c r="AF24" i="11"/>
  <c r="AF22" i="11"/>
  <c r="AF21" i="11"/>
  <c r="AF20" i="11"/>
  <c r="AF18" i="11"/>
  <c r="AF16" i="11"/>
  <c r="AF13" i="11"/>
  <c r="AF12" i="11"/>
  <c r="AF10" i="11"/>
  <c r="AF7" i="11"/>
  <c r="AF32" i="10"/>
  <c r="AF30" i="10"/>
  <c r="AF26" i="10"/>
  <c r="AF25" i="10"/>
  <c r="AF24" i="10"/>
  <c r="AF7" i="10"/>
  <c r="AF19" i="9" l="1"/>
  <c r="AF9" i="9"/>
  <c r="AF8" i="9"/>
  <c r="AF42" i="8"/>
  <c r="AF33" i="8"/>
  <c r="AF32" i="8"/>
  <c r="AF29" i="8"/>
  <c r="AF26" i="8"/>
  <c r="AF25" i="8"/>
  <c r="AF19" i="8"/>
  <c r="AF18" i="8"/>
  <c r="AF17" i="8"/>
  <c r="AF15" i="8"/>
  <c r="AF10" i="8"/>
  <c r="AF7" i="8"/>
  <c r="M29" i="12" l="1"/>
  <c r="M19" i="11"/>
  <c r="M18" i="11"/>
  <c r="V43" i="8"/>
  <c r="K38" i="13"/>
  <c r="J38" i="13"/>
  <c r="I38" i="13"/>
  <c r="K37" i="12"/>
  <c r="J37" i="12"/>
  <c r="I37" i="12"/>
  <c r="K26" i="11"/>
  <c r="J26" i="11"/>
  <c r="I26" i="11"/>
  <c r="K22" i="9"/>
  <c r="J22" i="9"/>
  <c r="I22" i="9"/>
  <c r="K44" i="8"/>
  <c r="J44" i="8"/>
  <c r="I44" i="8"/>
  <c r="I35" i="10"/>
  <c r="J35" i="10"/>
  <c r="K35" i="10"/>
  <c r="M37" i="13"/>
  <c r="T37" i="13" s="1"/>
  <c r="M36" i="13"/>
  <c r="M35" i="13"/>
  <c r="M34" i="13"/>
  <c r="M33" i="13"/>
  <c r="M32" i="13"/>
  <c r="P32" i="13"/>
  <c r="Q32" i="13" s="1"/>
  <c r="M31" i="13"/>
  <c r="M30" i="13"/>
  <c r="P30" i="13"/>
  <c r="Q30" i="13" s="1"/>
  <c r="M29" i="13"/>
  <c r="M28" i="13"/>
  <c r="M26" i="13"/>
  <c r="M25" i="13"/>
  <c r="M24" i="13"/>
  <c r="P24" i="13"/>
  <c r="Q24" i="13" s="1"/>
  <c r="M23" i="13"/>
  <c r="P23" i="13"/>
  <c r="Q23" i="13" s="1"/>
  <c r="M22" i="13"/>
  <c r="M21" i="13"/>
  <c r="M20" i="13"/>
  <c r="P20" i="13"/>
  <c r="Q20" i="13" s="1"/>
  <c r="M19" i="13"/>
  <c r="M18" i="13"/>
  <c r="M17" i="13"/>
  <c r="P17" i="13"/>
  <c r="Q17" i="13" s="1"/>
  <c r="M16" i="13"/>
  <c r="P16" i="13"/>
  <c r="Q16" i="13" s="1"/>
  <c r="M15" i="13"/>
  <c r="P15" i="13"/>
  <c r="Q15" i="13" s="1"/>
  <c r="M14" i="13"/>
  <c r="M13" i="13"/>
  <c r="M12" i="13"/>
  <c r="M11" i="13"/>
  <c r="P11" i="13"/>
  <c r="Q11" i="13" s="1"/>
  <c r="M10" i="13"/>
  <c r="M9" i="13"/>
  <c r="M8" i="13"/>
  <c r="P8" i="13"/>
  <c r="Q8" i="13" s="1"/>
  <c r="M7" i="13"/>
  <c r="P7" i="13"/>
  <c r="Q7" i="13"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M36" i="12"/>
  <c r="S36" i="12" s="1"/>
  <c r="M35" i="12"/>
  <c r="P35" i="12"/>
  <c r="Q35" i="12" s="1"/>
  <c r="M34" i="12"/>
  <c r="P34" i="12"/>
  <c r="Q34" i="12" s="1"/>
  <c r="M33" i="12"/>
  <c r="M32" i="12"/>
  <c r="M31" i="12"/>
  <c r="M30" i="12"/>
  <c r="P29" i="12"/>
  <c r="Q29" i="12" s="1"/>
  <c r="M28" i="12"/>
  <c r="M27" i="12"/>
  <c r="M26" i="12"/>
  <c r="M25" i="12"/>
  <c r="P25" i="12"/>
  <c r="Q25" i="12" s="1"/>
  <c r="M24" i="12"/>
  <c r="M23" i="12"/>
  <c r="P23" i="12"/>
  <c r="Q23" i="12" s="1"/>
  <c r="M22" i="12"/>
  <c r="M21" i="12"/>
  <c r="M20" i="12"/>
  <c r="M19" i="12"/>
  <c r="M18" i="12"/>
  <c r="M17" i="12"/>
  <c r="M16" i="12"/>
  <c r="A16" i="12"/>
  <c r="A17" i="12" s="1"/>
  <c r="A18" i="12" s="1"/>
  <c r="A19" i="12" s="1"/>
  <c r="A20" i="12" s="1"/>
  <c r="A22" i="12" s="1"/>
  <c r="A23" i="12" s="1"/>
  <c r="A24" i="12" s="1"/>
  <c r="A25" i="12" s="1"/>
  <c r="A26" i="12" s="1"/>
  <c r="A27" i="12" s="1"/>
  <c r="A28" i="12" s="1"/>
  <c r="A29" i="12" s="1"/>
  <c r="A30" i="12" s="1"/>
  <c r="A32" i="12" s="1"/>
  <c r="A33" i="12" s="1"/>
  <c r="A34" i="12" s="1"/>
  <c r="M15" i="12"/>
  <c r="M14" i="12"/>
  <c r="P14" i="12"/>
  <c r="Q14" i="12" s="1"/>
  <c r="M13" i="12"/>
  <c r="A13" i="12"/>
  <c r="A14" i="12" s="1"/>
  <c r="A15" i="12" s="1"/>
  <c r="M12" i="12"/>
  <c r="P12" i="12"/>
  <c r="Q12" i="12" s="1"/>
  <c r="A12" i="12"/>
  <c r="M11" i="12"/>
  <c r="P11" i="12"/>
  <c r="Q11" i="12" s="1"/>
  <c r="A11" i="12"/>
  <c r="M10" i="12"/>
  <c r="M9" i="12"/>
  <c r="M8" i="12"/>
  <c r="A8" i="12"/>
  <c r="A9" i="12" s="1"/>
  <c r="M7" i="12"/>
  <c r="P7" i="12"/>
  <c r="Q7" i="12" s="1"/>
  <c r="M49" i="11"/>
  <c r="M48" i="11"/>
  <c r="M47" i="11"/>
  <c r="M46" i="11"/>
  <c r="M45" i="11"/>
  <c r="M41" i="11"/>
  <c r="M40" i="11"/>
  <c r="M39" i="11"/>
  <c r="M38" i="11"/>
  <c r="M37" i="11"/>
  <c r="M36" i="11"/>
  <c r="M35" i="11"/>
  <c r="M34" i="11"/>
  <c r="M33" i="11"/>
  <c r="M25" i="11"/>
  <c r="U25" i="11" s="1"/>
  <c r="M23" i="11"/>
  <c r="M22" i="11"/>
  <c r="P22" i="11"/>
  <c r="Q22" i="11" s="1"/>
  <c r="M21" i="11"/>
  <c r="P21" i="11"/>
  <c r="Q21" i="11" s="1"/>
  <c r="M20" i="11"/>
  <c r="P20" i="11"/>
  <c r="Q20" i="11" s="1"/>
  <c r="A20" i="11"/>
  <c r="A21" i="11" s="1"/>
  <c r="A22" i="11" s="1"/>
  <c r="A23" i="11" s="1"/>
  <c r="A24" i="11" s="1"/>
  <c r="M17" i="11"/>
  <c r="P17" i="11"/>
  <c r="Q17" i="11" s="1"/>
  <c r="M16" i="11"/>
  <c r="P16" i="11"/>
  <c r="Q16" i="11" s="1"/>
  <c r="M15" i="11"/>
  <c r="A15" i="11"/>
  <c r="A16" i="11" s="1"/>
  <c r="A17" i="11" s="1"/>
  <c r="A18" i="11" s="1"/>
  <c r="A19" i="11" s="1"/>
  <c r="M14" i="11"/>
  <c r="M13" i="11"/>
  <c r="M12" i="11"/>
  <c r="A12" i="11"/>
  <c r="A13" i="11" s="1"/>
  <c r="A14" i="11" s="1"/>
  <c r="M10" i="11"/>
  <c r="A10" i="11"/>
  <c r="A11" i="11" s="1"/>
  <c r="M9" i="11"/>
  <c r="P9" i="11"/>
  <c r="Q9" i="11" s="1"/>
  <c r="M8" i="11"/>
  <c r="A8" i="11"/>
  <c r="A9" i="11" s="1"/>
  <c r="M7" i="11"/>
  <c r="M33" i="10"/>
  <c r="P33" i="10"/>
  <c r="Q33" i="10" s="1"/>
  <c r="M32" i="10"/>
  <c r="M30" i="10"/>
  <c r="P30" i="10"/>
  <c r="Q30" i="10" s="1"/>
  <c r="M29" i="10"/>
  <c r="P29" i="10"/>
  <c r="Q29" i="10" s="1"/>
  <c r="M28" i="10"/>
  <c r="A28" i="10"/>
  <c r="A29" i="10" s="1"/>
  <c r="M27" i="10"/>
  <c r="P27" i="10"/>
  <c r="Q27" i="10" s="1"/>
  <c r="A26" i="10"/>
  <c r="A27" i="10" s="1"/>
  <c r="M25" i="10"/>
  <c r="P25" i="10"/>
  <c r="Q25" i="10" s="1"/>
  <c r="M24" i="10"/>
  <c r="P24" i="10"/>
  <c r="Q24" i="10" s="1"/>
  <c r="A24" i="10"/>
  <c r="A25" i="10" s="1"/>
  <c r="M23" i="10"/>
  <c r="P23" i="10"/>
  <c r="Q23" i="10" s="1"/>
  <c r="M22" i="10"/>
  <c r="M21" i="10"/>
  <c r="P21" i="10"/>
  <c r="Q21" i="10" s="1"/>
  <c r="M20" i="10"/>
  <c r="P20" i="10"/>
  <c r="Q20" i="10" s="1"/>
  <c r="A20" i="10"/>
  <c r="A21" i="10" s="1"/>
  <c r="A22" i="10" s="1"/>
  <c r="A23" i="10" s="1"/>
  <c r="P19" i="10"/>
  <c r="Q19" i="10" s="1"/>
  <c r="M18" i="10"/>
  <c r="M17" i="10"/>
  <c r="P17" i="10"/>
  <c r="Q17" i="10" s="1"/>
  <c r="A17" i="10"/>
  <c r="A18" i="10" s="1"/>
  <c r="A19" i="10" s="1"/>
  <c r="M16" i="10"/>
  <c r="N16" i="10" s="1"/>
  <c r="M15" i="10"/>
  <c r="M14" i="10"/>
  <c r="M13" i="10"/>
  <c r="P13" i="10"/>
  <c r="Q13" i="10" s="1"/>
  <c r="M12" i="10"/>
  <c r="P12" i="10"/>
  <c r="Q12" i="10" s="1"/>
  <c r="M11" i="10"/>
  <c r="P11" i="10"/>
  <c r="Q11" i="10" s="1"/>
  <c r="M10" i="10"/>
  <c r="P10" i="10"/>
  <c r="Q10" i="10" s="1"/>
  <c r="M9" i="10"/>
  <c r="P9" i="10"/>
  <c r="Q9" i="10" s="1"/>
  <c r="M8" i="10"/>
  <c r="A8" i="10"/>
  <c r="A10" i="10" s="1"/>
  <c r="A11" i="10" s="1"/>
  <c r="A12" i="10" s="1"/>
  <c r="A13" i="10" s="1"/>
  <c r="A14" i="10" s="1"/>
  <c r="M7" i="10"/>
  <c r="M53" i="9"/>
  <c r="M52" i="9"/>
  <c r="M51" i="9"/>
  <c r="M50" i="9"/>
  <c r="M49" i="9"/>
  <c r="M48" i="9"/>
  <c r="M47" i="9"/>
  <c r="M46" i="9"/>
  <c r="M45" i="9"/>
  <c r="M44" i="9"/>
  <c r="M43" i="9"/>
  <c r="M42" i="9"/>
  <c r="M41" i="9"/>
  <c r="M40" i="9"/>
  <c r="M39" i="9"/>
  <c r="M38" i="9"/>
  <c r="M30" i="9"/>
  <c r="M21" i="9"/>
  <c r="T21" i="9" s="1"/>
  <c r="M20" i="9"/>
  <c r="M19" i="9"/>
  <c r="M18" i="9"/>
  <c r="P18" i="9"/>
  <c r="Q18" i="9" s="1"/>
  <c r="M17" i="9"/>
  <c r="P17" i="9"/>
  <c r="Q17" i="9" s="1"/>
  <c r="M16" i="9"/>
  <c r="P16" i="9"/>
  <c r="Q16" i="9" s="1"/>
  <c r="M15" i="9"/>
  <c r="P15" i="9"/>
  <c r="Q15" i="9" s="1"/>
  <c r="M14" i="9"/>
  <c r="P14" i="9"/>
  <c r="Q14" i="9" s="1"/>
  <c r="M13" i="9"/>
  <c r="P13" i="9"/>
  <c r="Q13" i="9" s="1"/>
  <c r="M12" i="9"/>
  <c r="M10" i="9"/>
  <c r="M9" i="9"/>
  <c r="A9" i="9"/>
  <c r="A10" i="9" s="1"/>
  <c r="A11" i="9" s="1"/>
  <c r="A12" i="9" s="1"/>
  <c r="A13" i="9" s="1"/>
  <c r="A14" i="9" s="1"/>
  <c r="A15" i="9" s="1"/>
  <c r="A16" i="9" s="1"/>
  <c r="A17" i="9" s="1"/>
  <c r="A18" i="9" s="1"/>
  <c r="A19" i="9" s="1"/>
  <c r="A20" i="9" s="1"/>
  <c r="M8" i="9"/>
  <c r="P8" i="9"/>
  <c r="Q8" i="9" s="1"/>
  <c r="A8" i="9"/>
  <c r="M7" i="9"/>
  <c r="U43" i="8"/>
  <c r="T43" i="8"/>
  <c r="S43" i="8"/>
  <c r="R43" i="8"/>
  <c r="M42" i="8"/>
  <c r="P42" i="8"/>
  <c r="Q42" i="8" s="1"/>
  <c r="M41" i="8"/>
  <c r="P41" i="8"/>
  <c r="Q41" i="8" s="1"/>
  <c r="M40" i="8"/>
  <c r="P40" i="8"/>
  <c r="Q40" i="8" s="1"/>
  <c r="M39" i="8"/>
  <c r="P39" i="8"/>
  <c r="Q39" i="8" s="1"/>
  <c r="M38" i="8"/>
  <c r="P38" i="8"/>
  <c r="Q38" i="8" s="1"/>
  <c r="M37" i="8"/>
  <c r="M36" i="8"/>
  <c r="P36" i="8"/>
  <c r="Q36" i="8" s="1"/>
  <c r="M35" i="8"/>
  <c r="P35" i="8"/>
  <c r="Q35" i="8" s="1"/>
  <c r="A35" i="8"/>
  <c r="A36" i="8" s="1"/>
  <c r="A37" i="8" s="1"/>
  <c r="A38" i="8" s="1"/>
  <c r="A39" i="8" s="1"/>
  <c r="M34" i="8"/>
  <c r="A34" i="8"/>
  <c r="M33" i="8"/>
  <c r="P33" i="8"/>
  <c r="Q33" i="8" s="1"/>
  <c r="M32" i="8"/>
  <c r="P32" i="8"/>
  <c r="Q32" i="8" s="1"/>
  <c r="A32" i="8"/>
  <c r="M31" i="8"/>
  <c r="M30" i="8"/>
  <c r="A30" i="8"/>
  <c r="A31" i="8" s="1"/>
  <c r="M29" i="8"/>
  <c r="P29" i="8"/>
  <c r="Q29" i="8" s="1"/>
  <c r="M28" i="8"/>
  <c r="P28" i="8"/>
  <c r="Q28" i="8" s="1"/>
  <c r="A28" i="8"/>
  <c r="M27" i="8"/>
  <c r="M26" i="8"/>
  <c r="P26" i="8"/>
  <c r="Q26" i="8" s="1"/>
  <c r="M25" i="8"/>
  <c r="P25" i="8"/>
  <c r="Q25" i="8" s="1"/>
  <c r="M24" i="8"/>
  <c r="P24" i="8"/>
  <c r="Q24" i="8" s="1"/>
  <c r="M23" i="8"/>
  <c r="P23" i="8"/>
  <c r="Q23" i="8" s="1"/>
  <c r="A23" i="8"/>
  <c r="A24" i="8" s="1"/>
  <c r="A25" i="8" s="1"/>
  <c r="A26" i="8" s="1"/>
  <c r="A27" i="8" s="1"/>
  <c r="M22" i="8"/>
  <c r="P22" i="8"/>
  <c r="Q22" i="8" s="1"/>
  <c r="M21" i="8"/>
  <c r="M20" i="8"/>
  <c r="M19" i="8"/>
  <c r="P19" i="8"/>
  <c r="Q19" i="8" s="1"/>
  <c r="M18" i="8"/>
  <c r="P18" i="8"/>
  <c r="Q18" i="8" s="1"/>
  <c r="M17" i="8"/>
  <c r="P17" i="8"/>
  <c r="Q17" i="8" s="1"/>
  <c r="M16" i="8"/>
  <c r="P16" i="8"/>
  <c r="Q16" i="8" s="1"/>
  <c r="M15" i="8"/>
  <c r="P15" i="8"/>
  <c r="Q15" i="8" s="1"/>
  <c r="M14" i="8"/>
  <c r="P14" i="8"/>
  <c r="Q14" i="8" s="1"/>
  <c r="A14" i="8"/>
  <c r="A15" i="8" s="1"/>
  <c r="A17" i="8" s="1"/>
  <c r="A18" i="8" s="1"/>
  <c r="A19" i="8" s="1"/>
  <c r="A20" i="8" s="1"/>
  <c r="A21" i="8" s="1"/>
  <c r="A22" i="8" s="1"/>
  <c r="M12" i="8"/>
  <c r="P12" i="8"/>
  <c r="Q12" i="8" s="1"/>
  <c r="M10" i="8"/>
  <c r="P10" i="8"/>
  <c r="Q10" i="8" s="1"/>
  <c r="A10" i="8"/>
  <c r="A12" i="8" s="1"/>
  <c r="A13" i="8" s="1"/>
  <c r="M9" i="8"/>
  <c r="P9" i="8"/>
  <c r="Q9" i="8" s="1"/>
  <c r="M8" i="8"/>
  <c r="P8" i="8"/>
  <c r="Q8" i="8" s="1"/>
  <c r="A8" i="8"/>
  <c r="M7" i="8"/>
  <c r="P7" i="8"/>
  <c r="Q7" i="8" s="1"/>
  <c r="T12" i="10" l="1"/>
  <c r="U12" i="10"/>
  <c r="R25" i="8"/>
  <c r="T25" i="8"/>
  <c r="U25" i="8"/>
  <c r="S25" i="8"/>
  <c r="U14" i="12"/>
  <c r="T14" i="12"/>
  <c r="S14" i="12"/>
  <c r="R14" i="12"/>
  <c r="U18" i="8"/>
  <c r="T18" i="8"/>
  <c r="S18" i="8"/>
  <c r="R18" i="8"/>
  <c r="R29" i="8"/>
  <c r="T29" i="8"/>
  <c r="U29" i="8"/>
  <c r="S29" i="8"/>
  <c r="R35" i="8"/>
  <c r="T35" i="8"/>
  <c r="U35" i="8"/>
  <c r="S35" i="8"/>
  <c r="U13" i="9"/>
  <c r="T13" i="9"/>
  <c r="S13" i="9"/>
  <c r="R13" i="9"/>
  <c r="U29" i="10"/>
  <c r="T29" i="10"/>
  <c r="S29" i="10"/>
  <c r="R29" i="10"/>
  <c r="U21" i="11"/>
  <c r="T21" i="11"/>
  <c r="S21" i="11"/>
  <c r="R21" i="11"/>
  <c r="R35" i="12"/>
  <c r="T35" i="12"/>
  <c r="U35" i="12"/>
  <c r="S35" i="12"/>
  <c r="U17" i="13"/>
  <c r="T17" i="13"/>
  <c r="S17" i="13"/>
  <c r="R17" i="13"/>
  <c r="T30" i="13"/>
  <c r="S30" i="13"/>
  <c r="R30" i="13"/>
  <c r="U30" i="13"/>
  <c r="U9" i="11"/>
  <c r="T9" i="11"/>
  <c r="S9" i="11"/>
  <c r="R9" i="11"/>
  <c r="R25" i="12"/>
  <c r="T25" i="12"/>
  <c r="U25" i="12"/>
  <c r="S25" i="12"/>
  <c r="U13" i="10"/>
  <c r="T13" i="10"/>
  <c r="S13" i="10"/>
  <c r="R13" i="10"/>
  <c r="R9" i="8"/>
  <c r="T9" i="8"/>
  <c r="U9" i="8"/>
  <c r="S9" i="8"/>
  <c r="U22" i="8"/>
  <c r="T22" i="8"/>
  <c r="S22" i="8"/>
  <c r="R22" i="8"/>
  <c r="U32" i="8"/>
  <c r="T32" i="8"/>
  <c r="S32" i="8"/>
  <c r="R32" i="8"/>
  <c r="R39" i="8"/>
  <c r="T39" i="8"/>
  <c r="U39" i="8"/>
  <c r="S39" i="8"/>
  <c r="U17" i="9"/>
  <c r="T17" i="9"/>
  <c r="S17" i="9"/>
  <c r="R17" i="9"/>
  <c r="U26" i="8"/>
  <c r="T26" i="8"/>
  <c r="S26" i="8"/>
  <c r="R26" i="8"/>
  <c r="S10" i="10"/>
  <c r="U10" i="10"/>
  <c r="T10" i="10"/>
  <c r="R10" i="10"/>
  <c r="R16" i="11"/>
  <c r="T16" i="11"/>
  <c r="U16" i="11"/>
  <c r="S16" i="11"/>
  <c r="R23" i="12"/>
  <c r="T23" i="12"/>
  <c r="U23" i="12"/>
  <c r="S23" i="12"/>
  <c r="U24" i="10"/>
  <c r="T24" i="10"/>
  <c r="S24" i="10"/>
  <c r="R24" i="10"/>
  <c r="U8" i="8"/>
  <c r="T8" i="8"/>
  <c r="S8" i="8"/>
  <c r="R8" i="8"/>
  <c r="R25" i="10"/>
  <c r="T25" i="10"/>
  <c r="U25" i="10"/>
  <c r="S25" i="10"/>
  <c r="U14" i="8"/>
  <c r="T14" i="8"/>
  <c r="S14" i="8"/>
  <c r="R14" i="8"/>
  <c r="R19" i="8"/>
  <c r="T19" i="8"/>
  <c r="U19" i="8"/>
  <c r="S19" i="8"/>
  <c r="U36" i="8"/>
  <c r="T36" i="8"/>
  <c r="S36" i="8"/>
  <c r="R36" i="8"/>
  <c r="U14" i="9"/>
  <c r="S14" i="9"/>
  <c r="T14" i="9"/>
  <c r="R14" i="9"/>
  <c r="S18" i="9"/>
  <c r="U18" i="9"/>
  <c r="T18" i="9"/>
  <c r="R18" i="9"/>
  <c r="R19" i="10"/>
  <c r="U19" i="10"/>
  <c r="T19" i="10"/>
  <c r="S19" i="10"/>
  <c r="R23" i="10"/>
  <c r="T23" i="10"/>
  <c r="U23" i="10"/>
  <c r="S23" i="10"/>
  <c r="U30" i="10"/>
  <c r="T30" i="10"/>
  <c r="S30" i="10"/>
  <c r="R30" i="10"/>
  <c r="R22" i="11"/>
  <c r="U22" i="11"/>
  <c r="T22" i="11"/>
  <c r="S22" i="11"/>
  <c r="U12" i="12"/>
  <c r="T12" i="12"/>
  <c r="S12" i="12"/>
  <c r="R12" i="12"/>
  <c r="U24" i="8"/>
  <c r="T24" i="8"/>
  <c r="S24" i="8"/>
  <c r="R24" i="8"/>
  <c r="R7" i="12"/>
  <c r="T7" i="12"/>
  <c r="U7" i="12"/>
  <c r="S7" i="12"/>
  <c r="U8" i="9"/>
  <c r="S8" i="9"/>
  <c r="T8" i="9"/>
  <c r="R8" i="9"/>
  <c r="R11" i="12"/>
  <c r="T11" i="12"/>
  <c r="U11" i="12"/>
  <c r="S11" i="12"/>
  <c r="R15" i="8"/>
  <c r="U15" i="8"/>
  <c r="T15" i="8"/>
  <c r="S15" i="8"/>
  <c r="R33" i="8"/>
  <c r="T33" i="8"/>
  <c r="U33" i="8"/>
  <c r="S33" i="8"/>
  <c r="U40" i="8"/>
  <c r="T40" i="8"/>
  <c r="S40" i="8"/>
  <c r="R40" i="8"/>
  <c r="R7" i="8"/>
  <c r="T7" i="8"/>
  <c r="U7" i="8"/>
  <c r="S7" i="8"/>
  <c r="U10" i="8"/>
  <c r="T10" i="8"/>
  <c r="S10" i="8"/>
  <c r="R10" i="8"/>
  <c r="R23" i="8"/>
  <c r="T23" i="8"/>
  <c r="U23" i="8"/>
  <c r="S23" i="8"/>
  <c r="U11" i="10"/>
  <c r="T11" i="10"/>
  <c r="S11" i="10"/>
  <c r="R11" i="10"/>
  <c r="R27" i="10"/>
  <c r="T27" i="10"/>
  <c r="U27" i="10"/>
  <c r="S27" i="10"/>
  <c r="U17" i="11"/>
  <c r="T17" i="11"/>
  <c r="S17" i="11"/>
  <c r="R17" i="11"/>
  <c r="U9" i="10"/>
  <c r="T9" i="10"/>
  <c r="S9" i="10"/>
  <c r="R9" i="10"/>
  <c r="U16" i="8"/>
  <c r="T16" i="8"/>
  <c r="S16" i="8"/>
  <c r="R16" i="8"/>
  <c r="R41" i="8"/>
  <c r="U41" i="8"/>
  <c r="T41" i="8"/>
  <c r="S41" i="8"/>
  <c r="U15" i="9"/>
  <c r="T15" i="9"/>
  <c r="S15" i="9"/>
  <c r="R15" i="9"/>
  <c r="U20" i="10"/>
  <c r="T20" i="10"/>
  <c r="S20" i="10"/>
  <c r="R20" i="10"/>
  <c r="U7" i="13"/>
  <c r="T7" i="13"/>
  <c r="S7" i="13"/>
  <c r="R7" i="13"/>
  <c r="U11" i="13"/>
  <c r="T11" i="13"/>
  <c r="S11" i="13"/>
  <c r="R11" i="13"/>
  <c r="U15" i="13"/>
  <c r="T15" i="13"/>
  <c r="S15" i="13"/>
  <c r="R15" i="13"/>
  <c r="U23" i="13"/>
  <c r="T23" i="13"/>
  <c r="S23" i="13"/>
  <c r="R23" i="13"/>
  <c r="T32" i="13"/>
  <c r="U32" i="13"/>
  <c r="S32" i="13"/>
  <c r="R32" i="13"/>
  <c r="R29" i="12"/>
  <c r="U29" i="12"/>
  <c r="T29" i="12"/>
  <c r="S29" i="12"/>
  <c r="R12" i="8"/>
  <c r="T12" i="8"/>
  <c r="U12" i="8"/>
  <c r="S12" i="8"/>
  <c r="R17" i="8"/>
  <c r="T17" i="8"/>
  <c r="U17" i="8"/>
  <c r="S17" i="8"/>
  <c r="U28" i="8"/>
  <c r="T28" i="8"/>
  <c r="S28" i="8"/>
  <c r="R28" i="8"/>
  <c r="U38" i="8"/>
  <c r="T38" i="8"/>
  <c r="S38" i="8"/>
  <c r="R38" i="8"/>
  <c r="U42" i="8"/>
  <c r="T42" i="8"/>
  <c r="S42" i="8"/>
  <c r="R42" i="8"/>
  <c r="S16" i="9"/>
  <c r="U16" i="9"/>
  <c r="T16" i="9"/>
  <c r="R16" i="9"/>
  <c r="U17" i="10"/>
  <c r="R17" i="10"/>
  <c r="T17" i="10"/>
  <c r="U21" i="10"/>
  <c r="T21" i="10"/>
  <c r="S21" i="10"/>
  <c r="U33" i="10"/>
  <c r="T33" i="10"/>
  <c r="S33" i="10"/>
  <c r="R33" i="10"/>
  <c r="R20" i="11"/>
  <c r="T20" i="11"/>
  <c r="U20" i="11"/>
  <c r="S20" i="11"/>
  <c r="U34" i="12"/>
  <c r="T34" i="12"/>
  <c r="S34" i="12"/>
  <c r="R34" i="12"/>
  <c r="R8" i="13"/>
  <c r="T8" i="13"/>
  <c r="U8" i="13"/>
  <c r="S8" i="13"/>
  <c r="R16" i="13"/>
  <c r="S16" i="13"/>
  <c r="U16" i="13"/>
  <c r="T16" i="13"/>
  <c r="S20" i="13"/>
  <c r="T20" i="13"/>
  <c r="U20" i="13"/>
  <c r="S24" i="13"/>
  <c r="U24" i="13"/>
  <c r="R24" i="13"/>
  <c r="T24" i="13"/>
  <c r="N20" i="9"/>
  <c r="N31" i="12"/>
  <c r="R37" i="13"/>
  <c r="S37" i="13"/>
  <c r="U37" i="13"/>
  <c r="M38" i="13"/>
  <c r="U36" i="12"/>
  <c r="N18" i="11"/>
  <c r="N19" i="11"/>
  <c r="M35" i="10"/>
  <c r="N15" i="10"/>
  <c r="P17" i="12"/>
  <c r="Q17" i="12" s="1"/>
  <c r="U17" i="12"/>
  <c r="V17" i="12" s="1"/>
  <c r="AG24" i="12"/>
  <c r="P24" i="12"/>
  <c r="Q24" i="12" s="1"/>
  <c r="N14" i="13"/>
  <c r="P14" i="13"/>
  <c r="Q14" i="13" s="1"/>
  <c r="N14" i="10"/>
  <c r="P14" i="10"/>
  <c r="Q14" i="10" s="1"/>
  <c r="N7" i="11"/>
  <c r="P7" i="11"/>
  <c r="Q7" i="11" s="1"/>
  <c r="N10" i="11"/>
  <c r="P10" i="11"/>
  <c r="Q10" i="11" s="1"/>
  <c r="P13" i="12"/>
  <c r="Q13" i="12" s="1"/>
  <c r="P21" i="12"/>
  <c r="Q21" i="12" s="1"/>
  <c r="P19" i="13"/>
  <c r="Q19" i="13" s="1"/>
  <c r="Q28" i="13"/>
  <c r="Q36" i="13"/>
  <c r="N36" i="13"/>
  <c r="AG22" i="12"/>
  <c r="P22" i="12"/>
  <c r="Q22" i="12" s="1"/>
  <c r="P26" i="12"/>
  <c r="Q26" i="12" s="1"/>
  <c r="P12" i="13"/>
  <c r="Q12" i="13" s="1"/>
  <c r="N29" i="13"/>
  <c r="P29" i="13"/>
  <c r="Q29" i="13" s="1"/>
  <c r="N33" i="13"/>
  <c r="P33" i="13"/>
  <c r="Q33" i="13" s="1"/>
  <c r="N7" i="9"/>
  <c r="P7" i="9"/>
  <c r="Q7" i="9" s="1"/>
  <c r="AG10" i="9"/>
  <c r="P10" i="9"/>
  <c r="Q10" i="9" s="1"/>
  <c r="N19" i="9"/>
  <c r="P19" i="9"/>
  <c r="Q19" i="9" s="1"/>
  <c r="N8" i="11"/>
  <c r="P8" i="11"/>
  <c r="Q8" i="11" s="1"/>
  <c r="N12" i="11"/>
  <c r="Q12" i="11"/>
  <c r="N8" i="12"/>
  <c r="P8" i="12"/>
  <c r="Q8" i="12" s="1"/>
  <c r="N18" i="12"/>
  <c r="P18" i="12"/>
  <c r="Q18" i="12" s="1"/>
  <c r="P31" i="12"/>
  <c r="Q31" i="12" s="1"/>
  <c r="N13" i="11"/>
  <c r="P13" i="11"/>
  <c r="Q13" i="11" s="1"/>
  <c r="N17" i="11"/>
  <c r="N9" i="9"/>
  <c r="P9" i="9"/>
  <c r="Q9" i="9" s="1"/>
  <c r="N26" i="10"/>
  <c r="P26" i="10"/>
  <c r="Q26" i="10" s="1"/>
  <c r="N8" i="10"/>
  <c r="P8" i="10"/>
  <c r="Q8" i="10" s="1"/>
  <c r="N32" i="10"/>
  <c r="P32" i="10"/>
  <c r="Q32" i="10" s="1"/>
  <c r="N23" i="11"/>
  <c r="P23" i="11"/>
  <c r="Q23" i="11" s="1"/>
  <c r="P15" i="12"/>
  <c r="Q15" i="12" s="1"/>
  <c r="N27" i="12"/>
  <c r="P27" i="12"/>
  <c r="Q27" i="12" s="1"/>
  <c r="P9" i="13"/>
  <c r="Q9" i="13" s="1"/>
  <c r="P13" i="13"/>
  <c r="Q13" i="13" s="1"/>
  <c r="N21" i="13"/>
  <c r="P21" i="13"/>
  <c r="Q21" i="13" s="1"/>
  <c r="P25" i="13"/>
  <c r="Q25" i="13" s="1"/>
  <c r="N34" i="13"/>
  <c r="P34" i="13"/>
  <c r="Q34" i="13" s="1"/>
  <c r="N15" i="11"/>
  <c r="P15" i="11"/>
  <c r="Q15" i="11" s="1"/>
  <c r="N7" i="10"/>
  <c r="P7" i="10"/>
  <c r="Q7" i="10" s="1"/>
  <c r="P30" i="12"/>
  <c r="Q30" i="12" s="1"/>
  <c r="N12" i="9"/>
  <c r="P12" i="9"/>
  <c r="Q12" i="9" s="1"/>
  <c r="AG20" i="9"/>
  <c r="P20" i="9"/>
  <c r="Q20" i="9" s="1"/>
  <c r="P9" i="12"/>
  <c r="Q9" i="12" s="1"/>
  <c r="P32" i="12"/>
  <c r="Q32" i="12" s="1"/>
  <c r="N14" i="11"/>
  <c r="P14" i="11"/>
  <c r="Q14" i="11" s="1"/>
  <c r="P28" i="10"/>
  <c r="Q28" i="10" s="1"/>
  <c r="N28" i="10"/>
  <c r="P20" i="12"/>
  <c r="Q20" i="12" s="1"/>
  <c r="P28" i="12"/>
  <c r="Q28" i="12" s="1"/>
  <c r="N10" i="13"/>
  <c r="P10" i="13"/>
  <c r="Q10" i="13" s="1"/>
  <c r="N18" i="13"/>
  <c r="P18" i="13"/>
  <c r="Q18" i="13" s="1"/>
  <c r="N22" i="13"/>
  <c r="P22" i="13"/>
  <c r="Q22" i="13" s="1"/>
  <c r="AG26" i="13"/>
  <c r="P26" i="13"/>
  <c r="Q26" i="13" s="1"/>
  <c r="P31" i="13"/>
  <c r="Q31" i="13" s="1"/>
  <c r="AG35" i="13"/>
  <c r="P35" i="13"/>
  <c r="Q35" i="13" s="1"/>
  <c r="N18" i="10"/>
  <c r="P18" i="10"/>
  <c r="Q18" i="10" s="1"/>
  <c r="N22" i="10"/>
  <c r="P22" i="10"/>
  <c r="Q22" i="10" s="1"/>
  <c r="N10" i="12"/>
  <c r="P10" i="12"/>
  <c r="Q10" i="12" s="1"/>
  <c r="P16" i="12"/>
  <c r="Q16" i="12" s="1"/>
  <c r="AG33" i="12"/>
  <c r="P33" i="12"/>
  <c r="Q33" i="12" s="1"/>
  <c r="AG28" i="13"/>
  <c r="N7" i="13"/>
  <c r="AG7" i="13"/>
  <c r="N32" i="13"/>
  <c r="AG32" i="13"/>
  <c r="N16" i="13"/>
  <c r="AG16" i="13"/>
  <c r="AG22" i="13"/>
  <c r="AG20" i="13"/>
  <c r="N23" i="13"/>
  <c r="AG23" i="13"/>
  <c r="N17" i="13"/>
  <c r="AG17" i="13"/>
  <c r="AG30" i="13"/>
  <c r="N26" i="13"/>
  <c r="AG11" i="13"/>
  <c r="AG12" i="13"/>
  <c r="AG36" i="13"/>
  <c r="N8" i="13"/>
  <c r="AG8" i="13"/>
  <c r="N24" i="13"/>
  <c r="AG24" i="13"/>
  <c r="N9" i="13"/>
  <c r="AG9" i="13"/>
  <c r="N13" i="13"/>
  <c r="AG13" i="13"/>
  <c r="N25" i="13"/>
  <c r="AG25" i="13"/>
  <c r="N35" i="13"/>
  <c r="N15" i="13"/>
  <c r="AG15" i="13"/>
  <c r="AG10" i="13"/>
  <c r="N31" i="13"/>
  <c r="AG31" i="13"/>
  <c r="AG7" i="12"/>
  <c r="N24" i="12"/>
  <c r="AG25" i="12"/>
  <c r="N11" i="12"/>
  <c r="AG11" i="12"/>
  <c r="N14" i="12"/>
  <c r="AG14" i="12"/>
  <c r="N33" i="12"/>
  <c r="AG34" i="12"/>
  <c r="AG17" i="12"/>
  <c r="N12" i="12"/>
  <c r="AG12" i="12"/>
  <c r="N19" i="12"/>
  <c r="AG19" i="12"/>
  <c r="AG23" i="12"/>
  <c r="N35" i="12"/>
  <c r="AG35" i="12"/>
  <c r="N26" i="12"/>
  <c r="AG26" i="12"/>
  <c r="N16" i="12"/>
  <c r="AG16" i="12"/>
  <c r="N20" i="12"/>
  <c r="AG20" i="12"/>
  <c r="N28" i="12"/>
  <c r="AG28" i="12"/>
  <c r="N22" i="12"/>
  <c r="AG17" i="11"/>
  <c r="AG23" i="11"/>
  <c r="N25" i="10"/>
  <c r="AG25" i="10"/>
  <c r="AG28" i="10"/>
  <c r="AG22" i="10"/>
  <c r="N21" i="10"/>
  <c r="AG21" i="10"/>
  <c r="N29" i="10"/>
  <c r="AG29" i="10"/>
  <c r="AG17" i="10"/>
  <c r="N23" i="10"/>
  <c r="AG23" i="10"/>
  <c r="AG11" i="10"/>
  <c r="AG12" i="10"/>
  <c r="N20" i="10"/>
  <c r="AG20" i="10"/>
  <c r="N17" i="9"/>
  <c r="AG17" i="9"/>
  <c r="AG18" i="9"/>
  <c r="AG13" i="9"/>
  <c r="AG14" i="9"/>
  <c r="N15" i="9"/>
  <c r="AG15" i="9"/>
  <c r="AG12" i="9"/>
  <c r="N16" i="9"/>
  <c r="AG16" i="9"/>
  <c r="AG21" i="8"/>
  <c r="P21" i="8"/>
  <c r="Q21" i="8" s="1"/>
  <c r="N27" i="8"/>
  <c r="P27" i="8"/>
  <c r="Q27" i="8" s="1"/>
  <c r="N30" i="8"/>
  <c r="P30" i="8"/>
  <c r="Q30" i="8" s="1"/>
  <c r="AG20" i="8"/>
  <c r="P20" i="8"/>
  <c r="Q20" i="8" s="1"/>
  <c r="AG37" i="8"/>
  <c r="P37" i="8"/>
  <c r="Q37" i="8" s="1"/>
  <c r="P31" i="8"/>
  <c r="Q31" i="8" s="1"/>
  <c r="N34" i="8"/>
  <c r="P34" i="8"/>
  <c r="Q34" i="8" s="1"/>
  <c r="N9" i="8"/>
  <c r="N18" i="8"/>
  <c r="N26" i="8"/>
  <c r="N24" i="8"/>
  <c r="AG24" i="8"/>
  <c r="AG14" i="8"/>
  <c r="N22" i="8"/>
  <c r="AG22" i="8"/>
  <c r="N23" i="8"/>
  <c r="AG23" i="8"/>
  <c r="N12" i="8"/>
  <c r="AG12" i="8"/>
  <c r="N38" i="8"/>
  <c r="AG38" i="8"/>
  <c r="N28" i="8"/>
  <c r="N14" i="8"/>
  <c r="N32" i="8"/>
  <c r="N35" i="8"/>
  <c r="N39" i="8"/>
  <c r="N19" i="8"/>
  <c r="N33" i="8"/>
  <c r="N36" i="8"/>
  <c r="N40" i="8"/>
  <c r="N25" i="8"/>
  <c r="N16" i="8"/>
  <c r="N20" i="8"/>
  <c r="N37" i="8"/>
  <c r="K8" i="7"/>
  <c r="N10" i="10"/>
  <c r="L44" i="8"/>
  <c r="N21" i="8"/>
  <c r="N29" i="8"/>
  <c r="N9" i="10"/>
  <c r="N27" i="10"/>
  <c r="N10" i="9"/>
  <c r="N22" i="11"/>
  <c r="N13" i="12"/>
  <c r="N21" i="12"/>
  <c r="N30" i="12"/>
  <c r="N15" i="8"/>
  <c r="N31" i="8"/>
  <c r="N11" i="10"/>
  <c r="N13" i="9"/>
  <c r="N16" i="11"/>
  <c r="N7" i="12"/>
  <c r="N15" i="12"/>
  <c r="N23" i="12"/>
  <c r="N32" i="12"/>
  <c r="N11" i="13"/>
  <c r="N19" i="13"/>
  <c r="L35" i="10"/>
  <c r="N30" i="10"/>
  <c r="N14" i="9"/>
  <c r="N12" i="13"/>
  <c r="N20" i="13"/>
  <c r="N17" i="10"/>
  <c r="L37" i="12"/>
  <c r="N7" i="8"/>
  <c r="N17" i="8"/>
  <c r="N41" i="8"/>
  <c r="N13" i="10"/>
  <c r="N9" i="11"/>
  <c r="N9" i="12"/>
  <c r="N17" i="12"/>
  <c r="N25" i="12"/>
  <c r="N34" i="12"/>
  <c r="N30" i="13"/>
  <c r="N19" i="10"/>
  <c r="L38" i="13"/>
  <c r="N8" i="8"/>
  <c r="N42" i="8"/>
  <c r="N24" i="10"/>
  <c r="N33" i="10"/>
  <c r="N8" i="9"/>
  <c r="N20" i="11"/>
  <c r="N10" i="8"/>
  <c r="N18" i="9"/>
  <c r="N21" i="11"/>
  <c r="N29" i="12"/>
  <c r="S25" i="11"/>
  <c r="K6" i="7"/>
  <c r="K7" i="7"/>
  <c r="L26" i="11"/>
  <c r="L22" i="9"/>
  <c r="M22" i="9"/>
  <c r="T36" i="12"/>
  <c r="M37" i="12"/>
  <c r="M41" i="12" s="1"/>
  <c r="R36" i="12"/>
  <c r="R25" i="11"/>
  <c r="T25" i="11"/>
  <c r="M26" i="11"/>
  <c r="M30" i="11" s="1"/>
  <c r="A9" i="10"/>
  <c r="U21" i="9"/>
  <c r="R21" i="9"/>
  <c r="S21" i="9"/>
  <c r="M44" i="8"/>
  <c r="M48" i="8" s="1"/>
  <c r="V7" i="8" l="1"/>
  <c r="T28" i="13"/>
  <c r="U28" i="13"/>
  <c r="U22" i="10"/>
  <c r="T22" i="10"/>
  <c r="S22" i="10"/>
  <c r="U20" i="12"/>
  <c r="T20" i="12"/>
  <c r="S20" i="12"/>
  <c r="R20" i="12"/>
  <c r="U34" i="13"/>
  <c r="T34" i="13"/>
  <c r="S34" i="13"/>
  <c r="U26" i="10"/>
  <c r="T26" i="10"/>
  <c r="S26" i="10"/>
  <c r="R26" i="10"/>
  <c r="R18" i="12"/>
  <c r="U18" i="12"/>
  <c r="T18" i="12"/>
  <c r="S18" i="12"/>
  <c r="U19" i="9"/>
  <c r="T19" i="9"/>
  <c r="S19" i="9"/>
  <c r="R19" i="9"/>
  <c r="R29" i="13"/>
  <c r="U29" i="13"/>
  <c r="T29" i="13"/>
  <c r="S29" i="13"/>
  <c r="S22" i="13"/>
  <c r="R22" i="13"/>
  <c r="T22" i="13"/>
  <c r="U22" i="13"/>
  <c r="U18" i="10"/>
  <c r="T18" i="10"/>
  <c r="S18" i="10"/>
  <c r="R18" i="10"/>
  <c r="S28" i="10"/>
  <c r="U28" i="10"/>
  <c r="T28" i="10"/>
  <c r="U25" i="13"/>
  <c r="T25" i="13"/>
  <c r="S25" i="13"/>
  <c r="R25" i="13"/>
  <c r="U23" i="11"/>
  <c r="T23" i="11"/>
  <c r="S23" i="11"/>
  <c r="R23" i="11"/>
  <c r="U9" i="9"/>
  <c r="T9" i="9"/>
  <c r="S9" i="9"/>
  <c r="R9" i="9"/>
  <c r="U8" i="12"/>
  <c r="T8" i="12"/>
  <c r="S8" i="12"/>
  <c r="R8" i="12"/>
  <c r="S10" i="9"/>
  <c r="U10" i="9"/>
  <c r="T10" i="9"/>
  <c r="R10" i="9"/>
  <c r="R12" i="13"/>
  <c r="T12" i="13"/>
  <c r="U12" i="13"/>
  <c r="S12" i="13"/>
  <c r="U19" i="13"/>
  <c r="T19" i="13"/>
  <c r="S19" i="13"/>
  <c r="R19" i="13"/>
  <c r="R15" i="12"/>
  <c r="T15" i="12"/>
  <c r="U15" i="12"/>
  <c r="S15" i="12"/>
  <c r="R33" i="12"/>
  <c r="T33" i="12"/>
  <c r="U33" i="12"/>
  <c r="S33" i="12"/>
  <c r="R18" i="13"/>
  <c r="T18" i="13"/>
  <c r="U18" i="13"/>
  <c r="S18" i="13"/>
  <c r="R14" i="11"/>
  <c r="T14" i="11"/>
  <c r="U14" i="11"/>
  <c r="S14" i="11"/>
  <c r="U30" i="12"/>
  <c r="T30" i="12"/>
  <c r="S30" i="12"/>
  <c r="R30" i="12"/>
  <c r="U21" i="13"/>
  <c r="T21" i="13"/>
  <c r="S21" i="13"/>
  <c r="R21" i="13"/>
  <c r="U26" i="12"/>
  <c r="T26" i="12"/>
  <c r="S26" i="12"/>
  <c r="R26" i="12"/>
  <c r="R21" i="12"/>
  <c r="T21" i="12"/>
  <c r="U21" i="12"/>
  <c r="S21" i="12"/>
  <c r="R14" i="13"/>
  <c r="T14" i="13"/>
  <c r="U14" i="13"/>
  <c r="S14" i="13"/>
  <c r="U20" i="8"/>
  <c r="T20" i="8"/>
  <c r="S20" i="8"/>
  <c r="R20" i="8"/>
  <c r="R35" i="13"/>
  <c r="S35" i="13"/>
  <c r="U35" i="13"/>
  <c r="T35" i="13"/>
  <c r="U7" i="10"/>
  <c r="T7" i="10"/>
  <c r="S7" i="10"/>
  <c r="R7" i="10"/>
  <c r="R32" i="10"/>
  <c r="T32" i="10"/>
  <c r="U32" i="10"/>
  <c r="S32" i="10"/>
  <c r="R12" i="11"/>
  <c r="T12" i="11"/>
  <c r="U12" i="11"/>
  <c r="S12" i="11"/>
  <c r="V7" i="9"/>
  <c r="U7" i="9"/>
  <c r="U22" i="12"/>
  <c r="T22" i="12"/>
  <c r="S22" i="12"/>
  <c r="R22" i="12"/>
  <c r="R13" i="12"/>
  <c r="T13" i="12"/>
  <c r="U13" i="12"/>
  <c r="S13" i="12"/>
  <c r="U34" i="8"/>
  <c r="T34" i="8"/>
  <c r="S34" i="8"/>
  <c r="R34" i="8"/>
  <c r="R27" i="8"/>
  <c r="U27" i="8"/>
  <c r="T27" i="8"/>
  <c r="S27" i="8"/>
  <c r="U16" i="12"/>
  <c r="S16" i="12"/>
  <c r="R16" i="12"/>
  <c r="R10" i="13"/>
  <c r="U10" i="13"/>
  <c r="T10" i="13"/>
  <c r="S10" i="13"/>
  <c r="U32" i="12"/>
  <c r="T32" i="12"/>
  <c r="S32" i="12"/>
  <c r="R32" i="12"/>
  <c r="U13" i="13"/>
  <c r="T13" i="13"/>
  <c r="S13" i="13"/>
  <c r="R13" i="13"/>
  <c r="U13" i="11"/>
  <c r="T13" i="11"/>
  <c r="S13" i="11"/>
  <c r="R13" i="11"/>
  <c r="R10" i="11"/>
  <c r="T10" i="11"/>
  <c r="U10" i="11"/>
  <c r="S10" i="11"/>
  <c r="U24" i="12"/>
  <c r="T24" i="12"/>
  <c r="S24" i="12"/>
  <c r="R24" i="12"/>
  <c r="S12" i="9"/>
  <c r="U12" i="9"/>
  <c r="T12" i="9"/>
  <c r="R12" i="9"/>
  <c r="R31" i="8"/>
  <c r="T31" i="8"/>
  <c r="U31" i="8"/>
  <c r="S31" i="8"/>
  <c r="U10" i="12"/>
  <c r="T10" i="12"/>
  <c r="S10" i="12"/>
  <c r="R10" i="12"/>
  <c r="U31" i="13"/>
  <c r="T31" i="13"/>
  <c r="S31" i="13"/>
  <c r="R31" i="13"/>
  <c r="R9" i="12"/>
  <c r="T9" i="12"/>
  <c r="U9" i="12"/>
  <c r="S9" i="12"/>
  <c r="U15" i="11"/>
  <c r="T15" i="11"/>
  <c r="S15" i="11"/>
  <c r="R15" i="11"/>
  <c r="U9" i="13"/>
  <c r="T9" i="13"/>
  <c r="S9" i="13"/>
  <c r="R9" i="13"/>
  <c r="S8" i="10"/>
  <c r="U8" i="10"/>
  <c r="T8" i="10"/>
  <c r="R8" i="10"/>
  <c r="R8" i="11"/>
  <c r="U8" i="11"/>
  <c r="T8" i="11"/>
  <c r="S8" i="11"/>
  <c r="U33" i="13"/>
  <c r="T33" i="13"/>
  <c r="R33" i="13"/>
  <c r="S33" i="13"/>
  <c r="R14" i="10"/>
  <c r="T14" i="10"/>
  <c r="U14" i="10"/>
  <c r="S14" i="10"/>
  <c r="U30" i="8"/>
  <c r="T30" i="8"/>
  <c r="S30" i="8"/>
  <c r="R30" i="8"/>
  <c r="R37" i="8"/>
  <c r="T37" i="8"/>
  <c r="U37" i="8"/>
  <c r="S37" i="8"/>
  <c r="R21" i="8"/>
  <c r="T21" i="8"/>
  <c r="U21" i="8"/>
  <c r="S21" i="8"/>
  <c r="U26" i="13"/>
  <c r="T26" i="13"/>
  <c r="S26" i="13"/>
  <c r="R26" i="13"/>
  <c r="U28" i="12"/>
  <c r="T28" i="12"/>
  <c r="S28" i="12"/>
  <c r="R28" i="12"/>
  <c r="U20" i="9"/>
  <c r="T20" i="9"/>
  <c r="S20" i="9"/>
  <c r="R20" i="9"/>
  <c r="R27" i="12"/>
  <c r="T27" i="12"/>
  <c r="U27" i="12"/>
  <c r="S27" i="12"/>
  <c r="R31" i="12"/>
  <c r="T31" i="12"/>
  <c r="U31" i="12"/>
  <c r="S31" i="12"/>
  <c r="U36" i="13"/>
  <c r="S36" i="13"/>
  <c r="U7" i="11"/>
  <c r="T7" i="11"/>
  <c r="S7" i="11"/>
  <c r="R7" i="11"/>
  <c r="V32" i="13"/>
  <c r="V11" i="13"/>
  <c r="V26" i="8"/>
  <c r="V23" i="13"/>
  <c r="V39" i="8"/>
  <c r="V8" i="13"/>
  <c r="V30" i="13"/>
  <c r="V14" i="12"/>
  <c r="V19" i="11"/>
  <c r="V18" i="11"/>
  <c r="V16" i="10"/>
  <c r="V15" i="10"/>
  <c r="V34" i="12"/>
  <c r="V23" i="12"/>
  <c r="V24" i="13"/>
  <c r="V16" i="13"/>
  <c r="V15" i="13"/>
  <c r="V7" i="13"/>
  <c r="V11" i="12"/>
  <c r="V25" i="12"/>
  <c r="V7" i="12"/>
  <c r="V25" i="10"/>
  <c r="V32" i="8"/>
  <c r="V28" i="8"/>
  <c r="V20" i="11"/>
  <c r="V21" i="10"/>
  <c r="V33" i="10"/>
  <c r="V17" i="10"/>
  <c r="V22" i="11"/>
  <c r="V14" i="9"/>
  <c r="V8" i="9"/>
  <c r="V12" i="12"/>
  <c r="V19" i="10"/>
  <c r="V13" i="9"/>
  <c r="V18" i="9"/>
  <c r="V11" i="10"/>
  <c r="V10" i="10"/>
  <c r="V17" i="13"/>
  <c r="V20" i="10"/>
  <c r="V29" i="10"/>
  <c r="V17" i="9"/>
  <c r="V35" i="12"/>
  <c r="V21" i="11"/>
  <c r="R28" i="10"/>
  <c r="V16" i="9"/>
  <c r="V23" i="10"/>
  <c r="V16" i="11"/>
  <c r="V13" i="10"/>
  <c r="V17" i="11"/>
  <c r="V30" i="10"/>
  <c r="V9" i="10"/>
  <c r="V24" i="10"/>
  <c r="V27" i="10"/>
  <c r="V9" i="11"/>
  <c r="V15" i="9"/>
  <c r="V40" i="8"/>
  <c r="V14" i="8"/>
  <c r="V18" i="8"/>
  <c r="V23" i="8"/>
  <c r="V41" i="8"/>
  <c r="V24" i="8"/>
  <c r="V12" i="8"/>
  <c r="V25" i="8"/>
  <c r="V36" i="8"/>
  <c r="V10" i="8"/>
  <c r="V35" i="8"/>
  <c r="V16" i="8"/>
  <c r="V19" i="8"/>
  <c r="V9" i="8"/>
  <c r="V8" i="8"/>
  <c r="V29" i="8"/>
  <c r="V33" i="8"/>
  <c r="V38" i="8"/>
  <c r="V15" i="8"/>
  <c r="V42" i="8"/>
  <c r="V17" i="8"/>
  <c r="V22" i="8"/>
  <c r="V29" i="12"/>
  <c r="K9" i="7"/>
  <c r="L6" i="7" s="1"/>
  <c r="V26" i="12" l="1"/>
  <c r="V27" i="12"/>
  <c r="V34" i="8"/>
  <c r="V35" i="13"/>
  <c r="T26" i="11"/>
  <c r="F8" i="7" s="1"/>
  <c r="U22" i="9"/>
  <c r="D9" i="7" s="1"/>
  <c r="V30" i="8"/>
  <c r="V37" i="8"/>
  <c r="V20" i="8"/>
  <c r="V14" i="13"/>
  <c r="V29" i="13"/>
  <c r="V8" i="11"/>
  <c r="R44" i="8"/>
  <c r="C6" i="7" s="1"/>
  <c r="V27" i="8"/>
  <c r="U35" i="10"/>
  <c r="E9" i="7" s="1"/>
  <c r="V31" i="12"/>
  <c r="V28" i="12"/>
  <c r="S44" i="8"/>
  <c r="C7" i="7" s="1"/>
  <c r="V12" i="13"/>
  <c r="U44" i="8"/>
  <c r="C9" i="7" s="1"/>
  <c r="V18" i="10"/>
  <c r="S26" i="11"/>
  <c r="F7" i="7" s="1"/>
  <c r="S22" i="9"/>
  <c r="D7" i="7" s="1"/>
  <c r="U26" i="11"/>
  <c r="F9" i="7" s="1"/>
  <c r="S38" i="13"/>
  <c r="H7" i="7" s="1"/>
  <c r="T22" i="9"/>
  <c r="D8" i="7" s="1"/>
  <c r="V33" i="13"/>
  <c r="V32" i="12"/>
  <c r="V14" i="10"/>
  <c r="V22" i="12"/>
  <c r="V31" i="8"/>
  <c r="U37" i="12"/>
  <c r="G9" i="7" s="1"/>
  <c r="V32" i="10"/>
  <c r="T37" i="12"/>
  <c r="G8" i="7" s="1"/>
  <c r="V8" i="10"/>
  <c r="U38" i="13"/>
  <c r="H9" i="7" s="1"/>
  <c r="T44" i="8"/>
  <c r="C8" i="7" s="1"/>
  <c r="V21" i="12"/>
  <c r="V15" i="12"/>
  <c r="V19" i="13"/>
  <c r="V8" i="12"/>
  <c r="V12" i="11"/>
  <c r="V13" i="11"/>
  <c r="S37" i="12"/>
  <c r="G7" i="7" s="1"/>
  <c r="V18" i="12"/>
  <c r="V30" i="12"/>
  <c r="V20" i="12"/>
  <c r="R37" i="12"/>
  <c r="G6" i="7" s="1"/>
  <c r="V9" i="13"/>
  <c r="V26" i="13"/>
  <c r="V7" i="10"/>
  <c r="R35" i="10"/>
  <c r="E6" i="7" s="1"/>
  <c r="V15" i="11"/>
  <c r="V14" i="11"/>
  <c r="S35" i="10"/>
  <c r="E7" i="7" s="1"/>
  <c r="T38" i="13"/>
  <c r="H8" i="7" s="1"/>
  <c r="V22" i="10"/>
  <c r="R38" i="13"/>
  <c r="H6" i="7" s="1"/>
  <c r="T35" i="10"/>
  <c r="E8" i="7" s="1"/>
  <c r="V9" i="9"/>
  <c r="R22" i="9"/>
  <c r="D6" i="7" s="1"/>
  <c r="V34" i="13"/>
  <c r="R26" i="11"/>
  <c r="F6" i="7" s="1"/>
  <c r="V12" i="9"/>
  <c r="V31" i="13"/>
  <c r="V10" i="11"/>
  <c r="V25" i="13"/>
  <c r="V19" i="9"/>
  <c r="V26" i="10"/>
  <c r="V10" i="9"/>
  <c r="V18" i="13"/>
  <c r="V23" i="11"/>
  <c r="V20" i="9"/>
  <c r="V22" i="13"/>
  <c r="V13" i="13"/>
  <c r="V9" i="12"/>
  <c r="V16" i="12"/>
  <c r="V33" i="12"/>
  <c r="V7" i="11"/>
  <c r="V21" i="8"/>
  <c r="V10" i="13"/>
  <c r="V10" i="12"/>
  <c r="V13" i="12"/>
  <c r="V28" i="10"/>
  <c r="V24" i="12"/>
  <c r="V21" i="13"/>
  <c r="I9" i="7" l="1"/>
  <c r="I8" i="7"/>
  <c r="I7" i="7"/>
  <c r="V37" i="12"/>
  <c r="I6" i="7"/>
  <c r="V44" i="8"/>
  <c r="V22" i="9"/>
  <c r="V35" i="10"/>
  <c r="J6" i="7"/>
  <c r="V26" i="11"/>
  <c r="V38" i="13"/>
  <c r="J10" i="7" l="1"/>
  <c r="J1099" i="22" l="1"/>
  <c r="K1099" i="22" l="1"/>
  <c r="C3" i="14" s="1"/>
  <c r="L1099" i="22"/>
  <c r="D3" i="14" s="1"/>
  <c r="M1099" i="22" l="1"/>
  <c r="E3"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Bryce Clothier</author>
  </authors>
  <commentList>
    <comment ref="K15" authorId="0" shapeId="0" xr:uid="{142DD89F-6E47-4CA5-B8DE-41E468FEF0EA}">
      <text>
        <r>
          <rPr>
            <b/>
            <sz val="9"/>
            <color rgb="FF000000"/>
            <rFont val="Tahoma"/>
            <family val="2"/>
          </rPr>
          <t>Bryce Clothier:</t>
        </r>
        <r>
          <rPr>
            <sz val="9"/>
            <color rgb="FF000000"/>
            <rFont val="Tahoma"/>
            <family val="2"/>
          </rPr>
          <t xml:space="preserve">
</t>
        </r>
        <r>
          <rPr>
            <sz val="9"/>
            <color rgb="FF000000"/>
            <rFont val="Tahoma"/>
            <family val="2"/>
          </rPr>
          <t>Manual update from load check</t>
        </r>
      </text>
    </comment>
    <comment ref="L15" authorId="0" shapeId="0" xr:uid="{DE5FF882-D118-410F-8D45-BD05FCB02B1D}">
      <text>
        <r>
          <rPr>
            <b/>
            <sz val="9"/>
            <color rgb="FF000000"/>
            <rFont val="Tahoma"/>
            <family val="2"/>
          </rPr>
          <t>Bryce Clothier:</t>
        </r>
        <r>
          <rPr>
            <sz val="9"/>
            <color rgb="FF000000"/>
            <rFont val="Tahoma"/>
            <family val="2"/>
          </rPr>
          <t xml:space="preserve">
</t>
        </r>
        <r>
          <rPr>
            <sz val="9"/>
            <color rgb="FF000000"/>
            <rFont val="Tahoma"/>
            <family val="2"/>
          </rPr>
          <t>Manual update from load check</t>
        </r>
      </text>
    </comment>
    <comment ref="K16" authorId="0" shapeId="0" xr:uid="{6C62B1F8-B0E1-4633-B8B7-827706DABE9D}">
      <text>
        <r>
          <rPr>
            <b/>
            <sz val="9"/>
            <color rgb="FF000000"/>
            <rFont val="Tahoma"/>
            <family val="2"/>
          </rPr>
          <t>Bryce Clothier:</t>
        </r>
        <r>
          <rPr>
            <sz val="9"/>
            <color rgb="FF000000"/>
            <rFont val="Tahoma"/>
            <family val="2"/>
          </rPr>
          <t xml:space="preserve">
</t>
        </r>
        <r>
          <rPr>
            <sz val="9"/>
            <color rgb="FF000000"/>
            <rFont val="Tahoma"/>
            <family val="2"/>
          </rPr>
          <t>Manual update from load check</t>
        </r>
      </text>
    </comment>
    <comment ref="L16" authorId="0" shapeId="0" xr:uid="{148C6742-DA0E-4740-9B5F-BDE1979E1672}">
      <text>
        <r>
          <rPr>
            <b/>
            <sz val="9"/>
            <color rgb="FF000000"/>
            <rFont val="Tahoma"/>
            <family val="2"/>
          </rPr>
          <t>Bryce Clothier:</t>
        </r>
        <r>
          <rPr>
            <sz val="9"/>
            <color rgb="FF000000"/>
            <rFont val="Tahoma"/>
            <family val="2"/>
          </rPr>
          <t xml:space="preserve">
</t>
        </r>
        <r>
          <rPr>
            <sz val="9"/>
            <color rgb="FF000000"/>
            <rFont val="Tahoma"/>
            <family val="2"/>
          </rPr>
          <t>Manual update from load check</t>
        </r>
      </text>
    </comment>
    <comment ref="K25" authorId="0" shapeId="0" xr:uid="{BE675112-953E-49B3-AA74-C5381F913FC7}">
      <text>
        <r>
          <rPr>
            <b/>
            <sz val="9"/>
            <color rgb="FF000000"/>
            <rFont val="Tahoma"/>
            <family val="2"/>
          </rPr>
          <t>Bryce Clothier:</t>
        </r>
        <r>
          <rPr>
            <sz val="9"/>
            <color rgb="FF000000"/>
            <rFont val="Tahoma"/>
            <family val="2"/>
          </rPr>
          <t xml:space="preserve">
</t>
        </r>
        <r>
          <rPr>
            <sz val="9"/>
            <color rgb="FF000000"/>
            <rFont val="Tahoma"/>
            <family val="2"/>
          </rPr>
          <t>Calc currently not accounting for FORCE</t>
        </r>
      </text>
    </comment>
    <comment ref="L25" authorId="0" shapeId="0" xr:uid="{CB4A7B7E-8F1D-434D-8FDE-41EDFB2F1CCB}">
      <text>
        <r>
          <rPr>
            <b/>
            <sz val="9"/>
            <color rgb="FF000000"/>
            <rFont val="Tahoma"/>
            <family val="2"/>
          </rPr>
          <t>Bryce Clothier:</t>
        </r>
        <r>
          <rPr>
            <sz val="9"/>
            <color rgb="FF000000"/>
            <rFont val="Tahoma"/>
            <family val="2"/>
          </rPr>
          <t xml:space="preserve">
</t>
        </r>
        <r>
          <rPr>
            <sz val="9"/>
            <color rgb="FF000000"/>
            <rFont val="Tahoma"/>
            <family val="2"/>
          </rPr>
          <t>Calc currently not accounting for FORCE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Bryce Clothier</author>
  </authors>
  <commentList>
    <comment ref="K13" authorId="0" shapeId="0" xr:uid="{90E9B86D-F010-4B5F-B92D-4AFEF4ADAA00}">
      <text>
        <r>
          <rPr>
            <b/>
            <sz val="9"/>
            <color indexed="81"/>
            <rFont val="Tahoma"/>
            <family val="2"/>
          </rPr>
          <t>Bryce Clothier:</t>
        </r>
        <r>
          <rPr>
            <sz val="9"/>
            <color indexed="81"/>
            <rFont val="Tahoma"/>
            <family val="2"/>
          </rPr>
          <t xml:space="preserve">
Calc not currently accounting for 111S</t>
        </r>
      </text>
    </comment>
    <comment ref="L13" authorId="0" shapeId="0" xr:uid="{88CF3852-2E5A-4EF7-8D00-17B792C90460}">
      <text>
        <r>
          <rPr>
            <b/>
            <sz val="9"/>
            <color indexed="81"/>
            <rFont val="Tahoma"/>
            <family val="2"/>
          </rPr>
          <t>Bryce Clothier:</t>
        </r>
        <r>
          <rPr>
            <sz val="9"/>
            <color indexed="81"/>
            <rFont val="Tahoma"/>
            <family val="2"/>
          </rPr>
          <t xml:space="preserve">
Calc not currently accounting for 111S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Bryce Clothier</author>
  </authors>
  <commentList>
    <comment ref="K19" authorId="0" shapeId="0" xr:uid="{C8AD745B-C9D5-46DD-AAD3-E84D0F2DE89F}">
      <text>
        <r>
          <rPr>
            <b/>
            <sz val="9"/>
            <color indexed="81"/>
            <rFont val="Tahoma"/>
            <family val="2"/>
          </rPr>
          <t>Bryce Clothier:</t>
        </r>
        <r>
          <rPr>
            <sz val="9"/>
            <color indexed="81"/>
            <rFont val="Tahoma"/>
            <family val="2"/>
          </rPr>
          <t xml:space="preserve">
Added 53V Berwick North to the calculation, assume it has 40% of the load - based on xfmr sizes</t>
        </r>
      </text>
    </comment>
    <comment ref="L19" authorId="0" shapeId="0" xr:uid="{9CE6D60A-36C1-4990-AAB5-A38E4F16AD11}">
      <text>
        <r>
          <rPr>
            <b/>
            <sz val="9"/>
            <color indexed="81"/>
            <rFont val="Tahoma"/>
            <family val="2"/>
          </rPr>
          <t>Bryce Clothier:</t>
        </r>
        <r>
          <rPr>
            <sz val="9"/>
            <color indexed="81"/>
            <rFont val="Tahoma"/>
            <family val="2"/>
          </rPr>
          <t xml:space="preserve">
Added 53V Berwick North to the calculation, assume it has 40% of the load - based on xfmr sizes</t>
        </r>
      </text>
    </comment>
  </commentList>
</comments>
</file>

<file path=xl/sharedStrings.xml><?xml version="1.0" encoding="utf-8"?>
<sst xmlns="http://schemas.openxmlformats.org/spreadsheetml/2006/main" count="14317" uniqueCount="4863">
  <si>
    <t>Fp Number</t>
  </si>
  <si>
    <t>Funding Project Descr</t>
  </si>
  <si>
    <t>Cc Cpc</t>
  </si>
  <si>
    <t>Functional Class</t>
  </si>
  <si>
    <t>Special Or Parent Routine</t>
  </si>
  <si>
    <t>Normal</t>
  </si>
  <si>
    <t>Special</t>
  </si>
  <si>
    <t>posted to CPR</t>
  </si>
  <si>
    <t/>
  </si>
  <si>
    <t>Distribution Plant - D</t>
  </si>
  <si>
    <t>Distribution Line</t>
  </si>
  <si>
    <t>Routine</t>
  </si>
  <si>
    <t>D004 NEW CUSTOMER REPLACEMENTS.ROUT</t>
  </si>
  <si>
    <t>D005 REPLACE DETERIORATED PLANT ROU</t>
  </si>
  <si>
    <t>D055-Identified Deteriorated Plant</t>
  </si>
  <si>
    <t>25080-D017-735</t>
  </si>
  <si>
    <t>New Customers - Metered Services We</t>
  </si>
  <si>
    <t>D017-METERED SERVICE DROPS-ROUTINE</t>
  </si>
  <si>
    <t>completed</t>
  </si>
  <si>
    <t>16814-D002-623</t>
  </si>
  <si>
    <t>Metro - Primary Services - Sackvill</t>
  </si>
  <si>
    <t>Dist - Replace / Refurb</t>
  </si>
  <si>
    <t>D002-CUST.PRIMARY SERVICE</t>
  </si>
  <si>
    <t>D021-PRIMARY LINE EXTENSIONS-ROUTIN</t>
  </si>
  <si>
    <t>Transmission Plant - T</t>
  </si>
  <si>
    <t>T003-TRANSMISSION SUBSTATION REPLAC</t>
  </si>
  <si>
    <t>D007 CONTRACTUAL REPLACEMENTS ROUTI</t>
  </si>
  <si>
    <t>Dist - New</t>
  </si>
  <si>
    <t>in service</t>
  </si>
  <si>
    <t xml:space="preserve">T011-Provincial Planned Trans Line </t>
  </si>
  <si>
    <t>Gas Turbine Generation</t>
  </si>
  <si>
    <t>CONV-D002-811</t>
  </si>
  <si>
    <t>D002-Cust.primary Service</t>
  </si>
  <si>
    <t>Metering</t>
  </si>
  <si>
    <t>Substation Operations</t>
  </si>
  <si>
    <t>14941-D005-734</t>
  </si>
  <si>
    <t>Replace Deteriorated Plant - Kentvi</t>
  </si>
  <si>
    <t>CONV-D005-628</t>
  </si>
  <si>
    <t>D005 Replace Deteriorated Plant Rou</t>
  </si>
  <si>
    <t>D062-New Customers - Commercial</t>
  </si>
  <si>
    <t>D061-New Customers - Residential</t>
  </si>
  <si>
    <t>Trans - New</t>
  </si>
  <si>
    <t>Transmission Line</t>
  </si>
  <si>
    <t>D006 REGULATORY REPLACEMENTS</t>
  </si>
  <si>
    <t>40265-D337</t>
  </si>
  <si>
    <t>77V-401 Targeted Replacements</t>
  </si>
  <si>
    <t>40727-T660</t>
  </si>
  <si>
    <t>L7002 Upgrade</t>
  </si>
  <si>
    <t>38819-T675</t>
  </si>
  <si>
    <t xml:space="preserve">51V Tremont Circuit Breaker &amp; Bus </t>
  </si>
  <si>
    <t>Trans - Replace / Refurb</t>
  </si>
  <si>
    <t>41343-D403</t>
  </si>
  <si>
    <t>81S-302 Targeted Feeder Replacement</t>
  </si>
  <si>
    <t>40338-D355</t>
  </si>
  <si>
    <t>16W-301 Hebron Reconductor</t>
  </si>
  <si>
    <t>40268-D331</t>
  </si>
  <si>
    <t>22N-401 Targeted Replacements</t>
  </si>
  <si>
    <t>40202-D340</t>
  </si>
  <si>
    <t>39N Maccan Conversion</t>
  </si>
  <si>
    <t>40280-T676</t>
  </si>
  <si>
    <t>2011 Trans Switch &amp; Breaker Upgrade</t>
  </si>
  <si>
    <t>40328-D353</t>
  </si>
  <si>
    <t>Feeder Exit Cable Replacements</t>
  </si>
  <si>
    <t>40967-D358</t>
  </si>
  <si>
    <t>Brunello Estates Overhead</t>
  </si>
  <si>
    <t>38856-T681</t>
  </si>
  <si>
    <t>L7011 Deteriorated Replacements</t>
  </si>
  <si>
    <t>40266-T671</t>
  </si>
  <si>
    <t>L6002 Deteriorated Replacement 2012</t>
  </si>
  <si>
    <t>40862-T696</t>
  </si>
  <si>
    <t>101H-T61 Transformer Refurbishment</t>
  </si>
  <si>
    <t>40867-T697</t>
  </si>
  <si>
    <t>59C-T61 Transformer Refurbishment</t>
  </si>
  <si>
    <t>Capital Projects Group</t>
  </si>
  <si>
    <t>41334-D408</t>
  </si>
  <si>
    <t>16N-301 Targeted Feeder Replacement</t>
  </si>
  <si>
    <t>41844-T708</t>
  </si>
  <si>
    <t>L8004 &amp; L7005 Reinsulate</t>
  </si>
  <si>
    <t>Wind Generation - South Canoe</t>
  </si>
  <si>
    <t>41345-D416</t>
  </si>
  <si>
    <t>82S-303 Targeted Feeder Replacement</t>
  </si>
  <si>
    <t>42636-T723</t>
  </si>
  <si>
    <t>L6539 Upgrade</t>
  </si>
  <si>
    <t>43098-D445</t>
  </si>
  <si>
    <t>126H-421 Cobequid Rail Crossing</t>
  </si>
  <si>
    <t>41389-D465</t>
  </si>
  <si>
    <t>8H Fairview Conversion</t>
  </si>
  <si>
    <t>43184-D459</t>
  </si>
  <si>
    <t>U&amp;U 22C-404GAA ICP</t>
  </si>
  <si>
    <t>Vegetation Management</t>
  </si>
  <si>
    <t>44108-D486</t>
  </si>
  <si>
    <t>89W-301 Dayspring Reconductor</t>
  </si>
  <si>
    <t>44053-D482</t>
  </si>
  <si>
    <t>79S Cape North Transformer Replace</t>
  </si>
  <si>
    <t>44317-T772</t>
  </si>
  <si>
    <t>L7019 Upgrade</t>
  </si>
  <si>
    <t>43427-T776</t>
  </si>
  <si>
    <t>62N-510 Breaker &amp; Control Replace</t>
  </si>
  <si>
    <t>44388-D507</t>
  </si>
  <si>
    <t>63V-313 Aylesford Reliability Ph 2</t>
  </si>
  <si>
    <t>43548-D525</t>
  </si>
  <si>
    <t>533S Mason Street Conversion</t>
  </si>
  <si>
    <t>45350-D531</t>
  </si>
  <si>
    <t>Evans Island</t>
  </si>
  <si>
    <t>44307-D511</t>
  </si>
  <si>
    <t>16W-301 Port Maitland Rebuild</t>
  </si>
  <si>
    <t>45514-D534</t>
  </si>
  <si>
    <t>Cabot Cliff Golf Upgrade</t>
  </si>
  <si>
    <t>Telecom</t>
  </si>
  <si>
    <t>45578-D554</t>
  </si>
  <si>
    <t>55V-313J Waterville Recloser</t>
  </si>
  <si>
    <t>44974-T799</t>
  </si>
  <si>
    <t>2014 PCB Equipment Removals</t>
  </si>
  <si>
    <t>43675-T794</t>
  </si>
  <si>
    <t xml:space="preserve">Transmission Interconnection Sable </t>
  </si>
  <si>
    <t>Wind Generation - Sable</t>
  </si>
  <si>
    <t>45066-T802</t>
  </si>
  <si>
    <t>Upgrade L6511 and L7019</t>
  </si>
  <si>
    <t>Maritime Link Transmission</t>
  </si>
  <si>
    <t>45911-D575</t>
  </si>
  <si>
    <t>698H Hunts Brook Rd Stepdown Upgrad</t>
  </si>
  <si>
    <t>45820-D567</t>
  </si>
  <si>
    <t>Albany New Rebuild</t>
  </si>
  <si>
    <t>44833-D580</t>
  </si>
  <si>
    <t>99V-312 - Highbury New Feeder</t>
  </si>
  <si>
    <t>46132-D585</t>
  </si>
  <si>
    <t>81S-306 Hub Insulator Replacement</t>
  </si>
  <si>
    <t>45043-D581</t>
  </si>
  <si>
    <t>57 Main Ave Primary Service Upgrade</t>
  </si>
  <si>
    <t>46737-D617</t>
  </si>
  <si>
    <t>85S Gang Switch Replacement</t>
  </si>
  <si>
    <t>D051 - System Perf. Improvement</t>
  </si>
  <si>
    <t>47159-D640</t>
  </si>
  <si>
    <t>77V-302G North Range Cross Rd Rebld</t>
  </si>
  <si>
    <t>44979-T836</t>
  </si>
  <si>
    <t>L5527 Structure Replacements</t>
  </si>
  <si>
    <t>47032-D629</t>
  </si>
  <si>
    <t>65V-301 Mount Hanley Road Rebuild</t>
  </si>
  <si>
    <t>47215-T846</t>
  </si>
  <si>
    <t>L6008  90H Sackville to 103H Lakesi</t>
  </si>
  <si>
    <t>47292-D650</t>
  </si>
  <si>
    <t>89W-302G - Rhodes Corner Rebuild</t>
  </si>
  <si>
    <t>44976-T832</t>
  </si>
  <si>
    <t>10H 25kV Breaker Rplcmnt &amp; Reconfig</t>
  </si>
  <si>
    <t>47131-T858</t>
  </si>
  <si>
    <t>L8001 Structure 58 Replacement</t>
  </si>
  <si>
    <t>47222-T853</t>
  </si>
  <si>
    <t xml:space="preserve">L5521 1N Onslow to 15N Willow Lane	</t>
  </si>
  <si>
    <t>47217-T847</t>
  </si>
  <si>
    <t xml:space="preserve">L6012  17V St. Croix to 43V Cannan </t>
  </si>
  <si>
    <t>47494-D669</t>
  </si>
  <si>
    <t>16W-302 Lake George Neutral Replace</t>
  </si>
  <si>
    <t>47693-D676</t>
  </si>
  <si>
    <t>63V-313G-Evangeline Trail Reconduct</t>
  </si>
  <si>
    <t>48059-T877</t>
  </si>
  <si>
    <t>2016 Switch and Breaker Replacement</t>
  </si>
  <si>
    <t>44836-D684</t>
  </si>
  <si>
    <t>Halifax 4kV Conversion Part 2</t>
  </si>
  <si>
    <t>48063-T879</t>
  </si>
  <si>
    <t>2016 Capacitor Bank Breaker Repl.</t>
  </si>
  <si>
    <t>48022-T888</t>
  </si>
  <si>
    <t>Spider Lake Substation Addition</t>
  </si>
  <si>
    <t>47949-T876</t>
  </si>
  <si>
    <t>L5028 Replacements and Upgrades</t>
  </si>
  <si>
    <t>48151-T903</t>
  </si>
  <si>
    <t>2016 Insulator Replacement Program</t>
  </si>
  <si>
    <t>47914-T874</t>
  </si>
  <si>
    <t>L6537 Replacements and Upgrades</t>
  </si>
  <si>
    <t>49591-D763</t>
  </si>
  <si>
    <t xml:space="preserve">3S Feeder Exit Cable Replacement	</t>
  </si>
  <si>
    <t>49034-D737</t>
  </si>
  <si>
    <t>530W-201 John's Cove Causeway Reins</t>
  </si>
  <si>
    <t>50117-D772</t>
  </si>
  <si>
    <t>Moose River-Upgrade</t>
  </si>
  <si>
    <t>49815-T929</t>
  </si>
  <si>
    <t>2017 Steel Tower Refurbishment</t>
  </si>
  <si>
    <t>50935-D819</t>
  </si>
  <si>
    <t>551C-301 - Little Liscomb Rd - Rebu</t>
  </si>
  <si>
    <t>50737-D813</t>
  </si>
  <si>
    <t>36N-201 - Boars Back Rd Rebuild</t>
  </si>
  <si>
    <t>51211-D838</t>
  </si>
  <si>
    <t>Mar 14, 2017 Level 3 Storm Response</t>
  </si>
  <si>
    <t>D008-STORM COSTS ROUTINE</t>
  </si>
  <si>
    <t>50672-D804</t>
  </si>
  <si>
    <t>605V-211-Culloden Conversion</t>
  </si>
  <si>
    <t>49929-T945</t>
  </si>
  <si>
    <t>Tap Changer Replacements</t>
  </si>
  <si>
    <t>49928-T949</t>
  </si>
  <si>
    <t>3S Gannon Rd. Bus Reconfiguration</t>
  </si>
  <si>
    <t>50341-D841</t>
  </si>
  <si>
    <t>2017 Substn Recloser Replacements</t>
  </si>
  <si>
    <t>51014-D834</t>
  </si>
  <si>
    <t xml:space="preserve">50W-412G Charleston Abandoned Line </t>
  </si>
  <si>
    <t>51974-T971</t>
  </si>
  <si>
    <t>Remote Substation Video/Thermal Mon</t>
  </si>
  <si>
    <t>T004-TRANSMISSION SUBSTATION ADDITI</t>
  </si>
  <si>
    <t>51932-T975</t>
  </si>
  <si>
    <t>L6533 2017R Replc and Upgrades</t>
  </si>
  <si>
    <t>51522-D872</t>
  </si>
  <si>
    <t>24C-442GB - 19C Canso Recloser Addi</t>
  </si>
  <si>
    <t>49833-T936</t>
  </si>
  <si>
    <t>2017 Oil Containment Program</t>
  </si>
  <si>
    <t>51521-D857</t>
  </si>
  <si>
    <t>3S-302-3S-308 Reconfigure</t>
  </si>
  <si>
    <t>51917-T974</t>
  </si>
  <si>
    <t>L6515 2017R Replc and Upgrades</t>
  </si>
  <si>
    <t>C0002651</t>
  </si>
  <si>
    <t>56N-414 Targeted -Device Replacemen</t>
  </si>
  <si>
    <t>52102</t>
  </si>
  <si>
    <t>L5014-2018 Replacements and Upgr</t>
  </si>
  <si>
    <t>C0001950</t>
  </si>
  <si>
    <t>New Distribution Rights-of-Way Ph 3</t>
  </si>
  <si>
    <t>52192</t>
  </si>
  <si>
    <t>54H-303 UG Rep Phase 2</t>
  </si>
  <si>
    <t>C0006018</t>
  </si>
  <si>
    <t>D-Single Phase Recloser Replacement</t>
  </si>
  <si>
    <t>C0006319</t>
  </si>
  <si>
    <t>D-2019 PCB Pole Top Transformer Rep</t>
  </si>
  <si>
    <t>52186</t>
  </si>
  <si>
    <t xml:space="preserve">D-4S Feeder Exit Cable Replacement </t>
  </si>
  <si>
    <t>52265</t>
  </si>
  <si>
    <t>55V-322-English Mt Rd Reconfig</t>
  </si>
  <si>
    <t>C0009598</t>
  </si>
  <si>
    <t>100C-T61 Transformer Repair</t>
  </si>
  <si>
    <t>51500</t>
  </si>
  <si>
    <t xml:space="preserve">D-2018 Pin Insulator Replacements </t>
  </si>
  <si>
    <t>C0013001</t>
  </si>
  <si>
    <t xml:space="preserve">D - 58C-405H Middle River Road </t>
  </si>
  <si>
    <t>AMO - Customer Operations</t>
  </si>
  <si>
    <t>C0015680</t>
  </si>
  <si>
    <t>22N-402 North Tyndal Lane Rebuild</t>
  </si>
  <si>
    <t>C0015499</t>
  </si>
  <si>
    <t>D-78W-302 ICP</t>
  </si>
  <si>
    <t>C0017538</t>
  </si>
  <si>
    <t>102W-312 - Line Ext. Armstrong Lake</t>
  </si>
  <si>
    <t>Capital Projects Group - Transmission</t>
  </si>
  <si>
    <t>C0010949</t>
  </si>
  <si>
    <t>T - 2019/2020 Steel Tower Life Ext</t>
  </si>
  <si>
    <t>C0015359</t>
  </si>
  <si>
    <t>104S-313 Line Extension Replacement</t>
  </si>
  <si>
    <t>C0011300</t>
  </si>
  <si>
    <t>T-L7005 -Replacements and Upgrades</t>
  </si>
  <si>
    <t>C0021622</t>
  </si>
  <si>
    <t>103H-434 Protection Upgrades</t>
  </si>
  <si>
    <t>C0010950</t>
  </si>
  <si>
    <t>T - 2019/2020 Steel Tower Refurb</t>
  </si>
  <si>
    <t>16831-D016-623</t>
  </si>
  <si>
    <t>New Customers - Services Unmetered</t>
  </si>
  <si>
    <t>D016-SERVICES UNMETERED-ROUTINE</t>
  </si>
  <si>
    <t>14863-D002-735</t>
  </si>
  <si>
    <t>Customer Primary Services - Coldbro</t>
  </si>
  <si>
    <t>14875-D005-758</t>
  </si>
  <si>
    <t>Sydney Reg. N. - Replace Deteriorat</t>
  </si>
  <si>
    <t>14985-D006-611</t>
  </si>
  <si>
    <t xml:space="preserve">REGULATORY  REPLACEMENTS - HALIFAX </t>
  </si>
  <si>
    <t>39930-D316</t>
  </si>
  <si>
    <t>Middle Cape to Irishvale Upgrade</t>
  </si>
  <si>
    <t>39643-D309</t>
  </si>
  <si>
    <t>West River Station Reliability</t>
  </si>
  <si>
    <t>40424-D325</t>
  </si>
  <si>
    <t>Highway Shift Pleasant St Yarmouth</t>
  </si>
  <si>
    <t>36942-T649</t>
  </si>
  <si>
    <t>1H-B62 Bus Replacement Water St U&amp;U</t>
  </si>
  <si>
    <t>40281-T668</t>
  </si>
  <si>
    <t>2011 Tx Line Insulator Replacement</t>
  </si>
  <si>
    <t>40220-D343</t>
  </si>
  <si>
    <t>2011 Halifax U/G Cable Replacement</t>
  </si>
  <si>
    <t>40263-D328</t>
  </si>
  <si>
    <t>24C-442 Targeted Replacements</t>
  </si>
  <si>
    <t>36922-D352</t>
  </si>
  <si>
    <t>Dartmouth East New Feeder</t>
  </si>
  <si>
    <t>40903-D354</t>
  </si>
  <si>
    <t>Campbell Hill Road Rebuild</t>
  </si>
  <si>
    <t>40904-D363</t>
  </si>
  <si>
    <t>621V-Stepdown Conversion</t>
  </si>
  <si>
    <t>41357-D374</t>
  </si>
  <si>
    <t>Church St Line Relocation</t>
  </si>
  <si>
    <t>34602-D359</t>
  </si>
  <si>
    <t>25 kV Feeder Extension Bissett Road</t>
  </si>
  <si>
    <t>38847-D367</t>
  </si>
  <si>
    <t>Distribution Feeder Ties</t>
  </si>
  <si>
    <t>40270-T672</t>
  </si>
  <si>
    <t>Upgrade 69 kV Circuit to Bridge Ave</t>
  </si>
  <si>
    <t>41537-T706</t>
  </si>
  <si>
    <t>Amherst 138kV Substation</t>
  </si>
  <si>
    <t>39627-T693</t>
  </si>
  <si>
    <t>Digby Wind Project Trans Line</t>
  </si>
  <si>
    <t>41674-D384</t>
  </si>
  <si>
    <t>15N -203 Truro Rebuild</t>
  </si>
  <si>
    <t>41672-D388</t>
  </si>
  <si>
    <t>Morris St/Water St Underground U&amp;U</t>
  </si>
  <si>
    <t>40211-D348</t>
  </si>
  <si>
    <t>2011 3H/6H Replacement Program</t>
  </si>
  <si>
    <t>38027-T700</t>
  </si>
  <si>
    <t>2010 Trans Switch &amp; Breaker Upgrade</t>
  </si>
  <si>
    <t>42026-D396</t>
  </si>
  <si>
    <t>70V-311 - Port Lorne Rebuild</t>
  </si>
  <si>
    <t>42632-T719</t>
  </si>
  <si>
    <t>L5530A Upgrade</t>
  </si>
  <si>
    <t>42086-D406</t>
  </si>
  <si>
    <t>509V-301 Central Grove Rebuild</t>
  </si>
  <si>
    <t>41329-D400</t>
  </si>
  <si>
    <t>11W-202 Voltage Conversion to 12 kV</t>
  </si>
  <si>
    <t>42629-T718</t>
  </si>
  <si>
    <t>L5575 Upgrade</t>
  </si>
  <si>
    <t>39590-T725</t>
  </si>
  <si>
    <t>Upgrade L5547</t>
  </si>
  <si>
    <t>41540-D423</t>
  </si>
  <si>
    <t>99V Highbury Rd New Feeders</t>
  </si>
  <si>
    <t>41434-T737</t>
  </si>
  <si>
    <t>Purchase New 42 MVA Spare Transform</t>
  </si>
  <si>
    <t>41422-T736</t>
  </si>
  <si>
    <t>Onslow Spares Storage Upgrades</t>
  </si>
  <si>
    <t>43178-D458</t>
  </si>
  <si>
    <t>20H-302 - Sambro - Replacements U&amp;U</t>
  </si>
  <si>
    <t>40224-D456</t>
  </si>
  <si>
    <t>78W-301 Second Peninsula</t>
  </si>
  <si>
    <t>43260-T746</t>
  </si>
  <si>
    <t>2013 Trans Line Insulator Replace</t>
  </si>
  <si>
    <t>41346-D464</t>
  </si>
  <si>
    <t xml:space="preserve">82S-304 Whitney Pier Target Feeder </t>
  </si>
  <si>
    <t>44166-T764</t>
  </si>
  <si>
    <t>L6531 Upgrade</t>
  </si>
  <si>
    <t>43606-T759</t>
  </si>
  <si>
    <t>L5549 Upgrade</t>
  </si>
  <si>
    <t>44054-D483</t>
  </si>
  <si>
    <t>534S-212 Conversion</t>
  </si>
  <si>
    <t>44228-T767</t>
  </si>
  <si>
    <t>L5026 Upgrade  Pole &amp; Arm Replacmnt</t>
  </si>
  <si>
    <t>44206-T766</t>
  </si>
  <si>
    <t>L5535 Upgrade - Part Of T011</t>
  </si>
  <si>
    <t>44088-D484</t>
  </si>
  <si>
    <t>88W-312 BUNKER ISLAND LINE REMOVAL</t>
  </si>
  <si>
    <t>43219-D490</t>
  </si>
  <si>
    <t>93V-311 Saulnierville Recon Ph 2</t>
  </si>
  <si>
    <t>43189-D494</t>
  </si>
  <si>
    <t>2013 Downline Recloser Additions</t>
  </si>
  <si>
    <t>43488-T775</t>
  </si>
  <si>
    <t>7H Substation Retirement</t>
  </si>
  <si>
    <t>44227-D516</t>
  </si>
  <si>
    <t>113H Dartmouth East Contingency U&amp;U</t>
  </si>
  <si>
    <t>43291-T786</t>
  </si>
  <si>
    <t>67N-Onslow BPS Upgrades 230KV</t>
  </si>
  <si>
    <t>45736-D548</t>
  </si>
  <si>
    <t>East Unplanned Deteriorated Replace</t>
  </si>
  <si>
    <t>44973-T803</t>
  </si>
  <si>
    <t>2014 Subst Recloser Replacement</t>
  </si>
  <si>
    <t>44826-D562</t>
  </si>
  <si>
    <t>2014 Build-to-Roadside</t>
  </si>
  <si>
    <t>45953-D579</t>
  </si>
  <si>
    <t>93V-311- Little Brook - Reconductor</t>
  </si>
  <si>
    <t>46031-D584</t>
  </si>
  <si>
    <t>16V-315 Weymouth Add Regulators</t>
  </si>
  <si>
    <t>45959-D582</t>
  </si>
  <si>
    <t>629N-311 Hart Lake Pole Replacemen</t>
  </si>
  <si>
    <t>46030-D586</t>
  </si>
  <si>
    <t>640V Mill Village Stepdown Upgrade</t>
  </si>
  <si>
    <t>45033-T812</t>
  </si>
  <si>
    <t>L7001 Replacements</t>
  </si>
  <si>
    <t>44990-T796</t>
  </si>
  <si>
    <t>104S Switch Replacement &amp; Addition</t>
  </si>
  <si>
    <t>46619-D605</t>
  </si>
  <si>
    <t>514C Lochaber Substation Impr.</t>
  </si>
  <si>
    <t>46081-D589</t>
  </si>
  <si>
    <t>70V-312H Thorne Rd Deteriorated Pol</t>
  </si>
  <si>
    <t>45792-T810</t>
  </si>
  <si>
    <t>L5012 Upgrade</t>
  </si>
  <si>
    <t>46454-D599</t>
  </si>
  <si>
    <t>519W Molega Lake Stepdown Replacmnt</t>
  </si>
  <si>
    <t>46621-D612</t>
  </si>
  <si>
    <t>69V-211 - Bridgetown - Conversion</t>
  </si>
  <si>
    <t>46620-D606</t>
  </si>
  <si>
    <t>11S-411 Replace Hydraulic Reclosers</t>
  </si>
  <si>
    <t>46583-T826</t>
  </si>
  <si>
    <t>L6511 Upgrade</t>
  </si>
  <si>
    <t>45053-T818</t>
  </si>
  <si>
    <t>69Kv Structure Replacements West</t>
  </si>
  <si>
    <t>46335-T838</t>
  </si>
  <si>
    <t>L5511 Replacements</t>
  </si>
  <si>
    <t>46337-T840</t>
  </si>
  <si>
    <t>L6535/L6551 Insulator Replacements</t>
  </si>
  <si>
    <t>46356-T841</t>
  </si>
  <si>
    <t>2015 Sacrificial Anode Install Prog</t>
  </si>
  <si>
    <t>45031-D630</t>
  </si>
  <si>
    <t>3N Oxford Conversion Phase 1</t>
  </si>
  <si>
    <t>47223-D649</t>
  </si>
  <si>
    <t>1N-403/405 Meeting House Rd Rebuild</t>
  </si>
  <si>
    <t>47214-T845</t>
  </si>
  <si>
    <t>L5551 79W Lunenburg to 80W Indian P</t>
  </si>
  <si>
    <t>47218-T848</t>
  </si>
  <si>
    <t xml:space="preserve">L5563 2S VJ to 4STownsend St 					</t>
  </si>
  <si>
    <t>47122-D643</t>
  </si>
  <si>
    <t>533N Pictou Landing Conversion</t>
  </si>
  <si>
    <t>47221-T852</t>
  </si>
  <si>
    <t xml:space="preserve">L5015 Avon to Three Mile Plains				</t>
  </si>
  <si>
    <t>46593-D664</t>
  </si>
  <si>
    <t>70V Bridgetown Voltage Conversion</t>
  </si>
  <si>
    <t>47124-D635</t>
  </si>
  <si>
    <t>Advanced Meter Infrastructure</t>
  </si>
  <si>
    <t>47721-D670</t>
  </si>
  <si>
    <t>2016 PCB Phase-out for Pole Top Tx</t>
  </si>
  <si>
    <t>46333-T864</t>
  </si>
  <si>
    <t>L6538 Replacements</t>
  </si>
  <si>
    <t>46618-D679</t>
  </si>
  <si>
    <t>555W-301 Waterloo Overloaded Reclos</t>
  </si>
  <si>
    <t>48194-T868</t>
  </si>
  <si>
    <t>88S-713 Replacement</t>
  </si>
  <si>
    <t>47958-D681</t>
  </si>
  <si>
    <t>538W-311 - Back Cornwall Rebuild</t>
  </si>
  <si>
    <t>48610-D728</t>
  </si>
  <si>
    <t>16N-301 Stewiacke - Load Transfer</t>
  </si>
  <si>
    <t>44981-T871</t>
  </si>
  <si>
    <t>2C Port Hastings Tx Replacement</t>
  </si>
  <si>
    <t>48440-D713</t>
  </si>
  <si>
    <t>Upgrade R324-122 and R3A03781</t>
  </si>
  <si>
    <t>48152-D692</t>
  </si>
  <si>
    <t>20H-Spryfield Voltage Conversion Ph</t>
  </si>
  <si>
    <t>48593-T895</t>
  </si>
  <si>
    <t>L5016 Replacements and Upgrades</t>
  </si>
  <si>
    <t>49508-D750</t>
  </si>
  <si>
    <t>67C-412 Seaside Comm Wireless Tower</t>
  </si>
  <si>
    <t>48071-D736</t>
  </si>
  <si>
    <t>2016 Manhole Cover Replacement</t>
  </si>
  <si>
    <t>49216-D748</t>
  </si>
  <si>
    <t>Kentville URD Replacement 2016</t>
  </si>
  <si>
    <t>48195-D762</t>
  </si>
  <si>
    <t>Halifax 4kV Conversion Ph 3</t>
  </si>
  <si>
    <t>49113-D741</t>
  </si>
  <si>
    <t xml:space="preserve">12V-303G - Clementsport Rd Rebuild </t>
  </si>
  <si>
    <t>50316-D776</t>
  </si>
  <si>
    <t>Oct 10, 2016 Level 3 Storm Response</t>
  </si>
  <si>
    <t>50612-D797</t>
  </si>
  <si>
    <t>22W-312G Targeted Device Replacemen</t>
  </si>
  <si>
    <t>49775-T927</t>
  </si>
  <si>
    <t>L5004 Replacements and Upgrades</t>
  </si>
  <si>
    <t>49791-D783</t>
  </si>
  <si>
    <t>3N Oxford Conversion Phase 3</t>
  </si>
  <si>
    <t>49836-D787</t>
  </si>
  <si>
    <t xml:space="preserve">11S-302 11S-401 Rebuild Coxheath </t>
  </si>
  <si>
    <t>49818-T923</t>
  </si>
  <si>
    <t>2017/2018 Tx Switch &amp; Breaker Rplmt</t>
  </si>
  <si>
    <t>49821-T940</t>
  </si>
  <si>
    <t>Mersey River Hydro Spare Transformr</t>
  </si>
  <si>
    <t>50714-D805</t>
  </si>
  <si>
    <t xml:space="preserve">102W-311G Surette Cross Rd Rebuild </t>
  </si>
  <si>
    <t>49814-T948</t>
  </si>
  <si>
    <t>2017 Steel Tower Life Extension</t>
  </si>
  <si>
    <t>47769-D826</t>
  </si>
  <si>
    <t>509V-301 Overcove Rd Rebuild</t>
  </si>
  <si>
    <t>49948-T960</t>
  </si>
  <si>
    <t>2017/2018 Isolated Structure Replac</t>
  </si>
  <si>
    <t>50719-D816</t>
  </si>
  <si>
    <t>7N-301G-Ferry Rd - Phase Extension</t>
  </si>
  <si>
    <t>51482-D852</t>
  </si>
  <si>
    <t>67C-411H Mabou Harbor Crossing Reb.</t>
  </si>
  <si>
    <t>52014-D880</t>
  </si>
  <si>
    <t>85S-402 Line Removal &amp; Reconfigurat</t>
  </si>
  <si>
    <t>48441-D856</t>
  </si>
  <si>
    <t>23W-301 Clyde River Line Relocation</t>
  </si>
  <si>
    <t>51935-T976</t>
  </si>
  <si>
    <t>L-5555 2017R Replacements and Upg.</t>
  </si>
  <si>
    <t>52221</t>
  </si>
  <si>
    <t>515S-311-Rebuild on Aliant poles</t>
  </si>
  <si>
    <t>C0003979</t>
  </si>
  <si>
    <t>2018 Vault Upgrade</t>
  </si>
  <si>
    <t>C0005283</t>
  </si>
  <si>
    <t>D-57W-401 D417-010 Upgrade</t>
  </si>
  <si>
    <t>C0007538</t>
  </si>
  <si>
    <t>87S-GT3 Pipe Replacements</t>
  </si>
  <si>
    <t>52059</t>
  </si>
  <si>
    <t>L5039 - 2018 Replacements and Upgr</t>
  </si>
  <si>
    <t>49788</t>
  </si>
  <si>
    <t>L5564 Replacements and Upgrades</t>
  </si>
  <si>
    <t>51499</t>
  </si>
  <si>
    <t>2018 Downline Recloser Replacements</t>
  </si>
  <si>
    <t>C0010698</t>
  </si>
  <si>
    <t>D-85S-401 Cabot Trail Widening</t>
  </si>
  <si>
    <t>C0014620</t>
  </si>
  <si>
    <t>D-1C-411 MacSween Street Pole Reloc</t>
  </si>
  <si>
    <t>C0015479</t>
  </si>
  <si>
    <t>Jan 20 2019 Level 3 Storm Dx</t>
  </si>
  <si>
    <t>C0017198</t>
  </si>
  <si>
    <t>2019 Transmission LiDAR</t>
  </si>
  <si>
    <t>C0015545</t>
  </si>
  <si>
    <t>D-1H, 2H and 104H Inline Switches R</t>
  </si>
  <si>
    <t>C0018561</t>
  </si>
  <si>
    <t>85S-401- Cape Smokey TIR</t>
  </si>
  <si>
    <t>C0023263</t>
  </si>
  <si>
    <t>Oct 17, 2019 L3 Storm -Distribution</t>
  </si>
  <si>
    <t>C0023982</t>
  </si>
  <si>
    <t>58C-SW Margaree Feeder Exit</t>
  </si>
  <si>
    <t>CONV-D003-623</t>
  </si>
  <si>
    <t>D003 Add.new Cust.routine</t>
  </si>
  <si>
    <t>D003 ADD.NEW CUST.ROUTINE</t>
  </si>
  <si>
    <t>CONV-D008-628</t>
  </si>
  <si>
    <t>D008-Storm Costs Routine</t>
  </si>
  <si>
    <t>26715-D002-800</t>
  </si>
  <si>
    <t>New Primary Services</t>
  </si>
  <si>
    <t>39270-D339</t>
  </si>
  <si>
    <t>2011 Dist. Cutout Replacements</t>
  </si>
  <si>
    <t>40430-T648</t>
  </si>
  <si>
    <t>PH Biomass Tx Interconnection</t>
  </si>
  <si>
    <t>40723-T656</t>
  </si>
  <si>
    <t>L6536 Upgrade</t>
  </si>
  <si>
    <t>34622-T670</t>
  </si>
  <si>
    <t>Upgrade L-8002</t>
  </si>
  <si>
    <t>40285-T677</t>
  </si>
  <si>
    <t>2011 Trans Subst Insulator &amp; Cutout</t>
  </si>
  <si>
    <t>38024-D361</t>
  </si>
  <si>
    <t>2010 Dist. Cutout Replacements</t>
  </si>
  <si>
    <t>40307-T673</t>
  </si>
  <si>
    <t>L6033 and L6035 Transmission Tower</t>
  </si>
  <si>
    <t>40231-T688</t>
  </si>
  <si>
    <t>2011 Protection Upgrades LAK</t>
  </si>
  <si>
    <t>41601-D376</t>
  </si>
  <si>
    <t>686H - Lawerencetown Stepdown</t>
  </si>
  <si>
    <t>41668-D380</t>
  </si>
  <si>
    <t>Little River/Skir Dhu Hwy Shift</t>
  </si>
  <si>
    <t>41204-D373</t>
  </si>
  <si>
    <t xml:space="preserve">20H-305 Rebuild </t>
  </si>
  <si>
    <t>41723-D387</t>
  </si>
  <si>
    <t>85S-401 South Smokey Rebuild</t>
  </si>
  <si>
    <t>41392-D395</t>
  </si>
  <si>
    <t>2012 Distribution Cutout Replacemen</t>
  </si>
  <si>
    <t>41328-D399</t>
  </si>
  <si>
    <t>103W-312 Targeted Feeder Replacemen</t>
  </si>
  <si>
    <t>41340-D411</t>
  </si>
  <si>
    <t>5N-301 Targeted Feeder Replacement</t>
  </si>
  <si>
    <t>41426-T733</t>
  </si>
  <si>
    <t>2012 Transmission Switch &amp; Breaker</t>
  </si>
  <si>
    <t>42128-D414</t>
  </si>
  <si>
    <t>87H-313 Clam Harbour Phase Addition</t>
  </si>
  <si>
    <t>25575-D426</t>
  </si>
  <si>
    <t>Reliability Keltic Drive New Feeder</t>
  </si>
  <si>
    <t>42633-T720</t>
  </si>
  <si>
    <t>L6005B Upgrade</t>
  </si>
  <si>
    <t>41384-D421</t>
  </si>
  <si>
    <t>2012 Feeder Exit Cable Replacement</t>
  </si>
  <si>
    <t>42758-T734</t>
  </si>
  <si>
    <t>9W Tusket B52 Structure Replacement</t>
  </si>
  <si>
    <t>43187-T742</t>
  </si>
  <si>
    <t>U&amp;U L8002 Tower Refurbishment</t>
  </si>
  <si>
    <t>40320-D454</t>
  </si>
  <si>
    <t xml:space="preserve">LED Street Light Conversion </t>
  </si>
  <si>
    <t>LED Streetlights</t>
  </si>
  <si>
    <t>43351-T743</t>
  </si>
  <si>
    <t>L5535 Upgrade</t>
  </si>
  <si>
    <t>T001-TRANSMISSION LINE REPLACEMENTS</t>
  </si>
  <si>
    <t>41363-D471</t>
  </si>
  <si>
    <t>88W New Feeder</t>
  </si>
  <si>
    <t>43185-D460</t>
  </si>
  <si>
    <t>U&amp;U 22V-323G Prospect Rd ICP</t>
  </si>
  <si>
    <t>43196-D461</t>
  </si>
  <si>
    <t>U&amp;U 4N-312 Tamagouche ICP</t>
  </si>
  <si>
    <t>43323-T756</t>
  </si>
  <si>
    <t>Tuft's Cove Line Swap</t>
  </si>
  <si>
    <t>43226-T762</t>
  </si>
  <si>
    <t>2013 Trans Switch &amp; Breaker Replace</t>
  </si>
  <si>
    <t>44052-D481</t>
  </si>
  <si>
    <t>1N-404 Back Road Deteriorated Poles</t>
  </si>
  <si>
    <t>44346-D501</t>
  </si>
  <si>
    <t>545W-311 Dagley Road - Rebuild</t>
  </si>
  <si>
    <t>43195-D476</t>
  </si>
  <si>
    <t>2013 Remote Communication on Reclos</t>
  </si>
  <si>
    <t>43369-T783</t>
  </si>
  <si>
    <t>New Mobile Transformer 15MVA</t>
  </si>
  <si>
    <t>44832-D543</t>
  </si>
  <si>
    <t>73W-411G East Dalhousie Load Shift</t>
  </si>
  <si>
    <t>44975-T806</t>
  </si>
  <si>
    <t>Sacrificial Anode Installation Ph 1</t>
  </si>
  <si>
    <t>45739-D558</t>
  </si>
  <si>
    <t>2014 Padmount Transformer Replace</t>
  </si>
  <si>
    <t>43205-T808</t>
  </si>
  <si>
    <t>L5510 Insulator Replacements</t>
  </si>
  <si>
    <t>44985-T807</t>
  </si>
  <si>
    <t>Replace 230kV Kearney Disconnect Sw</t>
  </si>
  <si>
    <t>45880-D578</t>
  </si>
  <si>
    <t>Livingston Cove Rebuild</t>
  </si>
  <si>
    <t>45651-T792</t>
  </si>
  <si>
    <t>L8004 Upgrade</t>
  </si>
  <si>
    <t>45690-D594</t>
  </si>
  <si>
    <t>647N-312 West Linden Rd Reconductor</t>
  </si>
  <si>
    <t>46196-D597</t>
  </si>
  <si>
    <t>U&amp;U 92H-332 Hubley Load Growth</t>
  </si>
  <si>
    <t>46458-D610</t>
  </si>
  <si>
    <t>16N-302 Stewiacke Reconductor</t>
  </si>
  <si>
    <t>46872-T829</t>
  </si>
  <si>
    <t>L6518 Replacement</t>
  </si>
  <si>
    <t>46292-D625</t>
  </si>
  <si>
    <t>2015 Padmount Replacement Program</t>
  </si>
  <si>
    <t>46576-D627</t>
  </si>
  <si>
    <t>2015 PCB Phase-out for Pole Top Tx</t>
  </si>
  <si>
    <t>47216-D641</t>
  </si>
  <si>
    <t>670N-Crowes Mills Overloaded Stepdo</t>
  </si>
  <si>
    <t>47312-D647</t>
  </si>
  <si>
    <t xml:space="preserve">11S-305 4S-333 Membertou Overload		</t>
  </si>
  <si>
    <t>46736-D613</t>
  </si>
  <si>
    <t>Distribution Bulk Pole Purchase</t>
  </si>
  <si>
    <t>47294-D657</t>
  </si>
  <si>
    <t xml:space="preserve">16V-315 New Edinburgh Rd </t>
  </si>
  <si>
    <t>46587-T856</t>
  </si>
  <si>
    <t>Metro Voltage Support Add Capacitor</t>
  </si>
  <si>
    <t>47399-D658</t>
  </si>
  <si>
    <t>65V-302H - Bloomington Rd Reconduct</t>
  </si>
  <si>
    <t>43234-D671</t>
  </si>
  <si>
    <t>104S-313 Baddeck Re-build</t>
  </si>
  <si>
    <t>43490-T860</t>
  </si>
  <si>
    <t>Steel Tower Life Ext - Hali Harbour</t>
  </si>
  <si>
    <t>46362-T843</t>
  </si>
  <si>
    <t>L5560 Reconductor</t>
  </si>
  <si>
    <t>48062-T878</t>
  </si>
  <si>
    <t>2016 Reactor Breaker Replacements</t>
  </si>
  <si>
    <t>48066-T880</t>
  </si>
  <si>
    <t>2016 PCB Removal - Substation</t>
  </si>
  <si>
    <t>47935-T875</t>
  </si>
  <si>
    <t>L5040 Replacements</t>
  </si>
  <si>
    <t>48432-D696</t>
  </si>
  <si>
    <t>16W-301 Rodney Road Rebuild</t>
  </si>
  <si>
    <t>47752-D701</t>
  </si>
  <si>
    <t>4S-333 Bentinck St. Rebuild</t>
  </si>
  <si>
    <t>47756-D703</t>
  </si>
  <si>
    <t>36V-303 Reconductor Middle Dyke Rd</t>
  </si>
  <si>
    <t>49133-D742</t>
  </si>
  <si>
    <t>4S-324 Hwy Relocation at Cow Bay Rd</t>
  </si>
  <si>
    <t>49173-D743</t>
  </si>
  <si>
    <t xml:space="preserve">11S-411 11S-302 Re-Build Coxheath </t>
  </si>
  <si>
    <t>48599-T899</t>
  </si>
  <si>
    <t>L5054 Replacements and Upgrades</t>
  </si>
  <si>
    <t>49041-D738</t>
  </si>
  <si>
    <t>16W-301 Sandford Reconductor</t>
  </si>
  <si>
    <t>49191-D747</t>
  </si>
  <si>
    <t>16V-314H St Bernard’s 3ph Extension</t>
  </si>
  <si>
    <t>49271-D752</t>
  </si>
  <si>
    <t>505V-201 Weymouth Conversion</t>
  </si>
  <si>
    <t>49378-T916</t>
  </si>
  <si>
    <t>L6517 Replacements and Upgrades</t>
  </si>
  <si>
    <t>43218-D757</t>
  </si>
  <si>
    <t>88W-323A Tusket Islands Phase 3</t>
  </si>
  <si>
    <t>50032-D770</t>
  </si>
  <si>
    <t>Route 4 Highway Shift St. Peters</t>
  </si>
  <si>
    <t>49376-T915</t>
  </si>
  <si>
    <t>L6011 Replacements and Upgrades</t>
  </si>
  <si>
    <t>47786-D777</t>
  </si>
  <si>
    <t>129H Kearney Lake Load Transfer</t>
  </si>
  <si>
    <t>50653-D801</t>
  </si>
  <si>
    <t>530N Thorburn Upgrade</t>
  </si>
  <si>
    <t>50720-D809</t>
  </si>
  <si>
    <t>641V-311G-Indian Rd-Rebuild</t>
  </si>
  <si>
    <t>50932-D837</t>
  </si>
  <si>
    <t>Feb 12, 2017 Level 3 Storm Response</t>
  </si>
  <si>
    <t>49899-D840</t>
  </si>
  <si>
    <t>10H Halifax 4kV Conversion Year 4</t>
  </si>
  <si>
    <t>49795-T941</t>
  </si>
  <si>
    <t>100C Cape Porcupine Switch Addition</t>
  </si>
  <si>
    <t>49776-T933</t>
  </si>
  <si>
    <t>L7008 Replacements and Upgrades</t>
  </si>
  <si>
    <t>49793-T946</t>
  </si>
  <si>
    <t>L7011 Replacements and Upgrades</t>
  </si>
  <si>
    <t>50733-D810</t>
  </si>
  <si>
    <t>70V-311 Arlington Road Reconductor</t>
  </si>
  <si>
    <t>49862-D846</t>
  </si>
  <si>
    <t>50N-410 Rebuild Trenton</t>
  </si>
  <si>
    <t>51291-D844</t>
  </si>
  <si>
    <t>657V-211-Maxwell Place Padmount Rep</t>
  </si>
  <si>
    <t>47734-D775</t>
  </si>
  <si>
    <t>1C-411 Highway 4 Reconductor</t>
  </si>
  <si>
    <t>51696-T964</t>
  </si>
  <si>
    <t>L7015 Replacements and Upgrades</t>
  </si>
  <si>
    <t>C0002182</t>
  </si>
  <si>
    <t>92H-332 Sheldrake Lake Conversion</t>
  </si>
  <si>
    <t>52271</t>
  </si>
  <si>
    <t>D-2018 Padmount Replacement</t>
  </si>
  <si>
    <t>C0002898</t>
  </si>
  <si>
    <t>Little Narrow Underwater Cable Repl</t>
  </si>
  <si>
    <t>52305</t>
  </si>
  <si>
    <t>2018 Substation Insulator Replc</t>
  </si>
  <si>
    <t>C0005761</t>
  </si>
  <si>
    <t>D-67C-411H Reconductor Ceilidh Trai</t>
  </si>
  <si>
    <t>52206</t>
  </si>
  <si>
    <t>D-20V-311 Bishop Ville Rd Reconduct</t>
  </si>
  <si>
    <t>C0003804</t>
  </si>
  <si>
    <t>510W-211 Crescent Beach Rebuild</t>
  </si>
  <si>
    <t>C0004598</t>
  </si>
  <si>
    <t>20N-201 Charles St &amp; Academy St</t>
  </si>
  <si>
    <t>52306</t>
  </si>
  <si>
    <t>D-5N-301 - Masstown Road Rebuild Ph</t>
  </si>
  <si>
    <t>49783</t>
  </si>
  <si>
    <t>L5027A Replacements and Upgrades</t>
  </si>
  <si>
    <t>C0003958</t>
  </si>
  <si>
    <t>D-2018 Manhole Cover Replacement</t>
  </si>
  <si>
    <t>51402-T969</t>
  </si>
  <si>
    <t>2018/2019 Sacrificial Anode Install</t>
  </si>
  <si>
    <t>C0007779</t>
  </si>
  <si>
    <t>D-541C 542C Overloaded Stepdown Why</t>
  </si>
  <si>
    <t>C0005958</t>
  </si>
  <si>
    <t>D-50-410GAA Arbuckle Road Rebuild</t>
  </si>
  <si>
    <t>C0005040</t>
  </si>
  <si>
    <t>T-2V-T41 Refurb and Support Str Rep</t>
  </si>
  <si>
    <t>52320</t>
  </si>
  <si>
    <t>L6549 2018 Replacements &amp; Upgrades</t>
  </si>
  <si>
    <t>52194</t>
  </si>
  <si>
    <t>D-6S-223-Harold Street Conversion</t>
  </si>
  <si>
    <t>C0014320</t>
  </si>
  <si>
    <t>Nov 28, 2018 L3 Storm -Transmission</t>
  </si>
  <si>
    <t>C0013299</t>
  </si>
  <si>
    <t>D-102W-312 Tour Des Buttes Way Rebu</t>
  </si>
  <si>
    <t>C0015641</t>
  </si>
  <si>
    <t>Jan 24 2019 L3 Storm Distribution</t>
  </si>
  <si>
    <t>C0011209</t>
  </si>
  <si>
    <t>D-85S-401 Cabot Trail Rebuild</t>
  </si>
  <si>
    <t>C0018058</t>
  </si>
  <si>
    <t>36V-302G Ross Creek Rd Repole</t>
  </si>
  <si>
    <t>C0022323</t>
  </si>
  <si>
    <t>Sep 2019 Hurricane Dorian - Distrib</t>
  </si>
  <si>
    <t>C0011851</t>
  </si>
  <si>
    <t xml:space="preserve">T - 2019 Tap Changer Replacement </t>
  </si>
  <si>
    <t>C0014040</t>
  </si>
  <si>
    <t>89S-ST1-Neutral Grounding Resistor</t>
  </si>
  <si>
    <t>C0021105</t>
  </si>
  <si>
    <t>L7002 Replacements and Upgrades PH1</t>
  </si>
  <si>
    <t>C0006938</t>
  </si>
  <si>
    <t xml:space="preserve">D-50W-412GA Mill Village Build </t>
  </si>
  <si>
    <t>16835-D021-623</t>
  </si>
  <si>
    <t>New Customers -Primary Line Ext CEN</t>
  </si>
  <si>
    <t>26719-D021-800</t>
  </si>
  <si>
    <t>New Customers -Line Extensions PROV</t>
  </si>
  <si>
    <t>CONV-D004-743</t>
  </si>
  <si>
    <t>38818-T637</t>
  </si>
  <si>
    <t>Valley Protection Upgrades</t>
  </si>
  <si>
    <t>16125-D004-619</t>
  </si>
  <si>
    <t>ST. MARG. DEPOT- NEW CUST. REPLACEM</t>
  </si>
  <si>
    <t>26717-D016-800</t>
  </si>
  <si>
    <t>New Cust Unmetered Serv PROV</t>
  </si>
  <si>
    <t>34262-T599</t>
  </si>
  <si>
    <t>Amherst Wind Farm</t>
  </si>
  <si>
    <t>38732-T650</t>
  </si>
  <si>
    <t>1H Water St Replace 138 kV GIS</t>
  </si>
  <si>
    <t>40185-T653</t>
  </si>
  <si>
    <t>104H-T61 Transformer Refurbishment</t>
  </si>
  <si>
    <t>40662-D344</t>
  </si>
  <si>
    <t>2011 Padmount Replacement Program</t>
  </si>
  <si>
    <t>40762-D351</t>
  </si>
  <si>
    <t>Port Felix to Whitehead Part 2</t>
  </si>
  <si>
    <t>40287-T654</t>
  </si>
  <si>
    <t>Substation Recloser Replacement</t>
  </si>
  <si>
    <t>40663-D346</t>
  </si>
  <si>
    <t>1C-411 Port Hawkesbury Deter. Plant</t>
  </si>
  <si>
    <t>40300-D334</t>
  </si>
  <si>
    <t>104H-432 Targeted Replacements</t>
  </si>
  <si>
    <t>40385-D368</t>
  </si>
  <si>
    <t>88W-323G Pinkney's Point</t>
  </si>
  <si>
    <t>43672-T779</t>
  </si>
  <si>
    <t>82V-T1 Transformer Rewind</t>
  </si>
  <si>
    <t>39628-T694</t>
  </si>
  <si>
    <t xml:space="preserve">Digby Wind  Project Interconnect </t>
  </si>
  <si>
    <t>41803-D385</t>
  </si>
  <si>
    <t>36V-302 Blomidon Deteriorated Poles</t>
  </si>
  <si>
    <t>40868-T698</t>
  </si>
  <si>
    <t>64V-T1 Transformer Replacement</t>
  </si>
  <si>
    <t>40317-T703</t>
  </si>
  <si>
    <t>1H Transformer &amp; Breaker Addition</t>
  </si>
  <si>
    <t>41683-D381</t>
  </si>
  <si>
    <t>20H-302 Cowie Hill Conversion</t>
  </si>
  <si>
    <t>41337-D409</t>
  </si>
  <si>
    <t>1N-405 Targeted Feeder Replacement</t>
  </si>
  <si>
    <t>42067-D398</t>
  </si>
  <si>
    <t>16V-315 Lewiston Rd Reconductor</t>
  </si>
  <si>
    <t>41429-T730</t>
  </si>
  <si>
    <t>2012 Subst PCB Equipment Removal</t>
  </si>
  <si>
    <t>41550-T704</t>
  </si>
  <si>
    <t>Spare 30MVA 69KV 25/12KV Trans.</t>
  </si>
  <si>
    <t>42066-D397</t>
  </si>
  <si>
    <t>85S-401 Insulator Replacement</t>
  </si>
  <si>
    <t>41397-D420</t>
  </si>
  <si>
    <t>2012 Padmount Switchgear Replacemen</t>
  </si>
  <si>
    <t>42788-D430</t>
  </si>
  <si>
    <t>63V-313 Palmer Rd. Reconductor</t>
  </si>
  <si>
    <t>41431-D431</t>
  </si>
  <si>
    <t>1C-411/22C-404 Transfer Scheme</t>
  </si>
  <si>
    <t>41360-D428</t>
  </si>
  <si>
    <t>82V-423 Hardwood Lands Replacement</t>
  </si>
  <si>
    <t>41589-T740</t>
  </si>
  <si>
    <t>22N-Church St Replace 25 kV Bus</t>
  </si>
  <si>
    <t>41535-T745</t>
  </si>
  <si>
    <t>2012 Steel Tower Painting</t>
  </si>
  <si>
    <t>41390-T744</t>
  </si>
  <si>
    <t>7V Methals Hydro Transformer Replac</t>
  </si>
  <si>
    <t>43197-D462</t>
  </si>
  <si>
    <t>U&amp;U 62N-413 Stellarton ICP</t>
  </si>
  <si>
    <t>43293-T755</t>
  </si>
  <si>
    <t>Brushy Hill Protect Upgrade (138KV)</t>
  </si>
  <si>
    <t>43222-T761</t>
  </si>
  <si>
    <t>2013 Subst. Insulator and Cut-Outs</t>
  </si>
  <si>
    <t>42634-T721</t>
  </si>
  <si>
    <t xml:space="preserve"> L7003 Upgrade</t>
  </si>
  <si>
    <t>43231-T758</t>
  </si>
  <si>
    <t>2013 Substation PCB Equip Removal</t>
  </si>
  <si>
    <t>43750-T760</t>
  </si>
  <si>
    <t>U&amp;U 22W Barrington Passage</t>
  </si>
  <si>
    <t>44092-T765</t>
  </si>
  <si>
    <t>91W Transformer Replacement</t>
  </si>
  <si>
    <t>44329-D500</t>
  </si>
  <si>
    <t>11S-302/303 Keltic Drive Removals</t>
  </si>
  <si>
    <t>44407-D508</t>
  </si>
  <si>
    <t>581N-301 Harmony Overloaded</t>
  </si>
  <si>
    <t>43551-D526</t>
  </si>
  <si>
    <t>56N-401 Pictou Rebuild &amp; Conversion</t>
  </si>
  <si>
    <t>44471-D514</t>
  </si>
  <si>
    <t xml:space="preserve">36V-302 Main Street Canning </t>
  </si>
  <si>
    <t>43683-T789</t>
  </si>
  <si>
    <t>South Canoe Wind Project Tx Line</t>
  </si>
  <si>
    <t>44749-D527</t>
  </si>
  <si>
    <t>509V-301 Tower and Crossing Replace</t>
  </si>
  <si>
    <t>43684-T790</t>
  </si>
  <si>
    <t>Interconection Substation South Can</t>
  </si>
  <si>
    <t>45735-D547</t>
  </si>
  <si>
    <t>Cent Unplanned Deteriorated Replace</t>
  </si>
  <si>
    <t>45583-D553</t>
  </si>
  <si>
    <t>682N -Greenfield Rd - Stepdown</t>
  </si>
  <si>
    <t>43177-D570</t>
  </si>
  <si>
    <t>103W-311 Gold River Reconductor Ph3</t>
  </si>
  <si>
    <t>45831-D563</t>
  </si>
  <si>
    <t>10C-212 Voltage Conversion</t>
  </si>
  <si>
    <t>45878-D576</t>
  </si>
  <si>
    <t>534N Duchess Avenue Overload</t>
  </si>
  <si>
    <t>45793-T811</t>
  </si>
  <si>
    <t>L5028 Upgrade 2014</t>
  </si>
  <si>
    <t>46213-D591</t>
  </si>
  <si>
    <t>MicMac Mall Vault Upgrades</t>
  </si>
  <si>
    <t>46738-D607</t>
  </si>
  <si>
    <t>Riverton COMFIT phases 1 &amp; 2</t>
  </si>
  <si>
    <t>46591-T828</t>
  </si>
  <si>
    <t>88S Lingan Replace 230kV GIS</t>
  </si>
  <si>
    <t>45550-D557</t>
  </si>
  <si>
    <t>Upgrade Port Hood Transfer Scheme</t>
  </si>
  <si>
    <t>46932-D620</t>
  </si>
  <si>
    <t>647N-312 Linden Road Reconductor</t>
  </si>
  <si>
    <t>46581-D622</t>
  </si>
  <si>
    <t>500N-301 Caribou Island Overload</t>
  </si>
  <si>
    <t>47071-D634</t>
  </si>
  <si>
    <t xml:space="preserve">99V-313 Olympic Ave- Add 2nd Phase </t>
  </si>
  <si>
    <t>47679-D667</t>
  </si>
  <si>
    <t>103C-311 Barren Road Reconductor</t>
  </si>
  <si>
    <t>46582-T842</t>
  </si>
  <si>
    <t>L5569 Upgrade</t>
  </si>
  <si>
    <t>47816-D678</t>
  </si>
  <si>
    <t>660V-201 Duncan Ave Rebuild</t>
  </si>
  <si>
    <t>48061-T884</t>
  </si>
  <si>
    <t>New Mobile Substation 7.5MVA</t>
  </si>
  <si>
    <t>43266-T887</t>
  </si>
  <si>
    <t>89S Point Aconi ST2 Replacement</t>
  </si>
  <si>
    <t>47791-D708</t>
  </si>
  <si>
    <t>103H Feeder Exit Cable Replacement</t>
  </si>
  <si>
    <t>48672-D717</t>
  </si>
  <si>
    <t>83V-301 Grand Pre - Reconductor</t>
  </si>
  <si>
    <t>47811-D718</t>
  </si>
  <si>
    <t>Padmount Switch Replacement</t>
  </si>
  <si>
    <t>48673-D721</t>
  </si>
  <si>
    <t>3S-307 Epoxy Arm Changeout Sydney M</t>
  </si>
  <si>
    <t>48731-D724</t>
  </si>
  <si>
    <t>4C-441 Church St River Crossing</t>
  </si>
  <si>
    <t>47754-D702</t>
  </si>
  <si>
    <t>63V-313 Ward Rd Reconductor</t>
  </si>
  <si>
    <t>48752-D725</t>
  </si>
  <si>
    <t xml:space="preserve">16N-302-Windham Hill-Deteriorated </t>
  </si>
  <si>
    <t>49253-T910</t>
  </si>
  <si>
    <t>U&amp;U 20V-T1 Transformer Replacement</t>
  </si>
  <si>
    <t>48598-T898</t>
  </si>
  <si>
    <t>L5530B Replacements and Upgrades</t>
  </si>
  <si>
    <t>48976-D732</t>
  </si>
  <si>
    <t>46W-301 Port Joli Rebuild</t>
  </si>
  <si>
    <t>48111-T905</t>
  </si>
  <si>
    <t xml:space="preserve">East Switch Upgrades 15S </t>
  </si>
  <si>
    <t>49052-T908</t>
  </si>
  <si>
    <t xml:space="preserve">L5506 Pictou Roundabout Line </t>
  </si>
  <si>
    <t>48604-T909</t>
  </si>
  <si>
    <t>L5538 Replacements and Upgrades</t>
  </si>
  <si>
    <t>49505-T920</t>
  </si>
  <si>
    <t>L5011 Line Relocation</t>
  </si>
  <si>
    <t>49531-D759</t>
  </si>
  <si>
    <t>Jan 29, 2016 Level 3 Storm Response</t>
  </si>
  <si>
    <t>49374-T913</t>
  </si>
  <si>
    <t>L6002 Replacements and Upgrades</t>
  </si>
  <si>
    <t>50671-D798</t>
  </si>
  <si>
    <t>627N-311-Spencer Point Rd-Pole Repl</t>
  </si>
  <si>
    <t>50692-D799</t>
  </si>
  <si>
    <t>2017 Padmount Switch Replacement</t>
  </si>
  <si>
    <t>49878-T937</t>
  </si>
  <si>
    <t>2017 Substation Insulator Replace</t>
  </si>
  <si>
    <t>49992-T938</t>
  </si>
  <si>
    <t>2017 Transmission ROW Widening</t>
  </si>
  <si>
    <t>50798-D815</t>
  </si>
  <si>
    <t>2017 Vault Upgrade</t>
  </si>
  <si>
    <t>50936-D820</t>
  </si>
  <si>
    <t>2017 Manhole Equipment Replacements</t>
  </si>
  <si>
    <t>51092-T947</t>
  </si>
  <si>
    <t>L5011 Replacements and Upgrades</t>
  </si>
  <si>
    <t>51232-D842</t>
  </si>
  <si>
    <t>East Clifford Line Extension 73W</t>
  </si>
  <si>
    <t>51231-D843</t>
  </si>
  <si>
    <t>Install Regulators Clare - 93V-312</t>
  </si>
  <si>
    <t>51697-D860</t>
  </si>
  <si>
    <t>2017 Pole-Top Transf. Animal Guard</t>
  </si>
  <si>
    <t>50576-D793</t>
  </si>
  <si>
    <t>73W-411GCA-Chesley Rd Repole</t>
  </si>
  <si>
    <t>51119-T954</t>
  </si>
  <si>
    <t>L5550 Replacements and Upgrades</t>
  </si>
  <si>
    <t>51491-D853</t>
  </si>
  <si>
    <t>622V-211 King St Replacements</t>
  </si>
  <si>
    <t>51492-D858</t>
  </si>
  <si>
    <t>87W-312G Tilley Point Rd Rebuild</t>
  </si>
  <si>
    <t>49778-T957</t>
  </si>
  <si>
    <t>L5535 Replacements and Upgrades</t>
  </si>
  <si>
    <t>51529-D879</t>
  </si>
  <si>
    <t xml:space="preserve">R371-041 Recloser Replacement </t>
  </si>
  <si>
    <t>51970-D878</t>
  </si>
  <si>
    <t>58C-405 Margaree Forks Rebuild</t>
  </si>
  <si>
    <t>51532-D868</t>
  </si>
  <si>
    <t>13V-303 Lake Lemerchant Rebuild</t>
  </si>
  <si>
    <t>51572</t>
  </si>
  <si>
    <t>Mount Hope Ave Mini Sub</t>
  </si>
  <si>
    <t>C0002678</t>
  </si>
  <si>
    <t xml:space="preserve">586C-311 Marble Mountain Road Line </t>
  </si>
  <si>
    <t>51956</t>
  </si>
  <si>
    <t xml:space="preserve">6P Mobile Substation Rewind </t>
  </si>
  <si>
    <t>C0003959</t>
  </si>
  <si>
    <t>D-2018 Manhole Equipment Replact</t>
  </si>
  <si>
    <t>C0003718</t>
  </si>
  <si>
    <t>36W-301G Sable River Br Crossing</t>
  </si>
  <si>
    <t>C0004638</t>
  </si>
  <si>
    <t>D-126H-312 Marine Dr PH2- Insul</t>
  </si>
  <si>
    <t>49371-T911</t>
  </si>
  <si>
    <t>L5039 Replacements and Upgrades</t>
  </si>
  <si>
    <t>51512</t>
  </si>
  <si>
    <t>D-89W-302G Crouses Settlement Phase</t>
  </si>
  <si>
    <t>C0005898</t>
  </si>
  <si>
    <t>D-709H-221 Lister Dr Replacements a</t>
  </si>
  <si>
    <t>C0007499</t>
  </si>
  <si>
    <t>D-70V-311HB-Port Lorne Rebuild</t>
  </si>
  <si>
    <t>49607</t>
  </si>
  <si>
    <t>D-100C-422G Reinsulate</t>
  </si>
  <si>
    <t>51406</t>
  </si>
  <si>
    <t>2018/2019 Transmission Switch &amp; Bre</t>
  </si>
  <si>
    <t>C0009018</t>
  </si>
  <si>
    <t>77V-302 Digby to Marshalltown Ph-2</t>
  </si>
  <si>
    <t>C0010040</t>
  </si>
  <si>
    <t>2019 New Distribution ROW Widening</t>
  </si>
  <si>
    <t>C0014158</t>
  </si>
  <si>
    <t>T-L5548 Emergency Repairs</t>
  </si>
  <si>
    <t>C0013418</t>
  </si>
  <si>
    <t>D - 545W-311 Italy Cross Stepdown</t>
  </si>
  <si>
    <t>C0010042</t>
  </si>
  <si>
    <t>2019 Transmission ROW Widening 69kV</t>
  </si>
  <si>
    <t>C0016018</t>
  </si>
  <si>
    <t>D-36W-304 Jordan Falls Line Upgrade</t>
  </si>
  <si>
    <t>C0016558</t>
  </si>
  <si>
    <t>August 29 2019 L3 Storm Distributio</t>
  </si>
  <si>
    <t>C0022342</t>
  </si>
  <si>
    <t>Sep 2019 Hurricane Dorian - Substai</t>
  </si>
  <si>
    <t>C0016058</t>
  </si>
  <si>
    <t>D-36V-303 North Aldershot Rd Recond</t>
  </si>
  <si>
    <t>L6515 Replacements and Upgrades</t>
  </si>
  <si>
    <t>25078-D016-752</t>
  </si>
  <si>
    <t>New Customers- Unmetered Services S</t>
  </si>
  <si>
    <t>25081-D017-752</t>
  </si>
  <si>
    <t>New Customers - Metered Services Fo</t>
  </si>
  <si>
    <t>14873-D005-756</t>
  </si>
  <si>
    <t>Sydney Reg. E. - Replace Deteriorat</t>
  </si>
  <si>
    <t>CONV-D004-811</t>
  </si>
  <si>
    <t>D004 NEW CUST REPLACE DoNotUse</t>
  </si>
  <si>
    <t>39789-D313</t>
  </si>
  <si>
    <t>Highway 10 Three Phase Conversion</t>
  </si>
  <si>
    <t>40546-D336</t>
  </si>
  <si>
    <t>Cheticamp Deteriorated Insulators</t>
  </si>
  <si>
    <t>40273-D338</t>
  </si>
  <si>
    <t>101H-411 Targeted Replacements</t>
  </si>
  <si>
    <t>40425-T647</t>
  </si>
  <si>
    <t>Kempt Road Transformer</t>
  </si>
  <si>
    <t>40203-D341</t>
  </si>
  <si>
    <t>Gold River Phase 1</t>
  </si>
  <si>
    <t>40788-T665</t>
  </si>
  <si>
    <t>L6538 Upgrade</t>
  </si>
  <si>
    <t>40291-D333</t>
  </si>
  <si>
    <t>2C-402 Targeted Replacements</t>
  </si>
  <si>
    <t>40726-T659</t>
  </si>
  <si>
    <t>L6513 Upgrade</t>
  </si>
  <si>
    <t>40983-D365</t>
  </si>
  <si>
    <t>70W-322 89W-301 Tie Line</t>
  </si>
  <si>
    <t>40545-D349</t>
  </si>
  <si>
    <t>2011 New Reliability Technologies</t>
  </si>
  <si>
    <t>40226-D366</t>
  </si>
  <si>
    <t>Sluice Pt PH 3 Addition 102W-312</t>
  </si>
  <si>
    <t>40260-T689</t>
  </si>
  <si>
    <t>L7012 Upgrades</t>
  </si>
  <si>
    <t>39272-D370</t>
  </si>
  <si>
    <t>2011 Distribution Feeder Ties</t>
  </si>
  <si>
    <t>40227-D356</t>
  </si>
  <si>
    <t>2011 Off Road to Roadside</t>
  </si>
  <si>
    <t>41033-D371</t>
  </si>
  <si>
    <t>Thistle Grove Subdivision Phase 1</t>
  </si>
  <si>
    <t>40323-T679</t>
  </si>
  <si>
    <t>Canaan Road Line Terminal</t>
  </si>
  <si>
    <t>40321-T687</t>
  </si>
  <si>
    <t>Canaan Rd to Highbury Trans Line</t>
  </si>
  <si>
    <t>40327-T695</t>
  </si>
  <si>
    <t xml:space="preserve">Glen Dhu 138 kV Substation </t>
  </si>
  <si>
    <t>41344-D404</t>
  </si>
  <si>
    <t>81S-305 Targeted Feeder Replacement</t>
  </si>
  <si>
    <t>42526-T711</t>
  </si>
  <si>
    <t>L6004 Replacements</t>
  </si>
  <si>
    <t>41326-D413</t>
  </si>
  <si>
    <t>103C-311 Targeted Feeder Replacemen</t>
  </si>
  <si>
    <t>42628-T717</t>
  </si>
  <si>
    <t>L5031 Upgrade</t>
  </si>
  <si>
    <t>41348-T726</t>
  </si>
  <si>
    <t>2012 Protection Upgrades Onslow</t>
  </si>
  <si>
    <t>41383-D418</t>
  </si>
  <si>
    <t>2012 Halifax UG Feeder Cable Replmt</t>
  </si>
  <si>
    <t>41432-T713</t>
  </si>
  <si>
    <t>L7009 Lidar Upgrades &amp; Maintenance</t>
  </si>
  <si>
    <t>42626-T715</t>
  </si>
  <si>
    <t>Upgrade L7009</t>
  </si>
  <si>
    <t>41353-D425</t>
  </si>
  <si>
    <t>2012 Downline Recloser Additions</t>
  </si>
  <si>
    <t>41797-D429</t>
  </si>
  <si>
    <t>Brier Island Crossing</t>
  </si>
  <si>
    <t>41339-D440</t>
  </si>
  <si>
    <t>2012 Distribution Feeder Ties</t>
  </si>
  <si>
    <t>42846-D439</t>
  </si>
  <si>
    <t>63V-313 Feeder Loading Improvement</t>
  </si>
  <si>
    <t>41351-D424</t>
  </si>
  <si>
    <t>2012 Distribution Automation</t>
  </si>
  <si>
    <t>41386-T735</t>
  </si>
  <si>
    <t>2012 Pole Retreatment</t>
  </si>
  <si>
    <t>41341-D427</t>
  </si>
  <si>
    <t>1H-Water Street New Feeder</t>
  </si>
  <si>
    <t>40386-D383</t>
  </si>
  <si>
    <t>Tusket Islands Phase 2</t>
  </si>
  <si>
    <t>41349-D442</t>
  </si>
  <si>
    <t>2012 Off Road To Roadside</t>
  </si>
  <si>
    <t>43106-D466</t>
  </si>
  <si>
    <t>U&amp;U 126H-311 Porter's Lake ICP</t>
  </si>
  <si>
    <t>43367-D453</t>
  </si>
  <si>
    <t>Ridgewood Phase 2</t>
  </si>
  <si>
    <t>43199-D463</t>
  </si>
  <si>
    <t>U&amp;U 82V-402 Elmsdale ICP</t>
  </si>
  <si>
    <t>43198-D477</t>
  </si>
  <si>
    <t>77V-302 - Conway - ICP</t>
  </si>
  <si>
    <t>44050-D479</t>
  </si>
  <si>
    <t>126H-311 Myra RD Phase Extension</t>
  </si>
  <si>
    <t>44127-D487</t>
  </si>
  <si>
    <t>542W-311 East Berlin - Line Move</t>
  </si>
  <si>
    <t>44327-D499</t>
  </si>
  <si>
    <t>77V-302 Beechwood Ln - Rebuild</t>
  </si>
  <si>
    <t>44529-D502</t>
  </si>
  <si>
    <t>IR 216 Granville Ferry</t>
  </si>
  <si>
    <t>43726-T778</t>
  </si>
  <si>
    <t>Replace 3N-T51 Transformer</t>
  </si>
  <si>
    <t>44630-D518</t>
  </si>
  <si>
    <t>93V-313 Mardigrass Rd. Pole Replace</t>
  </si>
  <si>
    <t>43487-T785</t>
  </si>
  <si>
    <t>Add Breaker Backup at 81V and 12V</t>
  </si>
  <si>
    <t>45412-D530</t>
  </si>
  <si>
    <t>Cabot Cliff Line Extension</t>
  </si>
  <si>
    <t>45652-D542</t>
  </si>
  <si>
    <t>517W-311 - New Canada - Stepdown</t>
  </si>
  <si>
    <t>43678-T800</t>
  </si>
  <si>
    <t>Separate L8004/L7005</t>
  </si>
  <si>
    <t>45870-D577</t>
  </si>
  <si>
    <t>102W-311 - Chemin De L'Est</t>
  </si>
  <si>
    <t>45819-D566</t>
  </si>
  <si>
    <t>Fourchu Overload</t>
  </si>
  <si>
    <t>44983-T809</t>
  </si>
  <si>
    <t>Reactor Bank Breaker Replacements</t>
  </si>
  <si>
    <t>46010-D583</t>
  </si>
  <si>
    <t>82V-402 637V Milford Stepdown</t>
  </si>
  <si>
    <t>46456-D592</t>
  </si>
  <si>
    <t>11W Yarmouth 4kV Conversion</t>
  </si>
  <si>
    <t>44977-T813</t>
  </si>
  <si>
    <t>3W Breaker, Switch &amp; Cable Rplacmen</t>
  </si>
  <si>
    <t>46416-D598</t>
  </si>
  <si>
    <t>16W-301 Ross Durkee Road Rebuild</t>
  </si>
  <si>
    <t>46832-D616</t>
  </si>
  <si>
    <t>Katja Rose Dr 2014</t>
  </si>
  <si>
    <t>46513-T827</t>
  </si>
  <si>
    <t>3C Port Hastings BPS Upgrade</t>
  </si>
  <si>
    <t>46339-T825</t>
  </si>
  <si>
    <t>120H Replace SVC Controls</t>
  </si>
  <si>
    <t>46933-D619</t>
  </si>
  <si>
    <t>6N-302 Rodney Road Reconductor</t>
  </si>
  <si>
    <t>46971-D624</t>
  </si>
  <si>
    <t>24C-443 Upgrade GUY Landfill</t>
  </si>
  <si>
    <t>46579-D621</t>
  </si>
  <si>
    <t>48W-204 Wolfe St Voltage Conversion</t>
  </si>
  <si>
    <t>47275-D653</t>
  </si>
  <si>
    <t xml:space="preserve">36V-302 Longspell Rd- Add 2 Phases </t>
  </si>
  <si>
    <t>46354-T839</t>
  </si>
  <si>
    <t>2015 Reactor Breaker Replacements</t>
  </si>
  <si>
    <t>43261-T831</t>
  </si>
  <si>
    <t>6V-GT1 Hollow Bridge Hydro Replace</t>
  </si>
  <si>
    <t>47431-D662</t>
  </si>
  <si>
    <t>666V-311-Castle Frederick Road - Re</t>
  </si>
  <si>
    <t>47293-D656</t>
  </si>
  <si>
    <t>22W-311 - Barrington Causeway to Ca</t>
  </si>
  <si>
    <t>47760-D691</t>
  </si>
  <si>
    <t>85S-402 Re-Insulate</t>
  </si>
  <si>
    <t>48093-D686</t>
  </si>
  <si>
    <t>2016 Padmount Replacement Program</t>
  </si>
  <si>
    <t>48493-D690</t>
  </si>
  <si>
    <t>581C Malignant Cove Voltage Reg</t>
  </si>
  <si>
    <t>48092-D685</t>
  </si>
  <si>
    <t>2016 Subs Recloser Replacement</t>
  </si>
  <si>
    <t>48832-D726</t>
  </si>
  <si>
    <t>Voltage Regulator Replacement East</t>
  </si>
  <si>
    <t>47784-D698</t>
  </si>
  <si>
    <t>103H-Lakeside Feeder Reconfiguratio</t>
  </si>
  <si>
    <t>46366-T854</t>
  </si>
  <si>
    <t>65V Middleton Substation RTU Add</t>
  </si>
  <si>
    <t>48671-D716</t>
  </si>
  <si>
    <t>19W-312 Dennis Point Wharf Reconduc</t>
  </si>
  <si>
    <t>48436-D710</t>
  </si>
  <si>
    <t>25W-301 Upper Clyde Rd Relocation</t>
  </si>
  <si>
    <t>48602-T901</t>
  </si>
  <si>
    <t>L5047 Replacements and Upgrades</t>
  </si>
  <si>
    <t>49379-T917</t>
  </si>
  <si>
    <t>L6527 Replacements and Upgrades</t>
  </si>
  <si>
    <t>49503-D755</t>
  </si>
  <si>
    <t>57C-426 Amos Gillis Road Rebuild</t>
  </si>
  <si>
    <t>49498-D754</t>
  </si>
  <si>
    <t>50N-410 / 50N-412 Reconfigure</t>
  </si>
  <si>
    <t>47774-D766</t>
  </si>
  <si>
    <t>546C-311 West Bay Upgrade</t>
  </si>
  <si>
    <t>49311-D758</t>
  </si>
  <si>
    <t>93V-312 Lower Saulnierville Conduct</t>
  </si>
  <si>
    <t>50715-D808</t>
  </si>
  <si>
    <t>108H-411 Simmonds Dr Pole Replc</t>
  </si>
  <si>
    <t>49918-D779</t>
  </si>
  <si>
    <t>54H-303 Underground Device Replacem</t>
  </si>
  <si>
    <t>51017-D833</t>
  </si>
  <si>
    <t>99V-312 North Kentville Phase Exten</t>
  </si>
  <si>
    <t>49922-T939</t>
  </si>
  <si>
    <t>Western Switching Upgrades</t>
  </si>
  <si>
    <t>50812-D839</t>
  </si>
  <si>
    <t>11S-301J Voltage Regulator Addition</t>
  </si>
  <si>
    <t>47915-T931</t>
  </si>
  <si>
    <t>L5053 Replacements and Upgrades</t>
  </si>
  <si>
    <t>49782-T958</t>
  </si>
  <si>
    <t>L5027B Replacements and Upgrades</t>
  </si>
  <si>
    <t>51498-D855</t>
  </si>
  <si>
    <t>553W-211 West Caledonia Rd Convers.</t>
  </si>
  <si>
    <t>41350-D782</t>
  </si>
  <si>
    <t>16W-301 Hebron Rebuild Phase 2</t>
  </si>
  <si>
    <t>49774-T956</t>
  </si>
  <si>
    <t>L5527 Replacements and Upgrades</t>
  </si>
  <si>
    <t>51519-D875</t>
  </si>
  <si>
    <t>15N-401/402 Willow Street Pole Repl</t>
  </si>
  <si>
    <t>51535-D866</t>
  </si>
  <si>
    <t>Kentville URD Replacement 2017</t>
  </si>
  <si>
    <t>51513-D874</t>
  </si>
  <si>
    <t>695H-311-Alan St-Stepdown Removal</t>
  </si>
  <si>
    <t>C0002679</t>
  </si>
  <si>
    <t>586C-311 Militia Point Road Line</t>
  </si>
  <si>
    <t>51527</t>
  </si>
  <si>
    <t xml:space="preserve">57S-401 Catalone New Downline </t>
  </si>
  <si>
    <t>51742-T966</t>
  </si>
  <si>
    <t>88S-302 Metal Clad Switchgear Repl.</t>
  </si>
  <si>
    <t>51797</t>
  </si>
  <si>
    <t>2018 Oil Containment Program</t>
  </si>
  <si>
    <t>C0004518</t>
  </si>
  <si>
    <t>December 25, 2017 Level 3 Storm</t>
  </si>
  <si>
    <t>51969</t>
  </si>
  <si>
    <t>2018 Transmission ROW Widening 69kV</t>
  </si>
  <si>
    <t>51403</t>
  </si>
  <si>
    <t>T-2018 PCB Removal Program</t>
  </si>
  <si>
    <t>49898</t>
  </si>
  <si>
    <t xml:space="preserve">D-15N-202 Victoria St-Rebuild </t>
  </si>
  <si>
    <t>C0005939</t>
  </si>
  <si>
    <t>D-522C-301 514C-312 Ashdale Reconfi</t>
  </si>
  <si>
    <t>C0007318</t>
  </si>
  <si>
    <t>D-85S-401GBA Cabot Trail Road shift</t>
  </si>
  <si>
    <t>51405</t>
  </si>
  <si>
    <t>2018 Wood Pole Retreatment Program</t>
  </si>
  <si>
    <t>C0007239</t>
  </si>
  <si>
    <t xml:space="preserve">D-513V-311 Dakin Park Rd Rebuild </t>
  </si>
  <si>
    <t>C0007502</t>
  </si>
  <si>
    <t>D-65V-302GA-Forest Glade Repole</t>
  </si>
  <si>
    <t>C0005740</t>
  </si>
  <si>
    <t>D-21W-312 Lower Woods Harbour Recon</t>
  </si>
  <si>
    <t>C0011243</t>
  </si>
  <si>
    <t>T-L5551 -Replacements and Upgrades</t>
  </si>
  <si>
    <t>49276-D774</t>
  </si>
  <si>
    <t>Moose River Gold Mine</t>
  </si>
  <si>
    <t>C0011207</t>
  </si>
  <si>
    <t>D-15N Feeder Exit Cable Replacement</t>
  </si>
  <si>
    <t>C0015761</t>
  </si>
  <si>
    <t>Cape Breton High Priority FI</t>
  </si>
  <si>
    <t>C0016938</t>
  </si>
  <si>
    <t>88W-322 -Move Line To Road -Arcadia</t>
  </si>
  <si>
    <t>C0015548</t>
  </si>
  <si>
    <t>Northeast Unplanned Deteriorated Re</t>
  </si>
  <si>
    <t>C0017498</t>
  </si>
  <si>
    <t xml:space="preserve">D-108H-412 Burnside New Pole Mount </t>
  </si>
  <si>
    <t>C0018299</t>
  </si>
  <si>
    <t>67C-411G - Holly's Hill re-Insulate</t>
  </si>
  <si>
    <t>C0020162</t>
  </si>
  <si>
    <t>Substation Replacement of Grounds</t>
  </si>
  <si>
    <t>C0018600</t>
  </si>
  <si>
    <t>648H-311 Logan Rd Rebuild</t>
  </si>
  <si>
    <t>C0020628</t>
  </si>
  <si>
    <t>L6055 - Hwy 107 Monopoles TIR</t>
  </si>
  <si>
    <t>C0024724</t>
  </si>
  <si>
    <t>Feb 6, 2020 L3 Storm Transmission</t>
  </si>
  <si>
    <t>18062-D003-752</t>
  </si>
  <si>
    <t>Sydney Region - New Customer Additi</t>
  </si>
  <si>
    <t>26718-D017-800</t>
  </si>
  <si>
    <t>New Customers - Metered Services</t>
  </si>
  <si>
    <t>11529-D002-611</t>
  </si>
  <si>
    <t>HALIFAX REGION - PRIMARY SERVICE RO</t>
  </si>
  <si>
    <t>14874-D005-757</t>
  </si>
  <si>
    <t>SYDNEY REG. W. - REPLACE DETERIORAT</t>
  </si>
  <si>
    <t>16113-D005-618</t>
  </si>
  <si>
    <t>Hfx Depot - Replace Det. Plant</t>
  </si>
  <si>
    <t>39929-D315</t>
  </si>
  <si>
    <t>East River Road Widening</t>
  </si>
  <si>
    <t>38915-D294</t>
  </si>
  <si>
    <t>Martins Brook Regulation Additions</t>
  </si>
  <si>
    <t>39644-D307</t>
  </si>
  <si>
    <t>Mill Village Teleglobe Line Removal</t>
  </si>
  <si>
    <t>39788-D312</t>
  </si>
  <si>
    <t>Highbury School Road - Part of D004</t>
  </si>
  <si>
    <t>40257-D323</t>
  </si>
  <si>
    <t>Spiddle Hill Wind Turbine</t>
  </si>
  <si>
    <t>38867-D321</t>
  </si>
  <si>
    <t>Replacement of 3H and 6H Reclosers</t>
  </si>
  <si>
    <t>40787-T664</t>
  </si>
  <si>
    <t>L5546 Upgrade</t>
  </si>
  <si>
    <t>40712-D345</t>
  </si>
  <si>
    <t>Winslow Drive Makeready</t>
  </si>
  <si>
    <t>40233-T662</t>
  </si>
  <si>
    <t>2011 Protection Upgrades TUC</t>
  </si>
  <si>
    <t>38022-D360</t>
  </si>
  <si>
    <t>2010 Recloser Additions</t>
  </si>
  <si>
    <t>40943-D357</t>
  </si>
  <si>
    <t>Brunello Estates</t>
  </si>
  <si>
    <t>38857-T685</t>
  </si>
  <si>
    <t>L7004 Deteriorated Replacements</t>
  </si>
  <si>
    <t>40322-T678</t>
  </si>
  <si>
    <t>Highbury Road Substation</t>
  </si>
  <si>
    <t>39626-T692</t>
  </si>
  <si>
    <t xml:space="preserve">Digby Wind Project Substation </t>
  </si>
  <si>
    <t>41647-D379</t>
  </si>
  <si>
    <t>Grande Anse Voltage Reg Replacement</t>
  </si>
  <si>
    <t>41623-D377</t>
  </si>
  <si>
    <t>22C Cleveland New Feeder</t>
  </si>
  <si>
    <t>41646-D378</t>
  </si>
  <si>
    <t>708H Columbus St Stepdown Conv</t>
  </si>
  <si>
    <t>42566-T714</t>
  </si>
  <si>
    <t>Upgrade L7001</t>
  </si>
  <si>
    <t>41393-D405</t>
  </si>
  <si>
    <t>2012 Automatic Sleeve Replacements</t>
  </si>
  <si>
    <t>41387-T710</t>
  </si>
  <si>
    <t>2012 Transmission Line Insulator Re</t>
  </si>
  <si>
    <t>42830-D433</t>
  </si>
  <si>
    <t>36V-302 Main St Canning Upgrade</t>
  </si>
  <si>
    <t>43117-D446</t>
  </si>
  <si>
    <t>Prince Street Phase 2</t>
  </si>
  <si>
    <t>42957-D443</t>
  </si>
  <si>
    <t>70W-313 Lehave River Reconductor P1</t>
  </si>
  <si>
    <t>41359-D437</t>
  </si>
  <si>
    <t>79V-402 Feeder Load Reduction</t>
  </si>
  <si>
    <t>42958-D444</t>
  </si>
  <si>
    <t>CBRM Abandoned Pole Removal</t>
  </si>
  <si>
    <t>41388-D438</t>
  </si>
  <si>
    <t>7H Beaufort Conversion</t>
  </si>
  <si>
    <t>41354-D441</t>
  </si>
  <si>
    <t>519N-201 Partial Conversion 25KV</t>
  </si>
  <si>
    <t>43352-D452</t>
  </si>
  <si>
    <t>92H-333 Hiking Trail Pole Replace</t>
  </si>
  <si>
    <t>43347-D455</t>
  </si>
  <si>
    <t>Eastern Voltage Regulator Replace</t>
  </si>
  <si>
    <t>41551-T748</t>
  </si>
  <si>
    <t>Glentosh Subst. Footing Remediation</t>
  </si>
  <si>
    <t>43255-D475</t>
  </si>
  <si>
    <t>2013 Distribution Cutout Replace</t>
  </si>
  <si>
    <t>43237-T763</t>
  </si>
  <si>
    <t>2013 Substation Recloser Replace</t>
  </si>
  <si>
    <t>44310-D492</t>
  </si>
  <si>
    <t xml:space="preserve">14C-211 Petit de Grat Rebuild Pt 2 </t>
  </si>
  <si>
    <t>44089-D485</t>
  </si>
  <si>
    <t>57C-426H Sherbrooke Pole Replace</t>
  </si>
  <si>
    <t>41358-D489</t>
  </si>
  <si>
    <t>624V-311 Scotch Village Ph 3</t>
  </si>
  <si>
    <t>44363-T774</t>
  </si>
  <si>
    <t>U&amp;U Replace 58H-T3 Transformer</t>
  </si>
  <si>
    <t>43282-D497</t>
  </si>
  <si>
    <t>2013 Distribution Feeder Ties</t>
  </si>
  <si>
    <t>43188-D493</t>
  </si>
  <si>
    <t>2013 Distribution Automation</t>
  </si>
  <si>
    <t>43286-D515</t>
  </si>
  <si>
    <t>6S Terrace St Conversion Phase 1</t>
  </si>
  <si>
    <t>43489-T773</t>
  </si>
  <si>
    <t>8H Substation Retirement</t>
  </si>
  <si>
    <t>44314-T769</t>
  </si>
  <si>
    <t>L5003 Upgrade</t>
  </si>
  <si>
    <t>43676-T795</t>
  </si>
  <si>
    <t>Interconnection Substation Sable</t>
  </si>
  <si>
    <t>45576-D555</t>
  </si>
  <si>
    <t>103H-432 - Maplewood Dr. Phase Ext</t>
  </si>
  <si>
    <t>43674-T793</t>
  </si>
  <si>
    <t>Sable Wind Network Upgrades</t>
  </si>
  <si>
    <t>45472-D538</t>
  </si>
  <si>
    <t xml:space="preserve">12V-302 Allains Creek Crossing </t>
  </si>
  <si>
    <t>45027-D560</t>
  </si>
  <si>
    <t>535N - Powell Road Phase 1</t>
  </si>
  <si>
    <t>45612-D551</t>
  </si>
  <si>
    <t>6S Terrace St Feeder Exit Upgrade</t>
  </si>
  <si>
    <t>45996-D588</t>
  </si>
  <si>
    <t>Shore Power Service Supply</t>
  </si>
  <si>
    <t>45882-T819</t>
  </si>
  <si>
    <t>103H-T63 Transformer Replacement</t>
  </si>
  <si>
    <t>46459-D596</t>
  </si>
  <si>
    <t>103W-312 Borgels Point Deter. Poles</t>
  </si>
  <si>
    <t>45794-T814</t>
  </si>
  <si>
    <t>L5040 Upgrade</t>
  </si>
  <si>
    <t>44984-T821</t>
  </si>
  <si>
    <t>9C Aberdeen Line Tap</t>
  </si>
  <si>
    <t>46615-D611</t>
  </si>
  <si>
    <t>613V-211 Bear River Voltage Convers</t>
  </si>
  <si>
    <t>46771-T823</t>
  </si>
  <si>
    <t>Sable Wind Collector System</t>
  </si>
  <si>
    <t>46340-T833</t>
  </si>
  <si>
    <t>2015 Switch &amp; Breaker Replacements</t>
  </si>
  <si>
    <t>46457-D639</t>
  </si>
  <si>
    <t>79V-401 Cameron Lake Voltage Conver</t>
  </si>
  <si>
    <t>43267-T835</t>
  </si>
  <si>
    <t>13V Gulch Replace 13V-GT1 &amp; 13V-VR1</t>
  </si>
  <si>
    <t>47220-T861</t>
  </si>
  <si>
    <t>L5027A 9W, 20W and 22W</t>
  </si>
  <si>
    <t>47225-D654</t>
  </si>
  <si>
    <t>127H-411-Fall River-Load Growth Ph2</t>
  </si>
  <si>
    <t>46251-D655</t>
  </si>
  <si>
    <t>36V-303 Saxon Double Circuit</t>
  </si>
  <si>
    <t>46586-T857</t>
  </si>
  <si>
    <t>2015 PCB Removal - Substation</t>
  </si>
  <si>
    <t>45795-T862</t>
  </si>
  <si>
    <t>L6503 Replacements</t>
  </si>
  <si>
    <t>47773-D674</t>
  </si>
  <si>
    <t>3N Oxford Conversion Phase 2</t>
  </si>
  <si>
    <t>46623-D666</t>
  </si>
  <si>
    <t>Rights for Facility on Railway Land</t>
  </si>
  <si>
    <t>47813-D673</t>
  </si>
  <si>
    <t>535N Powell Road Phase 2 Conversion</t>
  </si>
  <si>
    <t>48113-T882</t>
  </si>
  <si>
    <t>2016 Steel Tower Refurbishment</t>
  </si>
  <si>
    <t>48116-T883</t>
  </si>
  <si>
    <t>2016 Sacrificial Anode Installation</t>
  </si>
  <si>
    <t>46811-T872</t>
  </si>
  <si>
    <t>2H Armdale Transformer Addition</t>
  </si>
  <si>
    <t>48434-D695</t>
  </si>
  <si>
    <t>25W-302G Lockes Island Reconductor</t>
  </si>
  <si>
    <t>47226-D700</t>
  </si>
  <si>
    <t>22W-311GA - Daniels Head Rd Recondu</t>
  </si>
  <si>
    <t>48439-D712</t>
  </si>
  <si>
    <t>76V-301G Grafton Rd Line Extension</t>
  </si>
  <si>
    <t>48591-T894</t>
  </si>
  <si>
    <t>L5003 Replacements and Upgrades</t>
  </si>
  <si>
    <t>47778-D706</t>
  </si>
  <si>
    <t>54H Feeder Exit Cable Replacement</t>
  </si>
  <si>
    <t>48972-D730</t>
  </si>
  <si>
    <t>12V-302H Granville Reconductor</t>
  </si>
  <si>
    <t>48112-T906</t>
  </si>
  <si>
    <t>11W King Street Substation Ret</t>
  </si>
  <si>
    <t>47732-D699</t>
  </si>
  <si>
    <t>131H-424/137H-412 Feeder Tie</t>
  </si>
  <si>
    <t>47912-T873</t>
  </si>
  <si>
    <t>L6552 Replacements and Upgrades</t>
  </si>
  <si>
    <t>47777-D705</t>
  </si>
  <si>
    <t>70W-321 Wile Lake Road</t>
  </si>
  <si>
    <t>49220-D768</t>
  </si>
  <si>
    <t xml:space="preserve">Antigonish Contingency Stepdowns </t>
  </si>
  <si>
    <t>49223-D765</t>
  </si>
  <si>
    <t xml:space="preserve">81S-305 Water St Rebuild Glace Bay </t>
  </si>
  <si>
    <t>49380-T918</t>
  </si>
  <si>
    <t>L6545 Replacements and Upgrades</t>
  </si>
  <si>
    <t>48595-T896</t>
  </si>
  <si>
    <t>L5548 Replacements and Upgrades</t>
  </si>
  <si>
    <t>50655-D802</t>
  </si>
  <si>
    <t>664N-211 Claremont Avenue Conversio</t>
  </si>
  <si>
    <t>49789-T925</t>
  </si>
  <si>
    <t>50711-D807</t>
  </si>
  <si>
    <t>5N-301 Debert Beach Road Pole Replc</t>
  </si>
  <si>
    <t>47950-T881</t>
  </si>
  <si>
    <t>L-5017 Replacements &amp; Upgrades</t>
  </si>
  <si>
    <t>50073-D791</t>
  </si>
  <si>
    <t>4S-332 Bernard Lind Drive Rebuild</t>
  </si>
  <si>
    <t>48026-T921</t>
  </si>
  <si>
    <t>L-6033/L-6035 CT Ratio Changes 1H</t>
  </si>
  <si>
    <t>MDRR Transmission</t>
  </si>
  <si>
    <t>49867-D789</t>
  </si>
  <si>
    <t>55V-313-Berwick North Upgrade</t>
  </si>
  <si>
    <t>50772-D845</t>
  </si>
  <si>
    <t>37N-412 Glooscap Trail Rebuild Phas</t>
  </si>
  <si>
    <t>47956-T932</t>
  </si>
  <si>
    <t>L7004 Replacements and Upgrades</t>
  </si>
  <si>
    <t>51404-T970</t>
  </si>
  <si>
    <t>2018/2019 Steel Tower Life Extensio</t>
  </si>
  <si>
    <t>50800-D851</t>
  </si>
  <si>
    <t>1C-411 Reinsulate and Pole Replacem</t>
  </si>
  <si>
    <t>51501-D867</t>
  </si>
  <si>
    <t>77V-302 Digby to Marshalltown</t>
  </si>
  <si>
    <t>51096-T942</t>
  </si>
  <si>
    <t>L-5019 Replacements and Upgrades</t>
  </si>
  <si>
    <t>51531-D881</t>
  </si>
  <si>
    <t>57C-426 New Sectionalizer</t>
  </si>
  <si>
    <t>51897-D871</t>
  </si>
  <si>
    <t>544W-311 Mt Pleasant Stepdown Repl</t>
  </si>
  <si>
    <t>51111-T950</t>
  </si>
  <si>
    <t>L5037 Replacements and Upgrades</t>
  </si>
  <si>
    <t>C0005078</t>
  </si>
  <si>
    <t>D-663V-221 West Main St Reconductor</t>
  </si>
  <si>
    <t>52208</t>
  </si>
  <si>
    <t xml:space="preserve">D-3S Feeder Exit Cable Replacement </t>
  </si>
  <si>
    <t>C0005819</t>
  </si>
  <si>
    <t>D-126H-312 Marine Dr PH1- Insulator</t>
  </si>
  <si>
    <t>C0003738</t>
  </si>
  <si>
    <t xml:space="preserve">D-50V-401 Kentville River Crossing </t>
  </si>
  <si>
    <t>C0001798</t>
  </si>
  <si>
    <t>D-Halifax 4kV Conversion Phase 5</t>
  </si>
  <si>
    <t>C0007258</t>
  </si>
  <si>
    <t xml:space="preserve">D-104H-421 Barrington St Automatic </t>
  </si>
  <si>
    <t>51318-T961</t>
  </si>
  <si>
    <t>L-5055 - 98W-Rio Algom Tin Mine</t>
  </si>
  <si>
    <t>52119</t>
  </si>
  <si>
    <t>L5054 2018 Replacements and Upgra</t>
  </si>
  <si>
    <t>C0008938</t>
  </si>
  <si>
    <t xml:space="preserve">D-542W-311 Brooklyn Conversion </t>
  </si>
  <si>
    <t>C0007478</t>
  </si>
  <si>
    <t>D-530W-201 Overton Stepdown Upgrade</t>
  </si>
  <si>
    <t>52224</t>
  </si>
  <si>
    <t xml:space="preserve">D-532N Elm Street Conversion P2&amp;3 </t>
  </si>
  <si>
    <t>C0005358</t>
  </si>
  <si>
    <t>D-19W-311 Lighthouse Rte Rebuild</t>
  </si>
  <si>
    <t>51117-T944</t>
  </si>
  <si>
    <t>L5502 Replacements and Upgrades</t>
  </si>
  <si>
    <t>49777</t>
  </si>
  <si>
    <t>L7002 Replacements and Upgrades</t>
  </si>
  <si>
    <t>C0013458</t>
  </si>
  <si>
    <t>10W Tusket 69kV Bus Bypass</t>
  </si>
  <si>
    <t>C0011241</t>
  </si>
  <si>
    <t>T-L5026 -Replacements and Upgrades</t>
  </si>
  <si>
    <t>C0011208</t>
  </si>
  <si>
    <t>D-2019 Padmount Replacement Program</t>
  </si>
  <si>
    <t>C0015480</t>
  </si>
  <si>
    <t>Jan 20,2019 L3 Storm-Transmission</t>
  </si>
  <si>
    <t>C0015358</t>
  </si>
  <si>
    <t>D - 54C-213 Conversion and Stepdown</t>
  </si>
  <si>
    <t>C0015800</t>
  </si>
  <si>
    <t>18V-413 ICP</t>
  </si>
  <si>
    <t>C0015763</t>
  </si>
  <si>
    <t>Northeast High Priority FI</t>
  </si>
  <si>
    <t>C0015779</t>
  </si>
  <si>
    <t>Deteriorated Make Ready</t>
  </si>
  <si>
    <t>C0011338</t>
  </si>
  <si>
    <t>T-L5548- Replacements and Upgrades</t>
  </si>
  <si>
    <t>C0019280</t>
  </si>
  <si>
    <t>22W-312 Hwy 330 Centreville Rcndctr</t>
  </si>
  <si>
    <t>C0018059</t>
  </si>
  <si>
    <t>58C-403 Rebuild Hwy 19 South West</t>
  </si>
  <si>
    <t>C0011339</t>
  </si>
  <si>
    <t>T-L6549-Replacements and Upgr Ph2</t>
  </si>
  <si>
    <t>C0019579</t>
  </si>
  <si>
    <t>7N-301 ICP</t>
  </si>
  <si>
    <t>C0024704</t>
  </si>
  <si>
    <t>December 2019 Storm #2 Distribution</t>
  </si>
  <si>
    <t>C0024722</t>
  </si>
  <si>
    <t>Feb 6, 2020 Storm-Distribution</t>
  </si>
  <si>
    <t>C0024686</t>
  </si>
  <si>
    <t>78W-301GA Eastern Points Repole</t>
  </si>
  <si>
    <t>25077-D016-735</t>
  </si>
  <si>
    <t>New Cust Unmetered Serv WST</t>
  </si>
  <si>
    <t>17529-D002-752</t>
  </si>
  <si>
    <t>Sydney Region - Customer Primary Se</t>
  </si>
  <si>
    <t>14878-D006-756</t>
  </si>
  <si>
    <t>Sydney Reg. E. - Regulatory Replace</t>
  </si>
  <si>
    <t>16119-D005-617</t>
  </si>
  <si>
    <t>DART. DEPOT - REPLACE DET. PLANT</t>
  </si>
  <si>
    <t>CONV-D005-629</t>
  </si>
  <si>
    <t>CONV-D004-629</t>
  </si>
  <si>
    <t>40248-D322</t>
  </si>
  <si>
    <t>Bell Museum</t>
  </si>
  <si>
    <t>40445-D327</t>
  </si>
  <si>
    <t>New Minas Traffic Circle</t>
  </si>
  <si>
    <t>40267-D330</t>
  </si>
  <si>
    <t>37N-413 Targeted Replacements</t>
  </si>
  <si>
    <t>40204-D342</t>
  </si>
  <si>
    <t>Starr Street Rebuild</t>
  </si>
  <si>
    <t>40728-T661</t>
  </si>
  <si>
    <t>L6515 Upgrade</t>
  </si>
  <si>
    <t>40789-T666</t>
  </si>
  <si>
    <t>Upgrade L7005</t>
  </si>
  <si>
    <t>40264-D329</t>
  </si>
  <si>
    <t>37N-411 Targeted Replacements</t>
  </si>
  <si>
    <t>40790-T667</t>
  </si>
  <si>
    <t>Relocate L6511 and Feeder 4C-430</t>
  </si>
  <si>
    <t>33525-T674</t>
  </si>
  <si>
    <t xml:space="preserve">Canaan Rd 43V to Tremont 51V Line </t>
  </si>
  <si>
    <t>11004-T669</t>
  </si>
  <si>
    <t>Canaan Rd Circuit Breaker Additions</t>
  </si>
  <si>
    <t>38266-T682</t>
  </si>
  <si>
    <t>2010 Protection Upgrades</t>
  </si>
  <si>
    <t>25391-T683</t>
  </si>
  <si>
    <t>25 kV Bus Keltic Dr</t>
  </si>
  <si>
    <t>41104-D369</t>
  </si>
  <si>
    <t>1H-415 ICP Completion</t>
  </si>
  <si>
    <t>40883-T680</t>
  </si>
  <si>
    <t>NS-NB Interconnection</t>
  </si>
  <si>
    <t>38878-T686</t>
  </si>
  <si>
    <t>2010 Subs Cutout and Insul. Replace</t>
  </si>
  <si>
    <t>41534-D389</t>
  </si>
  <si>
    <t>2012 Reliability Technologies Dist.</t>
  </si>
  <si>
    <t>41203-D372</t>
  </si>
  <si>
    <t>93V-311 Saulnierville Reconductor</t>
  </si>
  <si>
    <t>41005-T691</t>
  </si>
  <si>
    <t>Parrsboro Tidal Interconnection</t>
  </si>
  <si>
    <t>40329-D350</t>
  </si>
  <si>
    <t>Padmount Switchgear Replacement</t>
  </si>
  <si>
    <t>38110-T701</t>
  </si>
  <si>
    <t>2010 Tx Line Insulator Replacement</t>
  </si>
  <si>
    <t>42006-T702</t>
  </si>
  <si>
    <t>7N Remote Grnd Electrode Connection</t>
  </si>
  <si>
    <t>41536-T699</t>
  </si>
  <si>
    <t>2012 Reliability Technology Trans.</t>
  </si>
  <si>
    <t>41398-D417</t>
  </si>
  <si>
    <t>2012 Padmount Transformer Replaceme</t>
  </si>
  <si>
    <t>41333-D407</t>
  </si>
  <si>
    <t>16N-301 Stewiacke Reconductor</t>
  </si>
  <si>
    <t>42088-D412</t>
  </si>
  <si>
    <t>14C-211 Petit de Grat Re-Build</t>
  </si>
  <si>
    <t>41332-D415</t>
  </si>
  <si>
    <t>15S-302 Targeted Feeder Replacement</t>
  </si>
  <si>
    <t>41391-T728</t>
  </si>
  <si>
    <t>L6025 Spar Arm Reinforcement</t>
  </si>
  <si>
    <t>41399-T729</t>
  </si>
  <si>
    <t>2012 Subst Insulator &amp; Cutout Repla</t>
  </si>
  <si>
    <t>41592-T732</t>
  </si>
  <si>
    <t>88W New Recloser &amp; Relocate 88W-322</t>
  </si>
  <si>
    <t>41325-D434</t>
  </si>
  <si>
    <t>Replacmnt of 3H &amp; 6H Reclosers 2012</t>
  </si>
  <si>
    <t>41555-T738</t>
  </si>
  <si>
    <t>Spare Wind Farm Gen. Transformer</t>
  </si>
  <si>
    <t>41517-T741</t>
  </si>
  <si>
    <t>L6535, 6536 &amp; 6514 Upgrades</t>
  </si>
  <si>
    <t>41437-T739</t>
  </si>
  <si>
    <t>104H-T62 Kempt Rd Transf Rewind</t>
  </si>
  <si>
    <t>43546-D470</t>
  </si>
  <si>
    <t>70W-313 Lehave River Reconductor</t>
  </si>
  <si>
    <t>43176-D467</t>
  </si>
  <si>
    <t>U&amp;U 19W-312G Argyle Sound ICP</t>
  </si>
  <si>
    <t>43126-D474</t>
  </si>
  <si>
    <t>13V-303 Bear River ICP</t>
  </si>
  <si>
    <t>44192-D488</t>
  </si>
  <si>
    <t>103W-311G Indian Point Rd 3 Ph Conv</t>
  </si>
  <si>
    <t>44308-D498</t>
  </si>
  <si>
    <t>16W-301 Hebron Neutral Reconductor</t>
  </si>
  <si>
    <t>44530-D512</t>
  </si>
  <si>
    <t>625V Mt. Uniacke Overload Stepdown</t>
  </si>
  <si>
    <t>44315-T770</t>
  </si>
  <si>
    <t>L6002 Upgrade</t>
  </si>
  <si>
    <t>44316-T771</t>
  </si>
  <si>
    <t>L6015 Upgrade</t>
  </si>
  <si>
    <t>43278-D517</t>
  </si>
  <si>
    <t>Halifax 4kV Conversion Part-1</t>
  </si>
  <si>
    <t>43258-D495</t>
  </si>
  <si>
    <t>2013 Offroad-to-Roadside</t>
  </si>
  <si>
    <t>43273-D513</t>
  </si>
  <si>
    <t>2013 Padmount Transformer Replace</t>
  </si>
  <si>
    <t>43428-T787</t>
  </si>
  <si>
    <t>Remove 6S 4kV Switchgear Breakers</t>
  </si>
  <si>
    <t>44980-T798</t>
  </si>
  <si>
    <t>2014 Trans. Switch &amp; Breaker Rplcmn</t>
  </si>
  <si>
    <t>45730-D544</t>
  </si>
  <si>
    <t>Central Planned Deteriorated</t>
  </si>
  <si>
    <t>45734-D546</t>
  </si>
  <si>
    <t>West Planned Deteriorated Replace</t>
  </si>
  <si>
    <t>45610-D552</t>
  </si>
  <si>
    <t>65V-303 Gates Mtn Rd Reconductor</t>
  </si>
  <si>
    <t>45796-T815</t>
  </si>
  <si>
    <t>L6516 Upgrade</t>
  </si>
  <si>
    <t>44987-T820</t>
  </si>
  <si>
    <t>L7003 Lidar Upgrades</t>
  </si>
  <si>
    <t>45306-T822</t>
  </si>
  <si>
    <t>Prime Brook Substation Addition</t>
  </si>
  <si>
    <t>46211-T816</t>
  </si>
  <si>
    <t>Upgrade L5502</t>
  </si>
  <si>
    <t>46759-D618</t>
  </si>
  <si>
    <t>127H-411 Fall River Add 2 Phases</t>
  </si>
  <si>
    <t>46991-D628</t>
  </si>
  <si>
    <t>55V-322 - Lovette Road</t>
  </si>
  <si>
    <t>43203-D642</t>
  </si>
  <si>
    <t>58C-405 Belle Cote Phase 1</t>
  </si>
  <si>
    <t>46353-T834</t>
  </si>
  <si>
    <t>2015 Substation Recloser Replacemen</t>
  </si>
  <si>
    <t>47219-T851</t>
  </si>
  <si>
    <t>L7005 67N Onslow to 3C Port Hasting</t>
  </si>
  <si>
    <t>47191-T859</t>
  </si>
  <si>
    <t>L5536A 9W Tusket to 88W Pleasant St</t>
  </si>
  <si>
    <t>46304-D626</t>
  </si>
  <si>
    <t>20W-311 Argyle Sound Reconductor</t>
  </si>
  <si>
    <t>47631-T865</t>
  </si>
  <si>
    <t>U&amp;U Capacitor Bank Breaker Rpcmnts</t>
  </si>
  <si>
    <t>47224-D677</t>
  </si>
  <si>
    <t>1N-404 81N-411 Plains Rd Line Upgra</t>
  </si>
  <si>
    <t>45003-D652</t>
  </si>
  <si>
    <t>2015 Hydraulic Recloser Repl.</t>
  </si>
  <si>
    <t>47471-D675</t>
  </si>
  <si>
    <t>131H-422G-East Uniacke Rd Load Grow</t>
  </si>
  <si>
    <t>46757-T867</t>
  </si>
  <si>
    <t>88S Lingan 230kV BPS Upgrades</t>
  </si>
  <si>
    <t>41438-T866</t>
  </si>
  <si>
    <t>85S Cable Termination Replacement</t>
  </si>
  <si>
    <t>46651-D682</t>
  </si>
  <si>
    <t>23H-Rockingham Voltage Conversion-P</t>
  </si>
  <si>
    <t>48636-D714</t>
  </si>
  <si>
    <t>Overloaded Stepdown 524C Cape Jack</t>
  </si>
  <si>
    <t>48412-D697</t>
  </si>
  <si>
    <t xml:space="preserve">Overload Stepdown - Scotch Hill </t>
  </si>
  <si>
    <t>48711-D723</t>
  </si>
  <si>
    <t>4C-441 Dagger Woods relocate</t>
  </si>
  <si>
    <t>47765-D704</t>
  </si>
  <si>
    <t>58C-405 Belle Cote Phase 2</t>
  </si>
  <si>
    <t>48067-T892</t>
  </si>
  <si>
    <t>2016 Oil Containment Program</t>
  </si>
  <si>
    <t>48114-T893</t>
  </si>
  <si>
    <t xml:space="preserve">2016 Steel Tower Life Extension </t>
  </si>
  <si>
    <t>48069-D727</t>
  </si>
  <si>
    <t>Vault Upgrade Program</t>
  </si>
  <si>
    <t>48975-D731</t>
  </si>
  <si>
    <t>59C-402G ICP-Device Replacement</t>
  </si>
  <si>
    <t>48156-T904</t>
  </si>
  <si>
    <t xml:space="preserve">East Switch Upgrades 58C </t>
  </si>
  <si>
    <t>47766-D751</t>
  </si>
  <si>
    <t>70V-312G Centerlea Rebuild</t>
  </si>
  <si>
    <t>49373-T912</t>
  </si>
  <si>
    <t>L5544 Replacements and Upgrades</t>
  </si>
  <si>
    <t>48652-D715</t>
  </si>
  <si>
    <t>46V-303 Remove Abandoned Line</t>
  </si>
  <si>
    <t>49218-D767</t>
  </si>
  <si>
    <t>49C Pomquet Forks Phase I</t>
  </si>
  <si>
    <t>47403-D760</t>
  </si>
  <si>
    <t>Load Research Sample Update</t>
  </si>
  <si>
    <t>50031-D769</t>
  </si>
  <si>
    <t>59C-402 Route 4 Reconductor</t>
  </si>
  <si>
    <t>48974-D773</t>
  </si>
  <si>
    <t>McCabe Lake East Subdivision</t>
  </si>
  <si>
    <t>49604-D764</t>
  </si>
  <si>
    <t>16V-314G Weymouth Falls Line Extens</t>
  </si>
  <si>
    <t>50581-D795</t>
  </si>
  <si>
    <t xml:space="preserve">585C-311 Jimtown Rebuild </t>
  </si>
  <si>
    <t>50578-D794</t>
  </si>
  <si>
    <t>83V-303 Sunken Lake Load Transfer</t>
  </si>
  <si>
    <t>49611-D780</t>
  </si>
  <si>
    <t>New Distribution ROW Phase 1</t>
  </si>
  <si>
    <t>49792-T934</t>
  </si>
  <si>
    <t>2017 Line Retirement Program</t>
  </si>
  <si>
    <t>50575-D792</t>
  </si>
  <si>
    <t>12V-302J-Milbury Lake Rd Repole</t>
  </si>
  <si>
    <t>50722-D811</t>
  </si>
  <si>
    <t>88H-401-Higginsville Rd-Rebuild</t>
  </si>
  <si>
    <t>49838-T924</t>
  </si>
  <si>
    <t>2017 Substation PCB Equip Rplcmnt</t>
  </si>
  <si>
    <t>50693-D803</t>
  </si>
  <si>
    <t>2017 Manhole Cover Replacement</t>
  </si>
  <si>
    <t>49866-D788</t>
  </si>
  <si>
    <t>512N-Toney River Upgrade</t>
  </si>
  <si>
    <t>49879-T928</t>
  </si>
  <si>
    <t>77V-T52 Replacement</t>
  </si>
  <si>
    <t>49868-D829</t>
  </si>
  <si>
    <t>2017 Hydraulic Recloser Replacement</t>
  </si>
  <si>
    <t>49863-D818</t>
  </si>
  <si>
    <t>73W-411H New Germany Recloser</t>
  </si>
  <si>
    <t>51071-D835</t>
  </si>
  <si>
    <t>4C-430G Old Maryvale Road Pole Repl</t>
  </si>
  <si>
    <t>51414-D847</t>
  </si>
  <si>
    <t>543C-211 Mauger Road Rebuild</t>
  </si>
  <si>
    <t>49956-D831</t>
  </si>
  <si>
    <t>505V Station Retirement</t>
  </si>
  <si>
    <t>51477-D850</t>
  </si>
  <si>
    <t xml:space="preserve">23H-301Forest Hill Dr and Tremont </t>
  </si>
  <si>
    <t>51451-D854</t>
  </si>
  <si>
    <t>78W-301 Northwest Line Extension</t>
  </si>
  <si>
    <t>51901-T972</t>
  </si>
  <si>
    <t>L-6010 2017R Replacements and Upg</t>
  </si>
  <si>
    <t>49798-T935</t>
  </si>
  <si>
    <t>2017 Capacitor Bank Breaker Replace</t>
  </si>
  <si>
    <t>49799-D784</t>
  </si>
  <si>
    <t>532N Elm Street Conversion  Phase 1</t>
  </si>
  <si>
    <t>51916-T973</t>
  </si>
  <si>
    <t>L-5003 2017R Replacements and Upgr.</t>
  </si>
  <si>
    <t>52012-D882</t>
  </si>
  <si>
    <t xml:space="preserve">Voltage Regulator Replacement </t>
  </si>
  <si>
    <t>C0004562</t>
  </si>
  <si>
    <t>62N-413 Sherbrook Road Repole</t>
  </si>
  <si>
    <t>C0005318</t>
  </si>
  <si>
    <t>D-15S-301 Target Replacement</t>
  </si>
  <si>
    <t>C0001802</t>
  </si>
  <si>
    <t>D-54C-211 Queen Street Conversion</t>
  </si>
  <si>
    <t>51863</t>
  </si>
  <si>
    <t>2018 Tap Changer Replacements</t>
  </si>
  <si>
    <t>C0008798</t>
  </si>
  <si>
    <t>D-11S-301K Seaview Drive Highway Sh</t>
  </si>
  <si>
    <t>C0005938</t>
  </si>
  <si>
    <t>D-2C-402 Install VR &amp; Upgrade SD</t>
  </si>
  <si>
    <t>C0005978</t>
  </si>
  <si>
    <t>D-57S-401 Albert Bridge Crossing</t>
  </si>
  <si>
    <t>51398</t>
  </si>
  <si>
    <t xml:space="preserve">2018/2019 Steel Tower Refurb    </t>
  </si>
  <si>
    <t>51400</t>
  </si>
  <si>
    <t>D-2018 Substation Recloser Replacem</t>
  </si>
  <si>
    <t>C0009898</t>
  </si>
  <si>
    <t>D - 2C-402 Reinsulate</t>
  </si>
  <si>
    <t>C0014278</t>
  </si>
  <si>
    <t>Nov 13, 2018 Level 3 Storm - Dist</t>
  </si>
  <si>
    <t>C0014418</t>
  </si>
  <si>
    <t>Nov 28, 2018 Level 3 Storm - Dist</t>
  </si>
  <si>
    <t>C0013278</t>
  </si>
  <si>
    <t>D-102W Tusket Voltage Correction</t>
  </si>
  <si>
    <t>C0013938</t>
  </si>
  <si>
    <t>Lingan SF6 Bus Refurbishment</t>
  </si>
  <si>
    <t>C0011240</t>
  </si>
  <si>
    <t>T-L5511 -Replacements and Upgrades</t>
  </si>
  <si>
    <t>C0003778</t>
  </si>
  <si>
    <t>Birch Street Sub. New Minas 22V-321</t>
  </si>
  <si>
    <t>C0015547</t>
  </si>
  <si>
    <t>Northeast Planned Deteriorated Repl</t>
  </si>
  <si>
    <t>C0010948</t>
  </si>
  <si>
    <t>T-2019/2020 Sacrificial Anode Inst</t>
  </si>
  <si>
    <t>C0018240</t>
  </si>
  <si>
    <t>81S-301 - Donkin Haul Rd TIR</t>
  </si>
  <si>
    <t>16832-D017-623</t>
  </si>
  <si>
    <t>New Customers - Metered Service Dro</t>
  </si>
  <si>
    <t>14911-D004-732</t>
  </si>
  <si>
    <t>NEW CUSTOMER REPLACEMENTS - BRIDGEW</t>
  </si>
  <si>
    <t>CONV-D005-713</t>
  </si>
  <si>
    <t>39664-D310</t>
  </si>
  <si>
    <t>100H Bedford Substation Reliability</t>
  </si>
  <si>
    <t>38122-T684</t>
  </si>
  <si>
    <t>2010 PCB Equip. Removal/Destruction</t>
  </si>
  <si>
    <t>33624-T639</t>
  </si>
  <si>
    <t>Spare Generator Transformer</t>
  </si>
  <si>
    <t>38914-D305</t>
  </si>
  <si>
    <t>2010 Guard Installations</t>
  </si>
  <si>
    <t>40522-D326</t>
  </si>
  <si>
    <t>Dart Crossing Feeder Exit cables</t>
  </si>
  <si>
    <t>39723-T652</t>
  </si>
  <si>
    <t>104H-T63 Transformer Refurbishment</t>
  </si>
  <si>
    <t>40343-D335</t>
  </si>
  <si>
    <t>73W-411 Mossman Lake Road</t>
  </si>
  <si>
    <t>40279-T663</t>
  </si>
  <si>
    <t>2011 Pole Retreatment</t>
  </si>
  <si>
    <t>40722-T655</t>
  </si>
  <si>
    <t>L5028 Upgrade</t>
  </si>
  <si>
    <t>40724-T657</t>
  </si>
  <si>
    <t>L5532 Upgrade</t>
  </si>
  <si>
    <t>40284-D332</t>
  </si>
  <si>
    <t>82V-423 Targeted Replacements</t>
  </si>
  <si>
    <t>40725-T658</t>
  </si>
  <si>
    <t>L5011 Upgrade</t>
  </si>
  <si>
    <t>38062-D362</t>
  </si>
  <si>
    <t>2010 Off Road to Roadside</t>
  </si>
  <si>
    <t>40906-D364</t>
  </si>
  <si>
    <t>U&amp;U Automatic Sleeve Replacement</t>
  </si>
  <si>
    <t>41364-D375</t>
  </si>
  <si>
    <t>103W-311 Crandall Point Road</t>
  </si>
  <si>
    <t>40379-D382</t>
  </si>
  <si>
    <t>Scotch Village Phase 2</t>
  </si>
  <si>
    <t>40288-T690</t>
  </si>
  <si>
    <t>2011 PCB Equipment Removals</t>
  </si>
  <si>
    <t>45046-D561</t>
  </si>
  <si>
    <t>2014 PCB Phase-out for Pole Top</t>
  </si>
  <si>
    <t>39269-D386</t>
  </si>
  <si>
    <t>2011 Recloser Additions</t>
  </si>
  <si>
    <t>41552-T705</t>
  </si>
  <si>
    <t>131H Lucasville Transformer Additio</t>
  </si>
  <si>
    <t>41926-D390</t>
  </si>
  <si>
    <t>Fairmount Interconnection</t>
  </si>
  <si>
    <t>41342-D402</t>
  </si>
  <si>
    <t>81S-301 Targeted Feeder Replacement</t>
  </si>
  <si>
    <t>41327-D401</t>
  </si>
  <si>
    <t>103W-311 Gold River Reconductor Ph2</t>
  </si>
  <si>
    <t>41338-D410</t>
  </si>
  <si>
    <t>20H-301 Targeted Feeder Replacement</t>
  </si>
  <si>
    <t>41439-T712</t>
  </si>
  <si>
    <t>5P &amp; 6P Mobile Substation Upgrades</t>
  </si>
  <si>
    <t>42637-T724</t>
  </si>
  <si>
    <t>L6552 Upgrade</t>
  </si>
  <si>
    <t>41430-T707</t>
  </si>
  <si>
    <t>2012 Subst. Recloser Replacement</t>
  </si>
  <si>
    <t>42627-T716</t>
  </si>
  <si>
    <t>L5004 Upgrade</t>
  </si>
  <si>
    <t>42635-T722</t>
  </si>
  <si>
    <t>L7012 Upgrade</t>
  </si>
  <si>
    <t>42592-D422</t>
  </si>
  <si>
    <t>11S-303 Gang Switch &amp; Circ Re-Conf</t>
  </si>
  <si>
    <t>41356-D436</t>
  </si>
  <si>
    <t>35V-312 Windsor Causeway</t>
  </si>
  <si>
    <t>41355-D435</t>
  </si>
  <si>
    <t>2012 Remote Communication on Reclos</t>
  </si>
  <si>
    <t>42829-D432</t>
  </si>
  <si>
    <t>Halifax Air Switch Replacement</t>
  </si>
  <si>
    <t>43325-D451</t>
  </si>
  <si>
    <t>62N-414 Spring Garden Road Re-Build</t>
  </si>
  <si>
    <t>43161-D457</t>
  </si>
  <si>
    <t>U&amp;U 18V-413 Upper Burlington ICP</t>
  </si>
  <si>
    <t>43192-D468</t>
  </si>
  <si>
    <t>U&amp;U 25W-303 Shelburne ICP</t>
  </si>
  <si>
    <t>40310-T747</t>
  </si>
  <si>
    <t>15N Willow Ln Circuit Switcher Add</t>
  </si>
  <si>
    <t>43276-D472</t>
  </si>
  <si>
    <t>2013 Distribution Reliability Tech</t>
  </si>
  <si>
    <t>44051-D480</t>
  </si>
  <si>
    <t>51V-301 Meadowvale Road Two Phases</t>
  </si>
  <si>
    <t>43194-D469</t>
  </si>
  <si>
    <t xml:space="preserve">3S-303 North Sydney ICP </t>
  </si>
  <si>
    <t>43292-T754</t>
  </si>
  <si>
    <t>120H-Brushy Hill BPS Upgrades 230KV</t>
  </si>
  <si>
    <t>43786-T768</t>
  </si>
  <si>
    <t>2013 L8002 Tower Refurbishments</t>
  </si>
  <si>
    <t>44029-D478</t>
  </si>
  <si>
    <t>62N-413 Fall Brook Road Re-build</t>
  </si>
  <si>
    <t>44306-D491</t>
  </si>
  <si>
    <t>16W-301 McCormack Rd Rebuild</t>
  </si>
  <si>
    <t>44771-D519</t>
  </si>
  <si>
    <t>Line Ext for Aerie Estates Ben Eion</t>
  </si>
  <si>
    <t>43324-T782</t>
  </si>
  <si>
    <t>L6513 Rebuild/upgrade line terminal</t>
  </si>
  <si>
    <t>45182-T784</t>
  </si>
  <si>
    <t>U&amp;U - 40H Install 25kV Transformer</t>
  </si>
  <si>
    <t>45799-D559</t>
  </si>
  <si>
    <t>Street Light &amp; Service Removals</t>
  </si>
  <si>
    <t>43681-T788</t>
  </si>
  <si>
    <t>South Canoe Subs. Network Upgrades</t>
  </si>
  <si>
    <t>44827-D537</t>
  </si>
  <si>
    <t>2014 Distribution Cutout Replacemen</t>
  </si>
  <si>
    <t>45067-T801</t>
  </si>
  <si>
    <t>67N Onslow 345 KV Node Swap</t>
  </si>
  <si>
    <t>44982-T797</t>
  </si>
  <si>
    <t>New Spare Transformer Replac 20W-T1</t>
  </si>
  <si>
    <t>43667-D473</t>
  </si>
  <si>
    <t>Kings Wharf Place</t>
  </si>
  <si>
    <t>45268-D536</t>
  </si>
  <si>
    <t>Queen Street Underground</t>
  </si>
  <si>
    <t>45737-D549</t>
  </si>
  <si>
    <t>West Unplanned Deteriorated Replace</t>
  </si>
  <si>
    <t>45877-D572</t>
  </si>
  <si>
    <t>25N-201 Harrison Settlement Rebuild</t>
  </si>
  <si>
    <t>43217-D573</t>
  </si>
  <si>
    <t>24C-442G Hwy 16 Rebuild Ph 1</t>
  </si>
  <si>
    <t>45797-T817</t>
  </si>
  <si>
    <t>L7004 Upgrade</t>
  </si>
  <si>
    <t>46085-D590</t>
  </si>
  <si>
    <t>92H-331G Boutiliers Cove Rd Recondu</t>
  </si>
  <si>
    <t>45026-D587</t>
  </si>
  <si>
    <t>639N - Mount Thom Overload</t>
  </si>
  <si>
    <t>46398-D609</t>
  </si>
  <si>
    <t>20H Spryfield Voltage Conversion</t>
  </si>
  <si>
    <t>46212-D608</t>
  </si>
  <si>
    <t>500N-301 Caribou Island Reconductor</t>
  </si>
  <si>
    <t>46214-D595</t>
  </si>
  <si>
    <t>16V-315 Windsor Deteriorated Poles</t>
  </si>
  <si>
    <t>47054-D632</t>
  </si>
  <si>
    <t xml:space="preserve">22W-312 - Newellton Orion Wharf Rd </t>
  </si>
  <si>
    <t>47055-D633</t>
  </si>
  <si>
    <t>50W-412 Camperdown Overloaded Equip</t>
  </si>
  <si>
    <t>47212-T844</t>
  </si>
  <si>
    <t>L5506 55N Pictou to 54N Abercrombie</t>
  </si>
  <si>
    <t>47121-D648</t>
  </si>
  <si>
    <t>22N-401-Southampton Rd - Reconducto</t>
  </si>
  <si>
    <t>47251-D651</t>
  </si>
  <si>
    <t>99V-314GA North River Rd Add 1Ph VR</t>
  </si>
  <si>
    <t>46397-T855</t>
  </si>
  <si>
    <t>Substation Telemetry</t>
  </si>
  <si>
    <t>46332-T863</t>
  </si>
  <si>
    <t>L6539 Replacements</t>
  </si>
  <si>
    <t>47152-D665</t>
  </si>
  <si>
    <t xml:space="preserve">22C-404 Arichat to Legion Rebuild		</t>
  </si>
  <si>
    <t>47616-D668</t>
  </si>
  <si>
    <t>77V-303 - Victoria Street Reconduct</t>
  </si>
  <si>
    <t>47840-D672</t>
  </si>
  <si>
    <t>Route 4 Highway Shift at Chapel Isl</t>
  </si>
  <si>
    <t>46331-T837</t>
  </si>
  <si>
    <t>L7001 Replacements - Phase 2</t>
  </si>
  <si>
    <t>46360-T850</t>
  </si>
  <si>
    <t>L5545B Reconductor</t>
  </si>
  <si>
    <t>47753-D688</t>
  </si>
  <si>
    <t>24C-442GB Hwy 16 Reconductor Ph 2</t>
  </si>
  <si>
    <t>47952-T869</t>
  </si>
  <si>
    <t>L7001 Replacements (Phase 3 &amp; 4)</t>
  </si>
  <si>
    <t>48575-D694</t>
  </si>
  <si>
    <t>131H-421 Rossing Drive Feeder</t>
  </si>
  <si>
    <t>48416-D693</t>
  </si>
  <si>
    <t>Lower South River 515C</t>
  </si>
  <si>
    <t>48912-D729</t>
  </si>
  <si>
    <t>88W-312G Wyman Rd Reconductor</t>
  </si>
  <si>
    <t>48437-D711</t>
  </si>
  <si>
    <t>36W-301 East Sable Road Line Extens</t>
  </si>
  <si>
    <t>48597-T897</t>
  </si>
  <si>
    <t>L5530A Replacements and Upgrades</t>
  </si>
  <si>
    <t>48637-D720</t>
  </si>
  <si>
    <t>Overloaded Stepdown - 591C Margaree</t>
  </si>
  <si>
    <t>48431-D709</t>
  </si>
  <si>
    <t>36W-304G Enslow Point Road Line Rel</t>
  </si>
  <si>
    <t>47776-D761</t>
  </si>
  <si>
    <t>111S Prime Brook Feeder Exits &amp; Fee</t>
  </si>
  <si>
    <t>49375-T914</t>
  </si>
  <si>
    <t>L6003 Replacements and Upgrades</t>
  </si>
  <si>
    <t>49381-T919</t>
  </si>
  <si>
    <t>L7014 Replacements and Upgrades</t>
  </si>
  <si>
    <t>49919-D778</t>
  </si>
  <si>
    <t>2017 PCB Pole Top Trans. Replacemnt</t>
  </si>
  <si>
    <t>49813-T926</t>
  </si>
  <si>
    <t>2017 Sacrificial Anode Installation</t>
  </si>
  <si>
    <t>50611-D796</t>
  </si>
  <si>
    <t>524C-201 Cape Jack Rd Conversion</t>
  </si>
  <si>
    <t>50735-D814</t>
  </si>
  <si>
    <t>79V-401 - Windsor Deteriorated Pole</t>
  </si>
  <si>
    <t>49806-D827</t>
  </si>
  <si>
    <t>2017 Padmount Replacement Program</t>
  </si>
  <si>
    <t>33622-D821</t>
  </si>
  <si>
    <t>Construct Two New Feeders Elmsdale</t>
  </si>
  <si>
    <t>47954-T963</t>
  </si>
  <si>
    <t>L7012 Replacements and Upgrades</t>
  </si>
  <si>
    <t>51412-D848</t>
  </si>
  <si>
    <t>87H-313G Harbourview Dr Rebuild</t>
  </si>
  <si>
    <t>50673-D800</t>
  </si>
  <si>
    <t>49C Pomquet Forks Conversion Ph 2</t>
  </si>
  <si>
    <t>43200-T930</t>
  </si>
  <si>
    <t xml:space="preserve">2017 Wood Pole Retreatment </t>
  </si>
  <si>
    <t>51118-T953</t>
  </si>
  <si>
    <t>L5549 Replacements and Upgrades</t>
  </si>
  <si>
    <t>51493-D861</t>
  </si>
  <si>
    <t>2018 PCB Pole Top Transformer Replc</t>
  </si>
  <si>
    <t>50796-D849</t>
  </si>
  <si>
    <t>New Distribution ROW Phase II</t>
  </si>
  <si>
    <t>51785-D862</t>
  </si>
  <si>
    <t>2017 Guy Guard Replacements</t>
  </si>
  <si>
    <t>48057-T965</t>
  </si>
  <si>
    <t>Replace 69kV cables between 2S&amp; 83S</t>
  </si>
  <si>
    <t>51518-D869</t>
  </si>
  <si>
    <t>64V-301G Tremont Reconductor</t>
  </si>
  <si>
    <t>51551-D859</t>
  </si>
  <si>
    <t>2H-411-Cowie Hill UG System Replac</t>
  </si>
  <si>
    <t>C0002658</t>
  </si>
  <si>
    <t>Intellirupter Revitalization</t>
  </si>
  <si>
    <t>51744</t>
  </si>
  <si>
    <t>D-30N-411 Maccan River Crossing Reb</t>
  </si>
  <si>
    <t>C0003978</t>
  </si>
  <si>
    <t>D-2018 Padmount Switch Replacement</t>
  </si>
  <si>
    <t>52267</t>
  </si>
  <si>
    <t>D-16W-302H-Brenton Rd Rebuild</t>
  </si>
  <si>
    <t>52185</t>
  </si>
  <si>
    <t>D-50N-410 Rebuild Phase 2</t>
  </si>
  <si>
    <t>52323</t>
  </si>
  <si>
    <t>2C Port Hastings Uprated to NPCC BP</t>
  </si>
  <si>
    <t>52241</t>
  </si>
  <si>
    <t>16V-T2 Weymouth Hydro Transformer R</t>
  </si>
  <si>
    <t>C0005438</t>
  </si>
  <si>
    <t>Jan 4, 2018 Level 4 Storm Response</t>
  </si>
  <si>
    <t>52207</t>
  </si>
  <si>
    <t>D-678H-211 McNab’s Island Replaceme</t>
  </si>
  <si>
    <t>49779</t>
  </si>
  <si>
    <t>T-L6537 Replacements and Upgrades</t>
  </si>
  <si>
    <t>52195</t>
  </si>
  <si>
    <t>D-101H Feeder Exit Cable Replace</t>
  </si>
  <si>
    <t>C0007543</t>
  </si>
  <si>
    <t>March 13, 2018 Level 3 Storm</t>
  </si>
  <si>
    <t>C0007278</t>
  </si>
  <si>
    <t>D-658V-211-Cortland Crescent Rebuil</t>
  </si>
  <si>
    <t>C0005878</t>
  </si>
  <si>
    <t>D-129H-412 Bedford Highway- Recondu</t>
  </si>
  <si>
    <t>51112-T951</t>
  </si>
  <si>
    <t>L5042 Replacements and Upgrades</t>
  </si>
  <si>
    <t>C0013920</t>
  </si>
  <si>
    <t>2019 Substation Storm Replacements</t>
  </si>
  <si>
    <t>C0010952</t>
  </si>
  <si>
    <t>2019/20 Substation PCB Equip Replac</t>
  </si>
  <si>
    <t>C0010978</t>
  </si>
  <si>
    <t>T-2019/2020 Tran Switch &amp; Breaker R</t>
  </si>
  <si>
    <t>C0015762</t>
  </si>
  <si>
    <t>Metro High Priority FI</t>
  </si>
  <si>
    <t>C0015764</t>
  </si>
  <si>
    <t>West High Priority FI</t>
  </si>
  <si>
    <t>C0015640</t>
  </si>
  <si>
    <t>Jan 24,2019 L3 Storm-Transmission</t>
  </si>
  <si>
    <t>C0015738</t>
  </si>
  <si>
    <t xml:space="preserve">D-126H-312 HWY 207 Lead Insulator </t>
  </si>
  <si>
    <t>C0019439</t>
  </si>
  <si>
    <t>1N-402 Marshland Dr. 3-Phase Extens</t>
  </si>
  <si>
    <t>C0019240</t>
  </si>
  <si>
    <t>1H-427 QEII Transformer Replacement</t>
  </si>
  <si>
    <t>C0022322</t>
  </si>
  <si>
    <t>Sep 2019 - Hurricane Dorian - Trans</t>
  </si>
  <si>
    <t>Description</t>
  </si>
  <si>
    <t>Approval Type</t>
  </si>
  <si>
    <t>FIN Date</t>
  </si>
  <si>
    <t>41519</t>
  </si>
  <si>
    <t>Harbour East 138 kV Transmission Line</t>
  </si>
  <si>
    <t>Cancelled</t>
  </si>
  <si>
    <t>48025</t>
  </si>
  <si>
    <t>L7018 Upgrade to 345kV &amp; Capacitor Bank Addition</t>
  </si>
  <si>
    <t>48154</t>
  </si>
  <si>
    <t>L5527 Reconductor</t>
  </si>
  <si>
    <t>50342</t>
  </si>
  <si>
    <t>Western Transmission System Voltage Support</t>
  </si>
  <si>
    <t>n</t>
  </si>
  <si>
    <t>y</t>
  </si>
  <si>
    <t>Year</t>
  </si>
  <si>
    <t>Interruptible Contribution to Peak (MW)</t>
  </si>
  <si>
    <t>Firm Contribution to Peak (MW)</t>
  </si>
  <si>
    <t>System Peak (MW)</t>
  </si>
  <si>
    <t>2010 - 2019</t>
  </si>
  <si>
    <t>Growth</t>
  </si>
  <si>
    <t>Transmission</t>
  </si>
  <si>
    <t>Distribution</t>
  </si>
  <si>
    <t xml:space="preserve"> </t>
  </si>
  <si>
    <t>R</t>
  </si>
  <si>
    <t>Aoided Cost
Definition</t>
  </si>
  <si>
    <t>In the context of electricity planning, avoided T&amp;D costs are the savings associated with the power system not having to deliver additional units of electricity, while still meeting the demand requirements of customers.</t>
  </si>
  <si>
    <t>Measure</t>
  </si>
  <si>
    <t>Data Source</t>
  </si>
  <si>
    <t>Methodology</t>
  </si>
  <si>
    <t xml:space="preserve">Assumptions for Identifying ACE Project Avoided T&amp;D Cost Applicability </t>
  </si>
  <si>
    <t>Assumption</t>
  </si>
  <si>
    <t>T / D</t>
  </si>
  <si>
    <t>Inclusions</t>
  </si>
  <si>
    <t>T</t>
  </si>
  <si>
    <t>New Transmission Lines Required for Capacity</t>
  </si>
  <si>
    <t>Transmission Line Re-conductor / Re-tension Required for Capacity</t>
  </si>
  <si>
    <t>New EHV Transformer Required for Capacity</t>
  </si>
  <si>
    <t>New Substations (capacity / contingency capacity)</t>
  </si>
  <si>
    <t>Substation Capacity Upgrades (i.e. transformers)</t>
  </si>
  <si>
    <t>D</t>
  </si>
  <si>
    <t>New distribution feeders</t>
  </si>
  <si>
    <t>Exclusions</t>
  </si>
  <si>
    <t>Infrastructure replacements / upgrades required as a result of deteriorated plant or reliability upgrades</t>
  </si>
  <si>
    <t>Infrastructure upgrades associated with OATT Transmission Service Requests</t>
  </si>
  <si>
    <t>Infrastructure upgrades associated with Transmission Generator Interconnection Requests</t>
  </si>
  <si>
    <t>Infrastructure upgrades needed to meet new/updated NSPI/NPCC/NERC Standards</t>
  </si>
  <si>
    <t>Voltage conversions (reliability, updated standards, etc.)</t>
  </si>
  <si>
    <t>Infrastructure upgrades associated with Distribution Generator Interconnection Requests</t>
  </si>
  <si>
    <t>System Snapshot Summary of Transformer Capacity Data</t>
  </si>
  <si>
    <t>Constrained System (MVA)</t>
  </si>
  <si>
    <t>Halifax</t>
  </si>
  <si>
    <t>Canseau</t>
  </si>
  <si>
    <t>Northern</t>
  </si>
  <si>
    <t>Sydney</t>
  </si>
  <si>
    <t>Valley</t>
  </si>
  <si>
    <t>Western</t>
  </si>
  <si>
    <t>HALIFAX OPERATING AREA</t>
  </si>
  <si>
    <t>SUBSTATION I.D.</t>
  </si>
  <si>
    <t>TRANSFORMER DATA</t>
  </si>
  <si>
    <t>Measured MVA</t>
  </si>
  <si>
    <t>Loading</t>
  </si>
  <si>
    <t xml:space="preserve">Constrained </t>
  </si>
  <si>
    <t>Sub</t>
  </si>
  <si>
    <t>Substation</t>
  </si>
  <si>
    <t>HV</t>
  </si>
  <si>
    <t>Xfmr</t>
  </si>
  <si>
    <t>LV</t>
  </si>
  <si>
    <t>Top rating</t>
  </si>
  <si>
    <t>% Loaded</t>
  </si>
  <si>
    <t>No.</t>
  </si>
  <si>
    <t>Name</t>
  </si>
  <si>
    <t>kV</t>
  </si>
  <si>
    <t>I.D.</t>
  </si>
  <si>
    <t>Rating</t>
  </si>
  <si>
    <t>Load Check</t>
  </si>
  <si>
    <r>
      <t>Temp: -13.6</t>
    </r>
    <r>
      <rPr>
        <b/>
        <vertAlign val="superscript"/>
        <sz val="8"/>
        <rFont val="Arial"/>
        <family val="2"/>
      </rPr>
      <t>o</t>
    </r>
    <r>
      <rPr>
        <b/>
        <sz val="8"/>
        <rFont val="Arial"/>
        <family val="2"/>
      </rPr>
      <t>C</t>
    </r>
  </si>
  <si>
    <r>
      <t>Temp: -16.4</t>
    </r>
    <r>
      <rPr>
        <b/>
        <vertAlign val="superscript"/>
        <sz val="8"/>
        <rFont val="Arial"/>
        <family val="2"/>
      </rPr>
      <t>o</t>
    </r>
    <r>
      <rPr>
        <b/>
        <sz val="8"/>
        <rFont val="Arial"/>
        <family val="2"/>
      </rPr>
      <t>C</t>
    </r>
  </si>
  <si>
    <t>MVA</t>
  </si>
  <si>
    <t>1H</t>
  </si>
  <si>
    <t>WATER STREET</t>
  </si>
  <si>
    <t>T61</t>
  </si>
  <si>
    <t>40/53</t>
  </si>
  <si>
    <t>T62</t>
  </si>
  <si>
    <t>T63</t>
  </si>
  <si>
    <t>2H</t>
  </si>
  <si>
    <t>ARMDALE</t>
  </si>
  <si>
    <t>25/32/42</t>
  </si>
  <si>
    <t>20H</t>
  </si>
  <si>
    <t>SPRYFIELD</t>
  </si>
  <si>
    <t>T1</t>
  </si>
  <si>
    <t>15/20//22.4</t>
  </si>
  <si>
    <t>-</t>
  </si>
  <si>
    <t>T2</t>
  </si>
  <si>
    <t>15/20/25//28</t>
  </si>
  <si>
    <t>23H</t>
  </si>
  <si>
    <t>ROCKINGHAM</t>
  </si>
  <si>
    <t>T51</t>
  </si>
  <si>
    <t>15/20/25</t>
  </si>
  <si>
    <t>40H</t>
  </si>
  <si>
    <t>WOODLAWN</t>
  </si>
  <si>
    <t>7.5/10/12.5</t>
  </si>
  <si>
    <t>T52</t>
  </si>
  <si>
    <t>48H</t>
  </si>
  <si>
    <t>PENHORN</t>
  </si>
  <si>
    <t>54H</t>
  </si>
  <si>
    <t>MAPLE STREET</t>
  </si>
  <si>
    <t>T3</t>
  </si>
  <si>
    <t>58H</t>
  </si>
  <si>
    <t>IMPERIAL OIL DIST</t>
  </si>
  <si>
    <t>62H</t>
  </si>
  <si>
    <t>ALBRO LAKE ROAD</t>
  </si>
  <si>
    <t>87H</t>
  </si>
  <si>
    <t>MUSQUODOBOIT HBR.</t>
  </si>
  <si>
    <t>88H</t>
  </si>
  <si>
    <t>UP MUSQUODOBOIT</t>
  </si>
  <si>
    <t>15/20/23//26</t>
  </si>
  <si>
    <t>92H</t>
  </si>
  <si>
    <t>TIDEWATER</t>
  </si>
  <si>
    <t>96H</t>
  </si>
  <si>
    <t>RUTH FALLS HYDRO</t>
  </si>
  <si>
    <t>T53</t>
  </si>
  <si>
    <t>7.5/10//11.2</t>
  </si>
  <si>
    <t>99H</t>
  </si>
  <si>
    <t>FARRELL STREET</t>
  </si>
  <si>
    <t>101H</t>
  </si>
  <si>
    <t>COBEQUID ROAD</t>
  </si>
  <si>
    <t>25/33.3/42//46.7</t>
  </si>
  <si>
    <t>28/37.3/47</t>
  </si>
  <si>
    <t>103H</t>
  </si>
  <si>
    <t>LAKESIDE</t>
  </si>
  <si>
    <t>25/33.3/41.6//46.6</t>
  </si>
  <si>
    <t>104H</t>
  </si>
  <si>
    <t>KEMPT ROAD</t>
  </si>
  <si>
    <t>25/33.3/41.7</t>
  </si>
  <si>
    <t>25/33.3/41.6//46.7</t>
  </si>
  <si>
    <t>108H</t>
  </si>
  <si>
    <t>BURNSIDE SUB.</t>
  </si>
  <si>
    <t>25/33.3/41.5</t>
  </si>
  <si>
    <t>113H</t>
  </si>
  <si>
    <t>DARTMOUTH EAST</t>
  </si>
  <si>
    <t>T64</t>
  </si>
  <si>
    <t>25/33/42</t>
  </si>
  <si>
    <t>124H</t>
  </si>
  <si>
    <t>AKERLEY BLVD.</t>
  </si>
  <si>
    <t>126H</t>
  </si>
  <si>
    <t>PORTER'S LAKE</t>
  </si>
  <si>
    <t>127H</t>
  </si>
  <si>
    <t>AEROTECH PARK</t>
  </si>
  <si>
    <t>129H</t>
  </si>
  <si>
    <t>KEARNEY LAKE RD.</t>
  </si>
  <si>
    <t>131H</t>
  </si>
  <si>
    <t>LUCASVILLE ROAD</t>
  </si>
  <si>
    <t>25/33/42//46.7</t>
  </si>
  <si>
    <t>137H</t>
  </si>
  <si>
    <t>HAMMONDS PLAINS</t>
  </si>
  <si>
    <t>25/33/42.0</t>
  </si>
  <si>
    <t>139H</t>
  </si>
  <si>
    <t>DARTMOUTH CROSSING</t>
  </si>
  <si>
    <t>//25/33/42.0</t>
  </si>
  <si>
    <t>Notes:</t>
  </si>
  <si>
    <t>48H-T1 to be replaced in 2020</t>
  </si>
  <si>
    <t>Unit</t>
  </si>
  <si>
    <t>MVA Change</t>
  </si>
  <si>
    <t>New Total</t>
  </si>
  <si>
    <t>New Mount Hope transformer to be installed in 2021</t>
  </si>
  <si>
    <t>2H-T62</t>
  </si>
  <si>
    <t>Added 46.7MVA of transformer capacity at 2H</t>
  </si>
  <si>
    <t>CANSEAU OPERATING AREA</t>
  </si>
  <si>
    <r>
      <t>Temp: - 13.6</t>
    </r>
    <r>
      <rPr>
        <b/>
        <vertAlign val="superscript"/>
        <sz val="8"/>
        <rFont val="Arial"/>
        <family val="2"/>
      </rPr>
      <t>o</t>
    </r>
    <r>
      <rPr>
        <b/>
        <sz val="8"/>
        <rFont val="Arial"/>
        <family val="2"/>
      </rPr>
      <t>C</t>
    </r>
  </si>
  <si>
    <t>1C</t>
  </si>
  <si>
    <t>PT. TUPPER GS/SUB</t>
  </si>
  <si>
    <t>2C</t>
  </si>
  <si>
    <t>PORT HASTINGS</t>
  </si>
  <si>
    <t>//15/20/25</t>
  </si>
  <si>
    <t>4C</t>
  </si>
  <si>
    <t>LOCHABER ROAD</t>
  </si>
  <si>
    <t>25/33.3//41.7</t>
  </si>
  <si>
    <t>10/13.3//14.9</t>
  </si>
  <si>
    <t>9C</t>
  </si>
  <si>
    <t>ABERDEEN</t>
  </si>
  <si>
    <t>3//3.36</t>
  </si>
  <si>
    <t>19C</t>
  </si>
  <si>
    <t>CANSO TOWN</t>
  </si>
  <si>
    <t>3/4//4.48</t>
  </si>
  <si>
    <t>22C</t>
  </si>
  <si>
    <t>CLEVELAND</t>
  </si>
  <si>
    <t>15/20/25.0</t>
  </si>
  <si>
    <t>24C</t>
  </si>
  <si>
    <t>DICKIE BROOK</t>
  </si>
  <si>
    <t>T54</t>
  </si>
  <si>
    <t>5.6/6.7//7.55</t>
  </si>
  <si>
    <t>57C</t>
  </si>
  <si>
    <t>SALMON RIVER LAKE</t>
  </si>
  <si>
    <t>7.5/10/12</t>
  </si>
  <si>
    <t>58C</t>
  </si>
  <si>
    <t>S.W. MARGAREE</t>
  </si>
  <si>
    <t>7.5/10/12.5//14</t>
  </si>
  <si>
    <t>59C</t>
  </si>
  <si>
    <t>ST. PETER'S</t>
  </si>
  <si>
    <t>67C</t>
  </si>
  <si>
    <t>WHYCOCOMAGH</t>
  </si>
  <si>
    <t>100C</t>
  </si>
  <si>
    <t>CAPE PORCUPINE</t>
  </si>
  <si>
    <t>8.4/11.2/14</t>
  </si>
  <si>
    <t>103C</t>
  </si>
  <si>
    <t>CHETICAMP</t>
  </si>
  <si>
    <t>Weather taken from Halifax Int A Station Gov. of Canada Website</t>
  </si>
  <si>
    <t>NORTHERN OPERATING AREA</t>
  </si>
  <si>
    <t>1N</t>
  </si>
  <si>
    <t>ONSLOW</t>
  </si>
  <si>
    <t>9/12/15//16.8</t>
  </si>
  <si>
    <t>T4</t>
  </si>
  <si>
    <t>T65</t>
  </si>
  <si>
    <t>3N</t>
  </si>
  <si>
    <t>OXFORD JUNCTION</t>
  </si>
  <si>
    <t>13.5/20.0</t>
  </si>
  <si>
    <t>4N</t>
  </si>
  <si>
    <t>TATAMAGOUCHE</t>
  </si>
  <si>
    <t>6N</t>
  </si>
  <si>
    <t>BLACK RIVER ROAD</t>
  </si>
  <si>
    <t>5//5.6</t>
  </si>
  <si>
    <t>7N</t>
  </si>
  <si>
    <t>PUGWASH</t>
  </si>
  <si>
    <t>T55</t>
  </si>
  <si>
    <t>3/3.75</t>
  </si>
  <si>
    <t>15N</t>
  </si>
  <si>
    <t>WILLOW LANE</t>
  </si>
  <si>
    <t>7.5/10.0</t>
  </si>
  <si>
    <t>15N*</t>
  </si>
  <si>
    <t>15/20/25//28.0</t>
  </si>
  <si>
    <t>16N</t>
  </si>
  <si>
    <t>STEWIACKE</t>
  </si>
  <si>
    <t>7.5/10/11.2</t>
  </si>
  <si>
    <t>17N</t>
  </si>
  <si>
    <t>BROWNELL AVENUE</t>
  </si>
  <si>
    <t>20N</t>
  </si>
  <si>
    <t>PARK STREET</t>
  </si>
  <si>
    <t>22N</t>
  </si>
  <si>
    <t xml:space="preserve">CHURCH ST. </t>
  </si>
  <si>
    <t>30N</t>
  </si>
  <si>
    <t>MACCAN</t>
  </si>
  <si>
    <t>10/13.3/16.6//18.6</t>
  </si>
  <si>
    <t>37N</t>
  </si>
  <si>
    <t>PARRSBORO</t>
  </si>
  <si>
    <t>8.4/11.2</t>
  </si>
  <si>
    <r>
      <t>50N</t>
    </r>
    <r>
      <rPr>
        <vertAlign val="superscript"/>
        <sz val="8"/>
        <rFont val="Arial"/>
        <family val="2"/>
      </rPr>
      <t>+</t>
    </r>
  </si>
  <si>
    <t>TRENTON</t>
  </si>
  <si>
    <t>T13</t>
  </si>
  <si>
    <t>50N</t>
  </si>
  <si>
    <t>55N</t>
  </si>
  <si>
    <t>PICTOU TOWN</t>
  </si>
  <si>
    <t>5/6.7//7.5</t>
  </si>
  <si>
    <t>56N</t>
  </si>
  <si>
    <t>HALIBURTON</t>
  </si>
  <si>
    <t>62N</t>
  </si>
  <si>
    <t>BRIDGE AVENUE</t>
  </si>
  <si>
    <t>74N</t>
  </si>
  <si>
    <t>SPRINGHILL</t>
  </si>
  <si>
    <t>81N</t>
  </si>
  <si>
    <t>DEBERT</t>
  </si>
  <si>
    <t>*15N-T3 experiences elevated levels of gas if loaded over 18MVA</t>
  </si>
  <si>
    <t>Weather taken from Halifax Int A Station 
Gov. of Canada Website</t>
  </si>
  <si>
    <t>56N-T1 to be replaced with 15/20/25 MVA unit in 2020</t>
  </si>
  <si>
    <t>15N-T3 to be replaced with 15/20/25 MVA unit in 2020</t>
  </si>
  <si>
    <t>SYDNEY OPERATING AREA</t>
  </si>
  <si>
    <t>3S</t>
  </si>
  <si>
    <t>GANNON ROAD</t>
  </si>
  <si>
    <t>15/20</t>
  </si>
  <si>
    <t>T5</t>
  </si>
  <si>
    <t>4S</t>
  </si>
  <si>
    <t>TOWNSEND STREET</t>
  </si>
  <si>
    <t>15/20/22//24.6</t>
  </si>
  <si>
    <t>6S</t>
  </si>
  <si>
    <t>TERRACE STREET</t>
  </si>
  <si>
    <t>7.5/10</t>
  </si>
  <si>
    <t>11S</t>
  </si>
  <si>
    <t>KELTIC DRIVE</t>
  </si>
  <si>
    <t>15S</t>
  </si>
  <si>
    <t>NEW WATERFORD</t>
  </si>
  <si>
    <t>57S</t>
  </si>
  <si>
    <t>ALBERT BRIDGE</t>
  </si>
  <si>
    <t>81S</t>
  </si>
  <si>
    <t>RESERVE STREET</t>
  </si>
  <si>
    <t>10/13.3/14.9</t>
  </si>
  <si>
    <t>82S</t>
  </si>
  <si>
    <t>WHITNEY PIER</t>
  </si>
  <si>
    <t>84S</t>
  </si>
  <si>
    <t>V. J. DISTRIBUTION</t>
  </si>
  <si>
    <t>85S</t>
  </si>
  <si>
    <t>WRECK COVE **</t>
  </si>
  <si>
    <t>T11</t>
  </si>
  <si>
    <t>104S</t>
  </si>
  <si>
    <t>BADDECK</t>
  </si>
  <si>
    <t>111S</t>
  </si>
  <si>
    <t>PRIME BROOK</t>
  </si>
  <si>
    <t>111S-Prime Brook new in 2017. PI Data not available during 2019 peak.</t>
  </si>
  <si>
    <t>111S-T61</t>
  </si>
  <si>
    <t>Add 25MVA of transformer capacity at111S-Prime Brook</t>
  </si>
  <si>
    <t>111S-T61 - add 25MVA of transformer capacity in 2017 to cell P27 value</t>
  </si>
  <si>
    <t>VALLEY OPERATING AREA</t>
  </si>
  <si>
    <t>1V</t>
  </si>
  <si>
    <t>AVON NO.1 **</t>
  </si>
  <si>
    <t>12V</t>
  </si>
  <si>
    <t>LEQUILLE HYDRO</t>
  </si>
  <si>
    <t>13V</t>
  </si>
  <si>
    <t>GULCH **</t>
  </si>
  <si>
    <t>14V</t>
  </si>
  <si>
    <t>RIDGE HYDRO</t>
  </si>
  <si>
    <t>16V</t>
  </si>
  <si>
    <t>WEYMOUTH HYDRO</t>
  </si>
  <si>
    <t>18V</t>
  </si>
  <si>
    <t>UPPER BURLINGTON</t>
  </si>
  <si>
    <t>20V</t>
  </si>
  <si>
    <t>FIVE POINTS</t>
  </si>
  <si>
    <t>22V</t>
  </si>
  <si>
    <t>NEW MINAS</t>
  </si>
  <si>
    <t>7.5/12.5</t>
  </si>
  <si>
    <t>36V</t>
  </si>
  <si>
    <t>HILLATON</t>
  </si>
  <si>
    <t>50V</t>
  </si>
  <si>
    <t>KLONDIKE</t>
  </si>
  <si>
    <t>51V</t>
  </si>
  <si>
    <t>TREMONT</t>
  </si>
  <si>
    <t>52V</t>
  </si>
  <si>
    <t>BERWICK</t>
  </si>
  <si>
    <t>5/6.67/7.47</t>
  </si>
  <si>
    <t>55V</t>
  </si>
  <si>
    <t>WATERVILLE</t>
  </si>
  <si>
    <t>63V</t>
  </si>
  <si>
    <t>KINGSTON</t>
  </si>
  <si>
    <t>15/20//25</t>
  </si>
  <si>
    <t>64V</t>
  </si>
  <si>
    <t>GREENWOOD VILL.</t>
  </si>
  <si>
    <t>65V</t>
  </si>
  <si>
    <t>MIDDLETON RURAL</t>
  </si>
  <si>
    <t>70V</t>
  </si>
  <si>
    <t>BRIDGETOWN RURAL</t>
  </si>
  <si>
    <t>7.5//8.4</t>
  </si>
  <si>
    <t>74V</t>
  </si>
  <si>
    <t>CORNWALLIS</t>
  </si>
  <si>
    <t>76V</t>
  </si>
  <si>
    <t>MAITLAND BRIDGE</t>
  </si>
  <si>
    <t>77V</t>
  </si>
  <si>
    <t>CONWAY</t>
  </si>
  <si>
    <t>79V</t>
  </si>
  <si>
    <t>THREE MILE PLAINS</t>
  </si>
  <si>
    <t>82V</t>
  </si>
  <si>
    <t>ELMSDALE</t>
  </si>
  <si>
    <t>//28/37.3/46.7</t>
  </si>
  <si>
    <t>83V</t>
  </si>
  <si>
    <t>WOLFVILLE RIDGE</t>
  </si>
  <si>
    <t>93V</t>
  </si>
  <si>
    <t>SAULNIERVILLE</t>
  </si>
  <si>
    <t>99V</t>
  </si>
  <si>
    <t>HIGHBURY</t>
  </si>
  <si>
    <t>50V-T51 is limited by the transmission line 18MVA Summer and 26 MVA Winter</t>
  </si>
  <si>
    <t>77V-T52 was replaced in 2019 with 5/6.67MVA unit</t>
  </si>
  <si>
    <t>Add 46.7MVA of transformer capacity iat 2H</t>
  </si>
  <si>
    <t>65V-T1 to have extra cooling stage added to increase top rating to 14 MVA in 2020</t>
  </si>
  <si>
    <t>83V-T51 to have extra cooling stage added to increase top rating to 14 MVA in 2020</t>
  </si>
  <si>
    <t>WESTERN OPERATING AREA</t>
  </si>
  <si>
    <t>16W</t>
  </si>
  <si>
    <t>HEBRON</t>
  </si>
  <si>
    <t>19W</t>
  </si>
  <si>
    <t>CENTRAL ARGYLE</t>
  </si>
  <si>
    <t>20W</t>
  </si>
  <si>
    <t>LWR. EAST PUBNICO</t>
  </si>
  <si>
    <t>21W</t>
  </si>
  <si>
    <t>LWR. WOOD'S HBR.</t>
  </si>
  <si>
    <t>22W</t>
  </si>
  <si>
    <t>BARRINGTON PASS.</t>
  </si>
  <si>
    <t>23W</t>
  </si>
  <si>
    <t>CLYDE RIVER</t>
  </si>
  <si>
    <t>3.75/5//5.6</t>
  </si>
  <si>
    <t>25W</t>
  </si>
  <si>
    <t>OHIO RD. **</t>
  </si>
  <si>
    <t>36W</t>
  </si>
  <si>
    <t>GREEN HARBOUR</t>
  </si>
  <si>
    <t>37W</t>
  </si>
  <si>
    <t>LOCKEPORT</t>
  </si>
  <si>
    <t>46W</t>
  </si>
  <si>
    <t>BROAD RIVER</t>
  </si>
  <si>
    <t>48W</t>
  </si>
  <si>
    <t>WATERLOO STREET</t>
  </si>
  <si>
    <t>50W</t>
  </si>
  <si>
    <t>MILTON</t>
  </si>
  <si>
    <t>57W</t>
  </si>
  <si>
    <t>CALEDONIA</t>
  </si>
  <si>
    <t>70W</t>
  </si>
  <si>
    <t>HIGH ST (BRIDGEWTR)</t>
  </si>
  <si>
    <t>5/6.7</t>
  </si>
  <si>
    <t>73W</t>
  </si>
  <si>
    <t>AUBURNDALE</t>
  </si>
  <si>
    <t>76W</t>
  </si>
  <si>
    <t>MAHONE BAY</t>
  </si>
  <si>
    <t>3.75/5</t>
  </si>
  <si>
    <t>78W</t>
  </si>
  <si>
    <t>MARTINS BROOK</t>
  </si>
  <si>
    <t>2.5/3</t>
  </si>
  <si>
    <t>80W</t>
  </si>
  <si>
    <t>INDIAN PATH</t>
  </si>
  <si>
    <t>81W</t>
  </si>
  <si>
    <t>LUNENBURG TOWN</t>
  </si>
  <si>
    <t>84W</t>
  </si>
  <si>
    <t>ROBINSON'S CORNER</t>
  </si>
  <si>
    <t>87W</t>
  </si>
  <si>
    <t>HUBBARDS</t>
  </si>
  <si>
    <t>88W</t>
  </si>
  <si>
    <t>PLEASANT STREET</t>
  </si>
  <si>
    <t>89W</t>
  </si>
  <si>
    <t>BRIDGEWATER EAST</t>
  </si>
  <si>
    <t>138/69</t>
  </si>
  <si>
    <t>91W</t>
  </si>
  <si>
    <t>MIDDLEFIELD</t>
  </si>
  <si>
    <t>5/6.67/8.33</t>
  </si>
  <si>
    <t>92W</t>
  </si>
  <si>
    <t>CARLETON</t>
  </si>
  <si>
    <t>2//2.24</t>
  </si>
  <si>
    <t>102W</t>
  </si>
  <si>
    <t>TUSKET DISTRIBUTION</t>
  </si>
  <si>
    <t>103W</t>
  </si>
  <si>
    <t>GOLD RIVER</t>
  </si>
  <si>
    <t>101W-Bowater to add distribution transformer and two 25kV feeders in 2020</t>
  </si>
  <si>
    <t>19W-T51 scheduled for 7.5/10/12.5 MVA replacement in 2020</t>
  </si>
  <si>
    <t>10 Year Historic Data Method</t>
  </si>
  <si>
    <t>T&amp;D spreadsheet of last 10 Years of Capital Projects c/w Project to Date costing data</t>
  </si>
  <si>
    <t>Totals</t>
  </si>
  <si>
    <t>Period of Years</t>
  </si>
  <si>
    <t>Carrying Costs</t>
  </si>
  <si>
    <t>Max</t>
  </si>
  <si>
    <t>Incorrect value not counted: 4kV being converted to 25kV</t>
  </si>
  <si>
    <t>5//6.7</t>
  </si>
  <si>
    <t>77V-T52</t>
  </si>
  <si>
    <t>3MVA transformer replaced with 5//6.7 MVA unit</t>
  </si>
  <si>
    <t>4-Yr Max</t>
  </si>
  <si>
    <t>Per Year</t>
  </si>
  <si>
    <t xml:space="preserve">Incorrect values not counted - These are adding in wind farm gen as circuit load, when actual peak load on distribution circuits is ~14MVA (the 22MW gen facility would offset this amount, not add to it). </t>
  </si>
  <si>
    <t>Transmission Supply</t>
  </si>
  <si>
    <t>Size</t>
  </si>
  <si>
    <t># of Lines</t>
  </si>
  <si>
    <t>Line Capacity</t>
  </si>
  <si>
    <t>Radial Line
% Loaded</t>
  </si>
  <si>
    <t>(R / N)</t>
  </si>
  <si>
    <t>ACSR</t>
  </si>
  <si>
    <t>69kV</t>
  </si>
  <si>
    <t>138kV</t>
  </si>
  <si>
    <t>230kV</t>
  </si>
  <si>
    <t>345kV</t>
  </si>
  <si>
    <t>Total Winter MVA</t>
  </si>
  <si>
    <t>N</t>
  </si>
  <si>
    <t>4/0</t>
  </si>
  <si>
    <t>556/636</t>
  </si>
  <si>
    <t>2/0</t>
  </si>
  <si>
    <t>1/0</t>
  </si>
  <si>
    <t>556/795</t>
  </si>
  <si>
    <t>MISC</t>
  </si>
  <si>
    <t>795/1113</t>
  </si>
  <si>
    <t>Radial?</t>
  </si>
  <si>
    <t>Carrying Charge</t>
  </si>
  <si>
    <t>336/4/0</t>
  </si>
  <si>
    <t>556/1113</t>
  </si>
  <si>
    <t>556/795/
1113</t>
  </si>
  <si>
    <t>2/0/556/4/0</t>
  </si>
  <si>
    <t>2/0/556</t>
  </si>
  <si>
    <t>4/0/336</t>
  </si>
  <si>
    <t>1</t>
  </si>
  <si>
    <t>4/0/556</t>
  </si>
  <si>
    <t>336-1113</t>
  </si>
  <si>
    <r>
      <rPr>
        <vertAlign val="superscript"/>
        <sz val="9"/>
        <rFont val="Arial"/>
        <family val="2"/>
      </rPr>
      <t>+</t>
    </r>
    <r>
      <rPr>
        <sz val="9"/>
        <color theme="1"/>
        <rFont val="Calibri"/>
        <family val="2"/>
        <scheme val="minor"/>
      </rPr>
      <t>50N-T3 experiences elevated levels of gas if loaded over 18MVA</t>
    </r>
  </si>
  <si>
    <r>
      <rPr>
        <b/>
        <sz val="9"/>
        <rFont val="Arial"/>
        <family val="2"/>
      </rPr>
      <t>Network Stations</t>
    </r>
    <r>
      <rPr>
        <sz val="9"/>
        <rFont val="Arial"/>
        <family val="2"/>
      </rPr>
      <t xml:space="preserve">: Line Capacity for Network stations only includes sum of winter MVA ratings for Network connected lines. </t>
    </r>
  </si>
  <si>
    <r>
      <rPr>
        <b/>
        <sz val="9"/>
        <rFont val="Arial"/>
        <family val="2"/>
      </rPr>
      <t>Radial Stations</t>
    </r>
    <r>
      <rPr>
        <sz val="9"/>
        <rFont val="Arial"/>
        <family val="2"/>
      </rPr>
      <t xml:space="preserve">: Radial lines can supply multiple substations. However, radial supply is limited to 60MW by NS Power's Radial Transmission Policy (CEJC). As such, radial line capacity is the lesser of the line rating and 60MW. </t>
    </r>
  </si>
  <si>
    <t>Loop supply exists already</t>
  </si>
  <si>
    <t>Feeders</t>
  </si>
  <si>
    <t>No. of
Feeders</t>
  </si>
  <si>
    <t>Avg.
MVA</t>
  </si>
  <si>
    <t>Current</t>
  </si>
  <si>
    <t>Town of Berwick - Not Counted, Customer Owned</t>
  </si>
  <si>
    <t>Value not counted: Was used as emergency supply to adjacent feeder</t>
  </si>
  <si>
    <t>Values not counted: circuit offloaded to Hubbards 87W</t>
  </si>
  <si>
    <t>Unit derated</t>
  </si>
  <si>
    <t>Line to Klondike was uprated to 70C operating temp in 2020, raising top rating to 30MVA from 24MVA</t>
  </si>
  <si>
    <t>Feeder re-conductoring</t>
  </si>
  <si>
    <t>If loading exceeds any of these values during any of the previous 4 years (chosen because we have 4 years of snapshot data), then the equipment is considered to be constrained.</t>
  </si>
  <si>
    <t>2109 $</t>
  </si>
  <si>
    <t>Avoided T&amp;D Costs</t>
  </si>
  <si>
    <t>Transmission
$/kW-yr</t>
  </si>
  <si>
    <t>Distribution
$/kW-yr</t>
  </si>
  <si>
    <t>Total
$/kW-yr</t>
  </si>
  <si>
    <t>Total Cost
(2019 $)</t>
  </si>
  <si>
    <t>For each year, identify:
• Projects required due to load growth
• Cost to Date of growth related transmission projects
• Cost to Date of growth related distribution projects</t>
  </si>
  <si>
    <t>Sum all transmission growth related costs after adjusting for inflation (2%/yr)
Sum all distribution growth related costs after adjusting for inflation (2%/yr)</t>
  </si>
  <si>
    <t>Results</t>
  </si>
  <si>
    <t>Results are developed on the 2010-2019 Projects tab and shown in the Results Summary</t>
  </si>
  <si>
    <t>SCADA</t>
  </si>
  <si>
    <t>Xfmrs (y/n)</t>
  </si>
  <si>
    <t>Sub (y/n)</t>
  </si>
  <si>
    <t>Fdrs (Y/N)</t>
  </si>
  <si>
    <t>xfms</t>
  </si>
  <si>
    <t>Total</t>
  </si>
  <si>
    <t>Subs</t>
  </si>
  <si>
    <t>Count</t>
  </si>
  <si>
    <t>%</t>
  </si>
  <si>
    <t>xfmrs</t>
  </si>
  <si>
    <t>Xfmr %</t>
  </si>
  <si>
    <t>Feeder (A)</t>
  </si>
  <si>
    <t>Radial Xmsn</t>
  </si>
  <si>
    <t>Constrained System</t>
  </si>
  <si>
    <t>Equivalent   
Growth/yr</t>
  </si>
  <si>
    <t>This method provides Avoided Costs based on peak demand of the T&amp;D system and not with general energy sales reduction.</t>
  </si>
  <si>
    <t>Divide both results by the number of years covered (10) to obtain Average Annual Cost in current year dollars</t>
  </si>
  <si>
    <t>Determine Historic Annual Growth Rate for the 10 year study period</t>
  </si>
  <si>
    <t>Distribution Line Phase Conductor additions / extensions (load growth related)</t>
  </si>
  <si>
    <t>Voltage conversions (load growth related)</t>
  </si>
  <si>
    <t>New voltage compensation / reactive devices (load growth related)</t>
  </si>
  <si>
    <t>System Wide</t>
  </si>
  <si>
    <t>Constrained transformer  = unit loaded ≥ 80% of 133% CEJC Criteria limit = 106%</t>
  </si>
  <si>
    <t>Constrained Feeders = average substation feeder load ≥ 80% x 325 amps = 260 amps</t>
  </si>
  <si>
    <t>Constrained  Radial Transmission Line = peak load ≥ 80% of (lesser of 60MW Looping Policy and winter line rating)</t>
  </si>
  <si>
    <t>Constrained feeders &gt; 260amps
Constrained Xfmrs &gt; 106% Top N/P</t>
  </si>
  <si>
    <r>
      <t xml:space="preserve">The Constrained designation is applied to infrastructure operating at </t>
    </r>
    <r>
      <rPr>
        <b/>
        <sz val="11"/>
        <color theme="1"/>
        <rFont val="Calibri"/>
        <family val="2"/>
      </rPr>
      <t>≥ 80% of Capital Expenditure Justification Criteria capacity, as follows:</t>
    </r>
    <r>
      <rPr>
        <b/>
        <sz val="11"/>
        <color theme="1"/>
        <rFont val="Calibri"/>
        <family val="2"/>
        <scheme val="minor"/>
      </rPr>
      <t xml:space="preserve"> </t>
    </r>
  </si>
  <si>
    <t>Determine Carrying Cost for Average Annual Costs ($/yr): = Average Annual Costs x Carrying Charge</t>
  </si>
  <si>
    <t>This table provides a summary of results determined from the Region spreadsheet tabs (Halifax, Canseau,…)</t>
  </si>
  <si>
    <t>Matter</t>
  </si>
  <si>
    <t>Notes</t>
  </si>
  <si>
    <t>??</t>
  </si>
  <si>
    <t>M06972</t>
  </si>
  <si>
    <t>M07160</t>
  </si>
  <si>
    <t>M06883</t>
  </si>
  <si>
    <t>M07551</t>
  </si>
  <si>
    <t>M06017</t>
  </si>
  <si>
    <t>M06016</t>
  </si>
  <si>
    <t>M06053</t>
  </si>
  <si>
    <t>M07159</t>
  </si>
  <si>
    <t>M07231</t>
  </si>
  <si>
    <t>M07658</t>
  </si>
  <si>
    <t>Header</t>
  </si>
  <si>
    <t>M04937</t>
  </si>
  <si>
    <t>CI# 41797 - P-128.12 - NSPI WO - Brier Island Crossing - $2,212,073</t>
  </si>
  <si>
    <t>M04938</t>
  </si>
  <si>
    <t>G</t>
  </si>
  <si>
    <t>CI# 38826 - P-128.12 - NSPI WO - POT Distribution Control, SYstem (DCS) Upgrade - $1,349,773</t>
  </si>
  <si>
    <t>M04939</t>
  </si>
  <si>
    <t>CI# 38834 - P-128.12 - NSPI WO - TRE5 Turbine Upgrades LP/IP/HP - $5,929,964</t>
  </si>
  <si>
    <t>M04940</t>
  </si>
  <si>
    <t>CI# 28487 - P-128.12 - NSPI WO - LIN Supplemental Water Supply - $3,367,744</t>
  </si>
  <si>
    <t>M04941</t>
  </si>
  <si>
    <t>CI# Various - P-128.12 - NSPI WO - Transmission Routines (2011) - $264,292</t>
  </si>
  <si>
    <t>M04942</t>
  </si>
  <si>
    <t>O</t>
  </si>
  <si>
    <t>CI# Various - P-128.12 - NSPI WO - General Property Routines (2011) - $264,292</t>
  </si>
  <si>
    <t>M04943</t>
  </si>
  <si>
    <t>CI# Various - P-128.12 - NSPI WO - Generation Hydro Routine (2011) - $528,179</t>
  </si>
  <si>
    <t>M05062</t>
  </si>
  <si>
    <t>M05063</t>
  </si>
  <si>
    <t>CI# 41248 - P-128.12 - NSPI WO - TUC - Lube OIl Storage Building -</t>
  </si>
  <si>
    <t>M05064</t>
  </si>
  <si>
    <t>CI# 41235 - P-128.12 - NSPI WO - LIN1 Boiler Refurbishment</t>
  </si>
  <si>
    <t>M05065</t>
  </si>
  <si>
    <t>CI# 41234 - P-128.12 - NSPI WO - LIN4 Boiler Refurbishment -</t>
  </si>
  <si>
    <t>M05066</t>
  </si>
  <si>
    <t>CI# 41537 - P-128.12 - NSPI WO - Amherst 138kV Substation -</t>
  </si>
  <si>
    <t>M05067</t>
  </si>
  <si>
    <t>CI# 41141 - P-128.12 - NSPI WO - HYD - Sissiboo Grand Lake Spillway -</t>
  </si>
  <si>
    <t>M05068</t>
  </si>
  <si>
    <t>CI# Various - P-128.12 - NSPI WO - Distribution Upgrades and Replacement Routines (2011)</t>
  </si>
  <si>
    <t>M05069</t>
  </si>
  <si>
    <t>CI# 38834 - P-128.12 - NSPI WO - TRE5 - Turbine Upgrades LP/IP/HP -</t>
  </si>
  <si>
    <t>M05095</t>
  </si>
  <si>
    <t>CI# 10900 - P-128.12 - NSPI WO - HYD DEB #10 – Generator Rewind – $985,901</t>
  </si>
  <si>
    <t>M05096</t>
  </si>
  <si>
    <t>CI# 14366 - P-128.12 - NSPI WO - SHH DIB – Pipeline Replacement – $3,820,694</t>
  </si>
  <si>
    <t>M05097</t>
  </si>
  <si>
    <t>CI# 19753 - P-128.12 - NSPI WO - HYD ANN-Unit Overhaul – $2,695,919</t>
  </si>
  <si>
    <t>M05098</t>
  </si>
  <si>
    <t>CI# 29012 - P-128.12 - NSPI WO - Upgrade L6537 – $2,234,560</t>
  </si>
  <si>
    <t>M05099</t>
  </si>
  <si>
    <t>CI# 31203 - P-128.12 - NSPI WO - HYD – Toms Lake Safety Remedial Works – $2,008,811</t>
  </si>
  <si>
    <t>M05100</t>
  </si>
  <si>
    <t>CI# 32442 - P-128.12 - NSPI WO - HYD – Ridge Spillway Refurbishment – $1,569,003</t>
  </si>
  <si>
    <t>M05101</t>
  </si>
  <si>
    <t>CI# 37609 - P-128.12 - NSPI WO - LIN – Unit $1 Rotor Rewind – $3,461,093</t>
  </si>
  <si>
    <t>M05102</t>
  </si>
  <si>
    <t>CI# 38442 - P-128.12 - NSPI WO - LIN – U&amp;U – Unit #2 ESP Flow Modifications – $1,691,228</t>
  </si>
  <si>
    <t>M05103</t>
  </si>
  <si>
    <t>CI# 38943 - P-128.12 - NSPI WO - LIN1 – Boiler Refurbishment – $1,651,741</t>
  </si>
  <si>
    <t>M05104</t>
  </si>
  <si>
    <t>T&amp;D</t>
  </si>
  <si>
    <t>CI# 40224 - P-128.12 - NSPI WO - 78w -301 Second Peninsula – $519,245</t>
  </si>
  <si>
    <t>M05105</t>
  </si>
  <si>
    <t>CI# 41536 - P-128.12 - NSPI WO - 2012 Reliability Technologies Transmission – $468,303</t>
  </si>
  <si>
    <t>M05106</t>
  </si>
  <si>
    <t>CI# 40906 - P-512 - NSPI WO - U&amp;U Automatic Sleeve Replacement – $287,402</t>
  </si>
  <si>
    <t>M05209</t>
  </si>
  <si>
    <t>CI# 43106 - P-512 - NSPI WO - U&amp;U 126H-311 Porters Lake Targeted Replacements - $405,095</t>
  </si>
  <si>
    <t>M05210</t>
  </si>
  <si>
    <t>CI# 43176 - P-512 - NSPI WO - U&amp;U 19W-312G Argyle Sound Targeted Replacements - $522,333</t>
  </si>
  <si>
    <t>M05211</t>
  </si>
  <si>
    <t>CI# 43469 - P-512 - NSPI WO - U&amp;U Raynard's Lake Fish Ladder - $476,757</t>
  </si>
  <si>
    <t>M05212</t>
  </si>
  <si>
    <t>CI# 42868 - P-512 - NSPI WO - U&amp;U Jordan Lake Diversion Refurbishment - $780,299</t>
  </si>
  <si>
    <t>M05213</t>
  </si>
  <si>
    <t>CI# 43089 - P-512 - NSPI WO - POT U&amp;U Safety Eyewash and Shower - $275,509</t>
  </si>
  <si>
    <t>M05214</t>
  </si>
  <si>
    <t>CI# 42907 - P-512 - NSPI WO - CT U&amp;U Burnside FT Overhaul - $2,490,181</t>
  </si>
  <si>
    <t>M05215</t>
  </si>
  <si>
    <t>CI# 42991 - P-512 - NSPI WO - TUC3 U&amp;U Turbine IP/LP Refurbishment - $1678,031</t>
  </si>
  <si>
    <t>M05216</t>
  </si>
  <si>
    <t>CI# 43290 - P-512 - NSPI WO - TUC3 U&amp;U Turbine Control Valves Refurbishment - $422,357</t>
  </si>
  <si>
    <t>M05218</t>
  </si>
  <si>
    <t>CI# 41126 - P-128.12 - NSPI WO - HYD - Annapolis Sluiceway and Powerhouse Stop Log Refurbishment - $1,068,327</t>
  </si>
  <si>
    <t>M05219</t>
  </si>
  <si>
    <t>CI# 41403 - P-128.12 - NSPI WO - GIS Enterprise License Agreement - $357,500</t>
  </si>
  <si>
    <t>M05220</t>
  </si>
  <si>
    <t>CI# 41228 - P-128.12 - NSPI WO - TUC3 Turbine HP Impulse Blade Replacement - $1,633,539</t>
  </si>
  <si>
    <t>M05221</t>
  </si>
  <si>
    <t>CI# 38732 - P-128.12 - NSPI WO - 1H Water Street Replace - $1,632,493</t>
  </si>
  <si>
    <t>M05222</t>
  </si>
  <si>
    <t>CI# 38826 - P-128.12 - NSPI WO - POT DCS Upgrade - $1,349,493</t>
  </si>
  <si>
    <t>M05223</t>
  </si>
  <si>
    <t>CI# 29822 - P-128.12 - NSPI WO - Pt. Tupper - Relocate Port Malcolm  Rd. - $1,632,187</t>
  </si>
  <si>
    <t>M05224</t>
  </si>
  <si>
    <t>CI# 14719 - P-128.12 - NSPI WO - POT - Condenser Tube Replacement - $2,088,744</t>
  </si>
  <si>
    <t>M05225</t>
  </si>
  <si>
    <t>CI# 33942 - P-128.12 - NSPI WO - Coon Pond Pipeline Replacement - $1,600,480</t>
  </si>
  <si>
    <t>M05226</t>
  </si>
  <si>
    <t>CI# 28570 - P-128.12 - NSPI WO - HYD - Hollow Bridge Generator Rewind - $1,492,476</t>
  </si>
  <si>
    <t>M05227</t>
  </si>
  <si>
    <t>CI# 28727 - P-128.12 - NSPI WO - HYD - Great Barren Dam Safety - $2,301,559</t>
  </si>
  <si>
    <t>M05228</t>
  </si>
  <si>
    <t>CI# 28726 - P-128.12 - NSPI WO - HYD - Carleton Lake Dam Refurbishment - $6,321,508</t>
  </si>
  <si>
    <t>M05339</t>
  </si>
  <si>
    <t>ACE</t>
  </si>
  <si>
    <t>P-128.13 - Nova Scotia Power Inc. - 2013 Annual Capital Expenditure Plan ("ACE Plan")</t>
  </si>
  <si>
    <t>M05355</t>
  </si>
  <si>
    <t>P-205 Capital Expenditure Justification Criteria CEJC - Nova Scotia Power Inc.</t>
  </si>
  <si>
    <t>M05360</t>
  </si>
  <si>
    <t>XXX</t>
  </si>
  <si>
    <t>P-141 - Nova Scotia Power Inc. - Request Approval of the 2013 Annually Adjusted Rates (AAR's)</t>
  </si>
  <si>
    <t>M05384</t>
  </si>
  <si>
    <t>CI# 43826 - P-512 - NSPI WO - U&amp;U HYD Annapolis Powerhouse Roof Hatch Replacement - $432,723</t>
  </si>
  <si>
    <t>M05385</t>
  </si>
  <si>
    <t>CI# 43750 - P-512 - NSPI WO - U&amp;U 22W Barrington Passage Project - $404,531</t>
  </si>
  <si>
    <t>M05386</t>
  </si>
  <si>
    <t>CI# 43326 - P-512 - NSPI WO - TUC3 U&amp;U HP Feedwater Piping Replacement - $597,883</t>
  </si>
  <si>
    <t>M05387</t>
  </si>
  <si>
    <t>CI# 43187 - P-512 - NSPI WO - U&amp;U L8002 Tower Refurbishment - $370,190</t>
  </si>
  <si>
    <t>M05388</t>
  </si>
  <si>
    <t>CI# 43116 - P-512 - NSPI WO - TRE5 U&amp;U 5-1 and 5-2 CW Pump Refurbishments - $400,978</t>
  </si>
  <si>
    <t>M05389</t>
  </si>
  <si>
    <t>CI# 18448 - P-128.12 - NSPI WO - TUC Cooling Water System Biofouling Control - $3,525,7213</t>
  </si>
  <si>
    <t>M05390</t>
  </si>
  <si>
    <t>CI# 40224 - P-128.12 - NSPI WO - 78W-301 Second Peninsula (Re-File) - $422,878</t>
  </si>
  <si>
    <t>M05391</t>
  </si>
  <si>
    <t>CI# 29008 - P-128.12 - NSPI WO - Construct 139H Dartmouth Crossing Substation - $4,681,153</t>
  </si>
  <si>
    <t>M05392</t>
  </si>
  <si>
    <t>CI# 39270 - P-128.12 - NSPI WO - 2011 Dist. Cutout Replacements - $3,217,257</t>
  </si>
  <si>
    <t>M05393</t>
  </si>
  <si>
    <t>CI# 28702 - P-128.12 - NSPI WO - Replace Bridgewater Transformer 89W-T1 - $1,773,084</t>
  </si>
  <si>
    <t>M05394</t>
  </si>
  <si>
    <t>CI# 25566 - P-128.12 - NSPI WO - Replace DNR Microwave Circuits - $2,205,252</t>
  </si>
  <si>
    <t>M05395</t>
  </si>
  <si>
    <t>CI# 29013 - P-128.12 - NSPI WO - 82V Elmsdale Transformer Addition - $2,920,567</t>
  </si>
  <si>
    <t>M05396</t>
  </si>
  <si>
    <t>CI# 28295 - P-128.12 - NSPI WO - Construct 137H Hammonds Plains Rd. 138/25 kV Substation - $4,003,879</t>
  </si>
  <si>
    <t>M05397</t>
  </si>
  <si>
    <t>CI# 38022 - P-128.12 - NSPI WO - 2010 Recloser Additions - $1,654,432</t>
  </si>
  <si>
    <t>M05398</t>
  </si>
  <si>
    <t>CI# 40281 - P-128.12 - NSPI WO - 2011 Transmission Line Insulator Replacement - $3,986,553</t>
  </si>
  <si>
    <t>M05399</t>
  </si>
  <si>
    <t>CI# 39529 - P-128.12 - NSPI WO - POT Steam Turbine / Generator Major 2011 - $5,177,978</t>
  </si>
  <si>
    <t>M05400</t>
  </si>
  <si>
    <t>CI# 38362 - P-128.12 - NSPI WO - TUC#1 Generator Rotor Restore- $3,629,169</t>
  </si>
  <si>
    <t>M05401</t>
  </si>
  <si>
    <t>CI# 28865 - P-128.12 - NSPI WO - POT Unit#2 Low NOx Combustion Firing System - $3,561,731</t>
  </si>
  <si>
    <t>M05402</t>
  </si>
  <si>
    <t>CI# 38942 - P-128.12 - NSPI WO - TUC #3 Generator Rotor Rewind - $1,445,911</t>
  </si>
  <si>
    <t>M05403</t>
  </si>
  <si>
    <t>CI# 28552 - P-128.12 - NSPI WO - TRE5 Replace Trenton 5 Generator - $15,834,753</t>
  </si>
  <si>
    <t>M05404</t>
  </si>
  <si>
    <t>CI# 31244 - P-128.12 - NSPI WO - Paradise Wood Stave Pipeline Replacement - $9,386,935</t>
  </si>
  <si>
    <t>M05405</t>
  </si>
  <si>
    <t>CI# 28752 - P-128.12 - NSPI WO - LM6000 Overhaul TUC#5 Engine - $943,711</t>
  </si>
  <si>
    <t>M05416</t>
  </si>
  <si>
    <t>CI# 42127 - P-128.13 - NSPI WO - South Canoe Wind Project - $93,091,536</t>
  </si>
  <si>
    <t>M05511</t>
  </si>
  <si>
    <t>CI# 43121 - P-512 - NSPI WO - TRE5 U&amp;U Turbine Repairs - $3,374,762</t>
  </si>
  <si>
    <t>M05512</t>
  </si>
  <si>
    <t>CI# 41843 - P-512 - NSPI WO - TUC2 U&amp;U HP/IP Blades Replacement - $4,056,204</t>
  </si>
  <si>
    <t>M05513</t>
  </si>
  <si>
    <t>CI# 44066 - P-512 - NSPI WO - LIN4 U&amp;U Breach Repairs - $271,301</t>
  </si>
  <si>
    <t>M05514</t>
  </si>
  <si>
    <t>CI# 41534 - P-128.12 - NSPI WO - 2012 Reliability Technologies Distribution - $1,040,175</t>
  </si>
  <si>
    <t>M05515</t>
  </si>
  <si>
    <t>CI# 34583 - P-128.12 - NSPI WO - Transportation Vehicle Replacements - $1,406,537</t>
  </si>
  <si>
    <t>M05516</t>
  </si>
  <si>
    <t>CI# 28474  - P-128.12 - NSPI WO -St. Croix Install New Transformer &amp; Bus - $4,070,458</t>
  </si>
  <si>
    <t>M05580</t>
  </si>
  <si>
    <t>CI# 43419 - P-513 - NSPI WO - TUC2 U&amp;U FD Fan Bearings Replacement - Outside Quarter March 13, 2013 - $616,712</t>
  </si>
  <si>
    <t>M05581</t>
  </si>
  <si>
    <t>CI# 44086 - P-513 - NSPI WO - TRE5 U&amp;U 504 Mill Refurbishment - Outside Quarter March 13, 2013 - $597,055</t>
  </si>
  <si>
    <t>M05582</t>
  </si>
  <si>
    <t>CI# 42648 - P-128.13 - NSPI WO - HYD Harmony Fish Ladder - Outside Quarter March 13, 2013 - $821,334</t>
  </si>
  <si>
    <t>M05583</t>
  </si>
  <si>
    <t>P-128.13 - NSPI WO - CI General Plant Routines (2012) - Outside Quarter March 13, 2013 - $884,238</t>
  </si>
  <si>
    <t>M05584</t>
  </si>
  <si>
    <t>P-128.13 - NSPI WO - CI Distribution Routines (2012) - Outside Quarter March 13, 2013 - $26,624,197</t>
  </si>
  <si>
    <t>M05585</t>
  </si>
  <si>
    <t>CI# 39803 - P-128.13 - NSPI WO - POT Unit #2 Generator Major Refurbishment - Outside Quarter March 13, 2013 - $2,999,568</t>
  </si>
  <si>
    <t>M05586</t>
  </si>
  <si>
    <t>CI# 40280 - P-128.13 - NSPI WO -  2011 Transmission Switch &amp; Breaker Upgrade - Outside Quarter March 13, 2013 - $3,275,925</t>
  </si>
  <si>
    <t>M05587</t>
  </si>
  <si>
    <t>CI# 40287 - P-128.13 - NSPI WO - Substation Recloser Replacement - Outside Quarter March 13, 2013 - $4,234,195</t>
  </si>
  <si>
    <t>M05588</t>
  </si>
  <si>
    <t>CI# 17830 - P-128.13 - NSPI WO - HYD - STM Big Indian Dam Safety - Outside Quarter March 13, 2013 - $3,270,949</t>
  </si>
  <si>
    <t>M05648</t>
  </si>
  <si>
    <t>CI# 44046 - P-513 - NSPI WO - TUC2 U&amp;U HP/IP Stationary Seals Replacement (Q1 2013) - $506,150</t>
  </si>
  <si>
    <t>M05649</t>
  </si>
  <si>
    <t>CI# 44426 - P-513 - NSPI WO - HYD U&amp;U Weymouth #2 Headcover Replacement (Q1 2013) - $619,126</t>
  </si>
  <si>
    <t>M05650</t>
  </si>
  <si>
    <t>CI# 43786 - P-128.13 - NSPI WO - 2013 L8002 Tower Refurbishments (Q1 2013) - $2,170,668</t>
  </si>
  <si>
    <t>M05651</t>
  </si>
  <si>
    <t>CI# 40278 - P-128.13 - NSPI WO - OMS Replacement 2011 (Q1 2013) - $4,102,903</t>
  </si>
  <si>
    <t>M05652</t>
  </si>
  <si>
    <t>CI# 34843 - P-128.13 - NSPI WO (Q1 2013) - Oracle NLA License</t>
  </si>
  <si>
    <t>M05733</t>
  </si>
  <si>
    <t>MUNI</t>
  </si>
  <si>
    <t>E-BER-R-13(2) - Berwick Electric  Commission - Request interim approval under s69 of the Public Utilities Act to offer LED Yard Lighting to customers</t>
  </si>
  <si>
    <t>M05815</t>
  </si>
  <si>
    <t>CI# 44266 - P-513 - NSPI WO - TRE5 U&amp;U Mill Refurbishment (Q2 2013) - $594,552</t>
  </si>
  <si>
    <t>M05816</t>
  </si>
  <si>
    <t>CI# 44247 - P-513 - NSPI WO - TUC2 U&amp;U Turbine Control Valves (Q2 2013) - $717,053</t>
  </si>
  <si>
    <t>M05817</t>
  </si>
  <si>
    <t>CI# 44047 - P-513 - NSPI WO - TUC2 Turbine LP Row 6 LH &amp; RH Blades Refurbishment (Q2 2013) - $922,545</t>
  </si>
  <si>
    <t>M05818</t>
  </si>
  <si>
    <t>CI# 44027 - P-513 - NSPI WO - TUC2 U&amp;U High Pressure Nozzles Replacement (Q2 2013) - $598,090</t>
  </si>
  <si>
    <t>M05819</t>
  </si>
  <si>
    <t>CI# 44592 - P-513 - NSPI WO - TUC1 U&amp;U Generator Terminal Bushing Seals Replacement (Q2 2013) - $580,917</t>
  </si>
  <si>
    <t>M05820</t>
  </si>
  <si>
    <t>CI# 40310 - P-513 - NSPI WO - U&amp;U 15N Willow Lane Circuit Switch Additions (Q2 2013) - $435,680</t>
  </si>
  <si>
    <t>M05821</t>
  </si>
  <si>
    <t>CI# 43166 - P-128.13 - NSPI WO -  LIN Mill Refurbishment (Q2 2013) - $544,692</t>
  </si>
  <si>
    <t>M05822</t>
  </si>
  <si>
    <t>CI# 43165 - P-128.13 - NSPI WO - LIN4 Boiler Refurbishment (Q2 2013) - $450,134</t>
  </si>
  <si>
    <t>M05946</t>
  </si>
  <si>
    <t>CI# 38163 - P-513 - NSPI - WO - TRE6 U&amp;U Pulverizer Refurbishment - Outside Quarter October 30, 2013 - $714,877</t>
  </si>
  <si>
    <t>M05947</t>
  </si>
  <si>
    <t>CI# 44030 - P-513 - NSPI - WO - International Coal Pier - Outside Quarter October 30, 2013 - $6,589,506</t>
  </si>
  <si>
    <t>M05948</t>
  </si>
  <si>
    <t>CI# 44712 - P-513 - NSPI - WO - IT U&amp;U Oracle Licensing Migration - $1,340,608 - Outside Quarter October 30, 2013</t>
  </si>
  <si>
    <t>M05949</t>
  </si>
  <si>
    <t>CI# 43008 - P-128.13 - NSPI - WO - TRI5 Turbine - Generator Fire Protection - Outside Quarter October 30, 2013 - $305,358</t>
  </si>
  <si>
    <t>M05950</t>
  </si>
  <si>
    <t>CI# 34182 - P-128.09 - NSPI - WO - LIN Unit #1 Mercury Abatement - Outside Quarter October 30, 2013 - $2,038,874</t>
  </si>
  <si>
    <t>M05951</t>
  </si>
  <si>
    <t>CI# 34202 - P-128.09 - NSPI - WO - LIN Unit #2 Mercury Abatement - Outside Quarter October 30, 2013 - $1,962,692</t>
  </si>
  <si>
    <t>M05952</t>
  </si>
  <si>
    <t>CI# 34222 - P-128.09 - NSPI - WO - LIN Unit #4 Mercury Abatement - Outside Quarter October 30, 2013 - $1,968,862</t>
  </si>
  <si>
    <t>M05953</t>
  </si>
  <si>
    <t>CI# 34223 - P-128.09 - NSPI - WO - POT Mercury Abatement - Outside Quarter October 30, 2013 - $2,831,834</t>
  </si>
  <si>
    <t>M05954</t>
  </si>
  <si>
    <t>CI# 34224 - P-128.09 - NSPI - WO - TRE Unit #5 Mercury Abatement - Outside Quarter October 30, 2013 - $1,864,202</t>
  </si>
  <si>
    <t>M05955</t>
  </si>
  <si>
    <t>CI# 34242 - P-128.09 - NSPI - WO - TRE Unit #6 Mercury Abatement - Outside Quarter October 30, 2013  - $2,122,584</t>
  </si>
  <si>
    <t>M05960</t>
  </si>
  <si>
    <t>P-141 - Nova Scotia Power Inc. - Request Approval of the 2014 Annually Adjusted Rates (AAR's)</t>
  </si>
  <si>
    <t>M05998</t>
  </si>
  <si>
    <t>P-128.14 - Nova Scotia Power Inc. - 2014 ACE Plan requesting approval of capital investments totaling $97.1 million</t>
  </si>
  <si>
    <t>M06012</t>
  </si>
  <si>
    <t>CI# 44446 - P-513 - NSPI WO - IT U&amp;U Windows 7 Migration - (Q3 2013) - $704,437</t>
  </si>
  <si>
    <t>M06013</t>
  </si>
  <si>
    <t>CI# 44266 - P-513 - NSPI WO - TRE5 U&amp;U 5-2 Mill Refurbishment - (Q3 2013) - $610,664</t>
  </si>
  <si>
    <t>M06014</t>
  </si>
  <si>
    <t>CI# 44027 - P-513 - NSPI WO - TUC2 U&amp;U Turbine High Pressure Nozzles Replacement - (Q3 2013) - $606,235</t>
  </si>
  <si>
    <t>M06015</t>
  </si>
  <si>
    <t>CI# 41265 - P-128.13 - NSPI WO - TUC - Oil Dock Piling Refurbishment - (Q3 2013) - $610,664</t>
  </si>
  <si>
    <t>CI# 43286 - P-128.13 - NSPI WO - 6S Terrace Street Conversion Phase 1 - (Q3 2013) - $1,196,401</t>
  </si>
  <si>
    <t>CI# 43548 - P-128.13 - NSPI WO - 533S Mason Street Conversion - (Q3 2013) - $720,901</t>
  </si>
  <si>
    <t>M06044</t>
  </si>
  <si>
    <r>
      <t>CI# 45086 - P-513 - NSPI WO - POT U&amp;U - Turbine Blade Replacements - $1,190,511</t>
    </r>
    <r>
      <rPr>
        <b/>
        <sz val="12"/>
        <color rgb="FF3C6F89"/>
        <rFont val="Arial"/>
        <family val="2"/>
      </rPr>
      <t xml:space="preserve"> - Outside Quarter December 23, 2013</t>
    </r>
  </si>
  <si>
    <t>M06045</t>
  </si>
  <si>
    <t>CI# 45115 - P-513 - NSPI WO - HYD U&amp;U Nictaux Plant Automation - $446,296 - Outside Quarter December 23, 2013</t>
  </si>
  <si>
    <t>M06046</t>
  </si>
  <si>
    <r>
      <t xml:space="preserve">CI# 45269 - P-513 - NSPI WO - CT U&amp;U Tusket Engine Replacement </t>
    </r>
    <r>
      <rPr>
        <b/>
        <sz val="12"/>
        <color rgb="FF3C6F89"/>
        <rFont val="Meiryo"/>
        <family val="2"/>
        <charset val="128"/>
      </rPr>
      <t>‐</t>
    </r>
    <r>
      <rPr>
        <b/>
        <sz val="12"/>
        <color rgb="FF3C6F89"/>
        <rFont val="Arial"/>
        <family val="2"/>
      </rPr>
      <t xml:space="preserve"> 2,089,591 - Outside Quarter December 23, 2013</t>
    </r>
  </si>
  <si>
    <t>M06047</t>
  </si>
  <si>
    <r>
      <t xml:space="preserve">CI# 43906 - P-513 - NSPI WO - TUC4 U&amp;U LM6000 Engine Refurbishment </t>
    </r>
    <r>
      <rPr>
        <b/>
        <sz val="12"/>
        <color rgb="FF3C6F89"/>
        <rFont val="Meiryo"/>
        <family val="2"/>
        <charset val="128"/>
      </rPr>
      <t>‐</t>
    </r>
    <r>
      <rPr>
        <b/>
        <sz val="12"/>
        <color rgb="FF3C6F89"/>
        <rFont val="Arial"/>
        <family val="2"/>
      </rPr>
      <t xml:space="preserve"> $4,214,899 and CI#45630 - TUC4 U&amp;U LM6000 Rotable Engine Purchase - $6,612,813 - Outside Quarter December 23, 2013</t>
    </r>
  </si>
  <si>
    <t>M06048</t>
  </si>
  <si>
    <t>CI# 45630 - P-513 - NSPI WO - TUC4 U&amp;U LM6000 Rotable Engine Purchase - $6,612,813 - Outside Quarter December 23, 2013</t>
  </si>
  <si>
    <t>M06049</t>
  </si>
  <si>
    <r>
      <t>CI# 40648 - P-128.13 - NSPI WO - IT</t>
    </r>
    <r>
      <rPr>
        <b/>
        <sz val="12"/>
        <color rgb="FF3C6F89"/>
        <rFont val="Meiryo"/>
        <family val="2"/>
        <charset val="128"/>
      </rPr>
      <t>‐</t>
    </r>
    <r>
      <rPr>
        <b/>
        <sz val="12"/>
        <color rgb="FF3C6F89"/>
        <rFont val="Arial"/>
        <family val="2"/>
      </rPr>
      <t xml:space="preserve"> Field Mobility System </t>
    </r>
    <r>
      <rPr>
        <b/>
        <sz val="12"/>
        <color rgb="FF3C6F89"/>
        <rFont val="Corbel"/>
        <family val="2"/>
      </rPr>
      <t>‐</t>
    </r>
    <r>
      <rPr>
        <b/>
        <sz val="12"/>
        <color rgb="FF3C6F89"/>
        <rFont val="Arial"/>
        <family val="2"/>
      </rPr>
      <t xml:space="preserve"> $3,332,514 - Outside Quarter - December 23, 2013</t>
    </r>
  </si>
  <si>
    <t>M06050</t>
  </si>
  <si>
    <r>
      <t xml:space="preserve">CI# 42982 - P-128.13 - NSPI WO - TUC6 Gland Steam System Improvements </t>
    </r>
    <r>
      <rPr>
        <b/>
        <sz val="12"/>
        <color rgb="FF3C6F89"/>
        <rFont val="Meiryo"/>
        <family val="2"/>
        <charset val="128"/>
      </rPr>
      <t>‐</t>
    </r>
    <r>
      <rPr>
        <b/>
        <sz val="12"/>
        <color rgb="FF3C6F89"/>
        <rFont val="Arial"/>
        <family val="2"/>
      </rPr>
      <t xml:space="preserve"> $1,308,372 - Outside Quarter - December 23, 2013</t>
    </r>
  </si>
  <si>
    <t>M06051</t>
  </si>
  <si>
    <r>
      <t xml:space="preserve">CI# 43467 - P-128.13 - NSPI WO - Plant Wireless Infrastructure </t>
    </r>
    <r>
      <rPr>
        <b/>
        <sz val="12"/>
        <color rgb="FF3C6F89"/>
        <rFont val="Meiryo"/>
        <family val="2"/>
        <charset val="128"/>
      </rPr>
      <t>‐</t>
    </r>
    <r>
      <rPr>
        <b/>
        <sz val="12"/>
        <color rgb="FF3C6F89"/>
        <rFont val="Arial"/>
        <family val="2"/>
      </rPr>
      <t xml:space="preserve"> $940,027 - Outside Quarter - December 23, 2013</t>
    </r>
  </si>
  <si>
    <t>M06052</t>
  </si>
  <si>
    <r>
      <t>CI# 43726 - P-128.13 - NSPI WO - Replace 3N</t>
    </r>
    <r>
      <rPr>
        <b/>
        <sz val="12"/>
        <color rgb="FF3C6F89"/>
        <rFont val="Meiryo"/>
        <family val="2"/>
        <charset val="128"/>
      </rPr>
      <t>‐</t>
    </r>
    <r>
      <rPr>
        <b/>
        <sz val="12"/>
        <color rgb="FF3C6F89"/>
        <rFont val="Arial"/>
        <family val="2"/>
      </rPr>
      <t xml:space="preserve">T51 Transformer </t>
    </r>
    <r>
      <rPr>
        <b/>
        <sz val="12"/>
        <color rgb="FF3C6F89"/>
        <rFont val="Corbel"/>
        <family val="2"/>
      </rPr>
      <t>‐</t>
    </r>
    <r>
      <rPr>
        <b/>
        <sz val="12"/>
        <color rgb="FF3C6F89"/>
        <rFont val="Arial"/>
        <family val="2"/>
      </rPr>
      <t xml:space="preserve"> $1,109,247 - Outside Quarter - December 23, 2013</t>
    </r>
  </si>
  <si>
    <r>
      <t xml:space="preserve">CI# 43278 - P-128.13 - NSPI WO - Halifax 4kV Conversion – Part 1 </t>
    </r>
    <r>
      <rPr>
        <b/>
        <sz val="12"/>
        <color rgb="FF3C6F89"/>
        <rFont val="Meiryo"/>
        <family val="2"/>
        <charset val="128"/>
      </rPr>
      <t>‐</t>
    </r>
    <r>
      <rPr>
        <b/>
        <sz val="12"/>
        <color rgb="FF3C6F89"/>
        <rFont val="Arial"/>
        <family val="2"/>
      </rPr>
      <t xml:space="preserve"> $275,390 - Outside Quarter - December 23, 2013</t>
    </r>
  </si>
  <si>
    <t>M06054</t>
  </si>
  <si>
    <r>
      <t xml:space="preserve">CI# 43684 - P-128.14 - NSPI WO - Interconnection Substation South Canoe Wind Project </t>
    </r>
    <r>
      <rPr>
        <b/>
        <sz val="12"/>
        <color rgb="FF3C6F89"/>
        <rFont val="Meiryo"/>
        <family val="2"/>
        <charset val="128"/>
      </rPr>
      <t>‐</t>
    </r>
    <r>
      <rPr>
        <b/>
        <sz val="12"/>
        <color rgb="FF3C6F89"/>
        <rFont val="Arial"/>
        <family val="2"/>
      </rPr>
      <t xml:space="preserve"> $7,760,891 - Outside Quarter - December 23, 2013</t>
    </r>
  </si>
  <si>
    <t>M06083</t>
  </si>
  <si>
    <t>P-207 - Nova Scotia Power Inc. - Sable Wind Project</t>
  </si>
  <si>
    <t>M06091</t>
  </si>
  <si>
    <t>CI# 45670 - P-513 - NSPI WO - LIN3 U&amp;U SH#5 Tube Refurbishments (Q4 2013) - $338,216</t>
  </si>
  <si>
    <t>M06111</t>
  </si>
  <si>
    <t>CI# 43681 - P-128.14 - NSPI WO - South Canoe Wind Project Network Upgrades - $4,650,955 - Outside Quarter - December 23, 2013</t>
  </si>
  <si>
    <t>M06112</t>
  </si>
  <si>
    <t>CI# 43683 - P-128.14 - NSPI WO - South Canoe Wind Project Transmission Line - $5,831,002 - Outside Quarter - December 23, 2013</t>
  </si>
  <si>
    <t>M06135</t>
  </si>
  <si>
    <t>CI# 44248 - P-128.14 - NSPI WO - HYD MAcMillan D-7 Spillway Refurbishment - Outside Quarter - March 4, 2014 - $ 5,279,936</t>
  </si>
  <si>
    <t>M06136</t>
  </si>
  <si>
    <t>CI# 43067 - P-128.14 - NSPI WO - HYD - Cheticamp Dam D-1 Refurbishment - Outside Quarter March 4, 2014 - $5,778,847</t>
  </si>
  <si>
    <t>M06137</t>
  </si>
  <si>
    <t>CI# 43427 - P-514 - NSPI WO - U &amp;U - 62N 510 Breaker and Control Replacement - Outside Quarter March 4, 2014 - $520,123</t>
  </si>
  <si>
    <t>M06138</t>
  </si>
  <si>
    <t>CI# 45592 - P-514 - NSPI WO - TUC3 - U &amp; U Turbine - IP Row 2 Blading Phase 1 - Outside Quarter March 4, 2014 - $506,816</t>
  </si>
  <si>
    <t>M06139</t>
  </si>
  <si>
    <t>CI# 20758 - P-514 - NSPI WO - HYD-U &amp;U Nictaux Intake &amp; Pipeline Replacement - Outside Quarter March 4, 2014 - $4,472,431</t>
  </si>
  <si>
    <t>M06216</t>
  </si>
  <si>
    <t>CI# 44294 - P-514 - NSPI WO - Q1 2014 - HYD - U&amp;U Mill Lake Unit#2 Refurbishment - $516,830</t>
  </si>
  <si>
    <t>M06217</t>
  </si>
  <si>
    <t>CI# 45816 - P-514 - NSPI WO - Q1 2014 - TUC3 U&amp;U Turbine IP Row 21 Blading Phase 2 - $1,150,115</t>
  </si>
  <si>
    <t>M06218</t>
  </si>
  <si>
    <t>CI# 45876 - P-514 - NSPI WO - Q1 2014 - TUC3 U&amp;U Generator Refurbishment - $1,500,239</t>
  </si>
  <si>
    <t>M06219</t>
  </si>
  <si>
    <t>CI# 41705 - P-128.14 - NSPI WO - Q1 2014 - Milton Hydro Office Construction - $733,611</t>
  </si>
  <si>
    <t>M06220</t>
  </si>
  <si>
    <t>CI# 12079 - P-128.11 - NSPI WO - Q1 2014 - HYD - SHH - RUF 1 and 2 Runner Replacement - $1,304,966</t>
  </si>
  <si>
    <t>M06221</t>
  </si>
  <si>
    <t>CI# 18448 - P-128.12 - NSPI WO - Q1 2014 -  TUC Cooling Water System Biofouling Control - $4,416,543</t>
  </si>
  <si>
    <t>M06293</t>
  </si>
  <si>
    <t>E-ANT-E-14 - Antigonish Electric Utility - Purchase of New Utility Bucket Truck - $284,45506292</t>
  </si>
  <si>
    <t>M06294</t>
  </si>
  <si>
    <t>CI# 43291 - P-128.14 - NSPI WO - Protection Risk Reduction 67N-Onslow 230KV - Outside the Quarter - June 25, 2014 - $2,870,285</t>
  </si>
  <si>
    <t>M06348</t>
  </si>
  <si>
    <t>CI# 45611 - P-514 - NSPI WO - LIN U&amp;U Heavy Oil Recirculation Line Refurbishment (Q2 2014) - $1,304,395</t>
  </si>
  <si>
    <t>M06349</t>
  </si>
  <si>
    <t>CI# 46294 - P-514 - NSPI WO - HYD U&amp;U WRC Unit 1 Stator Repair - (Q2 2014) - $366,027</t>
  </si>
  <si>
    <t>M06350</t>
  </si>
  <si>
    <t>CI# 41525 - P-128.12 - NSPI WO - TRE 5 5-1 Pulveriser Refurbishment  (Q2 2014) - $576,305</t>
  </si>
  <si>
    <t>M06351</t>
  </si>
  <si>
    <t>CI# 42666 - P-514 - NSPI WO - HYD-Tusket #2 Overhaul (Q2 2014) - $1,116,199</t>
  </si>
  <si>
    <t>M06352</t>
  </si>
  <si>
    <t>CI# 41349 - P-514 - NSPI WO - 2012 Off Road to Roadside (Q2 2014) - $1,381.102</t>
  </si>
  <si>
    <t>M06499</t>
  </si>
  <si>
    <t>E-LUN-R-14(3)- Lunenburg Electric Utility - Request approval of Capital Expenditure and Board Opinion - 2014/15 Capital Budget</t>
  </si>
  <si>
    <t>M06501</t>
  </si>
  <si>
    <t>CI# 45881 - P-514 - NSPI WO (Q3 2014) - IT Windows Server 2003 Upgrade P &amp; A - $2,242,271.  $206,538 spent to date</t>
  </si>
  <si>
    <t>M06502</t>
  </si>
  <si>
    <t>CI# 45958 - P-514 - NSPI WO (Q3 2014) - HYD - Nictaux Rotor Rewind U &amp; U - $413,143. $127,445 spent to date</t>
  </si>
  <si>
    <t>M06504</t>
  </si>
  <si>
    <t>CI# 46171 - P-514 - NSPI WO (Q3 2014) - Paradise Bearing Replacement U &amp; U - $349,957. $186,354 spent to date. The bearings, temperature sensors and the control system have been replaced.</t>
  </si>
  <si>
    <t>M06505</t>
  </si>
  <si>
    <t>CI# 44984 - P-128.14 - NSPI WO (Q3 2014) - 9C Aberdeen Line Tap - $834,595; ACE amount $846,755. Zero dollars spent to date. - Third Quarter Capital Item</t>
  </si>
  <si>
    <t>M06508</t>
  </si>
  <si>
    <t>P-128.14 - Nova Scotia Power Inc. - 2014 ACE Directive 5 Report - Capital Planning &amp; Capital Expenditure Justification Criteria - November 4, 2014</t>
  </si>
  <si>
    <t>M06514</t>
  </si>
  <si>
    <t>P-128.15 - Nova Scotia Power Inc. - 2015 ACE Plan Application for approval of $138.7 million of its Annual Capital Expenditure ("ACE Plan") which totals $273.0 million.</t>
  </si>
  <si>
    <t>M06517</t>
  </si>
  <si>
    <t>P-141 - Nova Scotia Power Inc. - Request Approval of the 2015 Annually Adjusted Rates (AAR's)</t>
  </si>
  <si>
    <t>M06525</t>
  </si>
  <si>
    <t>P-128.14 - CI # 45067 - 67N Onslow 345 KV Node Swap - NSPI WO - Subsequent Approval Item.</t>
  </si>
  <si>
    <t>M06560</t>
  </si>
  <si>
    <t>CI# 45733 - P-514 - NSPI WO - CT Burnside Unit #3 Generator Refurbishment U&amp;U - $2,567,808 - Outside the Quarter - December 2, 2014. $1,618,270 spent to date.</t>
  </si>
  <si>
    <t>M06561</t>
  </si>
  <si>
    <t>CI# 45802 - P-514 - NSPI WO - LIN E-Gallery Floor Replacement U&amp;U - $950,629 - Outside the Quarter - December 2, 2014. $94,017 spent to date.</t>
  </si>
  <si>
    <t>M06562</t>
  </si>
  <si>
    <t>CI# 46065 - P-514 - NSPI WO - HYD - Tom's Lake Spillway Refurbishment U&amp;U - $612,312 - Outside the Quarter - December 2, 2014. $25,880 spent to date.</t>
  </si>
  <si>
    <t>M06563</t>
  </si>
  <si>
    <t xml:space="preserve">CI# 46111 - P-514 - NSPI WO - TRE 5 5-2 Boiler Feedwater Pump Refurbishment P &amp; A - $474,925 - Outside the Quarter - December 2, 2014. $91,355 spent to date. </t>
  </si>
  <si>
    <t>M06564</t>
  </si>
  <si>
    <t>CI# 45392 - P-128.14 - NSPI WO - TRE Bunker C System Upgrades - $469,838 - ACE Amount $288,886. Outside the Quarter - December 2, 2014.   $21,825 spent to date.</t>
  </si>
  <si>
    <t>M06660</t>
  </si>
  <si>
    <t>CI# 43324 -P-128.15 NSPI WO - Replace L-6513 / Upgrade Line Terminals</t>
  </si>
  <si>
    <t>M06689</t>
  </si>
  <si>
    <t>CI# 46713 - P-514 - NSPI WO - TUC5 LM6000 - Engine 191-332 Refurbishment - P &amp; A - $7,768,463.  $3,029,959 spent to date</t>
  </si>
  <si>
    <t>M06690</t>
  </si>
  <si>
    <t>CI# 30162 - P-128.14 - NSPI WO - POT Bunker C Tank Refurbishment - $2,391,564.  ACE amount $2,239,835.  $1,298,042 spent to date</t>
  </si>
  <si>
    <t>M06691</t>
  </si>
  <si>
    <t>CI# 41130 - P-128.14 - NSPI WO - HYD - Avon #2 Generator Stator Rewind - $633,484.  ACE amount $694,096.  $72,684 spent to date</t>
  </si>
  <si>
    <t>M06692</t>
  </si>
  <si>
    <t>CI# 45106 - P-128.14 - NSPI WO - IT - Printer Fleet Refresh - $349,026.  ACE amount $500,000.  $341,307 spent to date</t>
  </si>
  <si>
    <t>M06693</t>
  </si>
  <si>
    <t>CI# 40283 - P-128.15 - NSPI WO - HYD - Wrights Lake Dam Refurbishment - $1,600,449.  ACE amount $2,242,751.  $275,406 spent to date</t>
  </si>
  <si>
    <t>M06694</t>
  </si>
  <si>
    <t>CI# 41142 - P-128.15 - NSPI WO - HYD - St. Margaret's Bay - Sandy Lake Fish Passage - $3,926,079.  ACE amount $3,433,314.  $433,102 spent to date</t>
  </si>
  <si>
    <t>M06695</t>
  </si>
  <si>
    <t>CI Variuos - P-128.14 - NSPI WO - ATO - Transmissions Routines - $5,352,171.  ACE amount $4,677,539.  ATO amount $674,633</t>
  </si>
  <si>
    <t>M06696</t>
  </si>
  <si>
    <t>CI Various - P-128.14 - NSPI WO - ATO - Distribution Routines - $23,536,221.  ACE amount $22,334,401.  ATO amount $1,201,821</t>
  </si>
  <si>
    <t>M06796</t>
  </si>
  <si>
    <t>CI# 47052 - P-515 - NSPI WO - LIN3 Superheater #5 Tube Replacement U&amp;U - $483,895; Zero dollars spent to date</t>
  </si>
  <si>
    <t>M06797</t>
  </si>
  <si>
    <t>CI# 46791 - P-515 - NSPI WO - HYD - Annapolis Runner Refurbishment U&amp;U - $526,329. $454,958 spent to date. Refurbishment work has been completed. The reassembling of this unit it outstanding</t>
  </si>
  <si>
    <t>M06798</t>
  </si>
  <si>
    <t>CI# 46300 - P-128.15 - NSPI WO - TRE6 - Air Heater Refurbishment - $2,040,366; ACE amount $752,215. Zero dollars to date.</t>
  </si>
  <si>
    <t>M06799</t>
  </si>
  <si>
    <t>CI# 45171 - P-128.15 - NSPI WO - HYD Avon #1 Pipeline Replacement - $1,012,419. ACE amount $547,780. $30,340 dollars spent to date.</t>
  </si>
  <si>
    <t>M06800</t>
  </si>
  <si>
    <t>M06801</t>
  </si>
  <si>
    <t>M06802</t>
  </si>
  <si>
    <t>M06803</t>
  </si>
  <si>
    <t>M06804</t>
  </si>
  <si>
    <t>M06805</t>
  </si>
  <si>
    <t>M06806</t>
  </si>
  <si>
    <t>CI# 41797 - P-128.14 - NSPI WO - ATO/FIN- Brier Island Crossing - $2,581,168. ATO amount $369,095</t>
  </si>
  <si>
    <t>M06844</t>
  </si>
  <si>
    <t>CI # 45066-P-128.15 - NSPI WO- Upgrade L6511 and L7019 Thermal Rating - NSPI WO - NS Power Maritime Link-Related Transmission Capital Work - Subsequent Approval Item</t>
  </si>
  <si>
    <t>M06882</t>
  </si>
  <si>
    <t>CI# 47276 - P-514 - NSPI WO - LIN 3 - U&amp;U Generator Stator Re-Wedge - $441,755. Zero dollars spent to date</t>
  </si>
  <si>
    <t>CI# 46398 - P-128.15 - NSPI WO - 20H Spryfield Voltage Conversion - $480,510. ACE amount $444,970.  $218,831 spent to date</t>
  </si>
  <si>
    <t>M06884</t>
  </si>
  <si>
    <t>CI# 46586 - P-128.15 - NSPI WO - 2015 Substation Polychlorinated Biphenyl (PCB) Equipment Removal Program - $1,236,351. ACE amount $1,262,087. Zero dollars spent to date</t>
  </si>
  <si>
    <t>M06885</t>
  </si>
  <si>
    <t>CI# 45802 - P-514 - NSPI WO - LIN E-Gallery Floor Replacement U&amp;U - $2,365,470. ATO amount $1,414,841. $985,827 spent to date - Q1 - 2015</t>
  </si>
  <si>
    <t>M06887</t>
  </si>
  <si>
    <t>CI# 41672 - P-514 - NSPI WO - Morris St./Water St. Underground U&amp;U - $948,562. ATO amount $410,414.</t>
  </si>
  <si>
    <t>M06970</t>
  </si>
  <si>
    <t>CI# 47131 - P-514 - NSPI WO - L8001 Steel Tower Replacement U&amp;U - $928,377.  $506,729 spent to date</t>
  </si>
  <si>
    <t>M06971</t>
  </si>
  <si>
    <t>CI# 44669 - P-128.14 - NSPI WO - HYD Wreck Cove Fire Suppression Upgrades - $1,034,915. ACE Amount $333,589; $87,416 spent to date</t>
  </si>
  <si>
    <t>CI# 46593 - P-128.15 - NSPI WO - 70V-311 Bridgetown Voltage Conversion $534,887. ACE Amount $237,679. Zero spent to date</t>
  </si>
  <si>
    <t>M06973</t>
  </si>
  <si>
    <t>P-128.15 - CI #40320 - Nova Scotia Power Inc. (NSPI) Work Order  - Subsequent Approval Item - LED Streetlights - Capital Work Order and Tariff Application</t>
  </si>
  <si>
    <t>M06974</t>
  </si>
  <si>
    <t>CI# 46422 - P-128.15 - NSPI WO - POT Automatic Trash Rack Cleaning System $329,721. ACE amount $233,741. Zero dollars spent to date</t>
  </si>
  <si>
    <t>M06975</t>
  </si>
  <si>
    <t>CI# 43291 - P-514 - NSPI WO - Protection Risk Reduction 67N-Onslow 230kV - $3,448,979. ATO amount $578,694. $2,410,524 spent to date</t>
  </si>
  <si>
    <t>M06976</t>
  </si>
  <si>
    <t>CI Various - P-128.14 - NSPI WO - ATO - Transmissions Routines - Revised - $4,825,054.  ACE amount $4,677,539.  ATO amount $147,515</t>
  </si>
  <si>
    <t>M06977</t>
  </si>
  <si>
    <t>CI Various - P-128.14 - NSPI WO - ATO - Distribution Routines - $2,645,434.  ACE amount $2,476,304.  ATO amount $169,130</t>
  </si>
  <si>
    <t>M07002</t>
  </si>
  <si>
    <r>
      <t>P-514 - CI # 47400 - NSPI</t>
    </r>
    <r>
      <rPr>
        <b/>
        <i/>
        <sz val="12"/>
        <color rgb="FF3C6F89"/>
        <rFont val="Calibri"/>
        <family val="2"/>
        <scheme val="minor"/>
      </rPr>
      <t xml:space="preserve"> - </t>
    </r>
    <r>
      <rPr>
        <b/>
        <sz val="12"/>
        <color rgb="FF3C6F89"/>
        <rFont val="Calibri"/>
        <family val="2"/>
        <scheme val="minor"/>
      </rPr>
      <t>LIN3 U&amp;U 8th Stage Diaphragm &amp; Spill Strip Replacement</t>
    </r>
  </si>
  <si>
    <t>M07003</t>
  </si>
  <si>
    <t>P-514 - CI # 45882 - NSPI WO - U&amp;U - 103H-T63 Transformer Replacement</t>
  </si>
  <si>
    <t>M07005</t>
  </si>
  <si>
    <t>P-514 - CI # 47631 - NSPI WO - U&amp;U - Capacitor Bank Breaker Replacements]</t>
  </si>
  <si>
    <t>M07006</t>
  </si>
  <si>
    <t>P-128.15 - CI #41438 - NSPI WO - 2015 ACE Plan Capital Item for Subsequent Approval - 85S Cable Termination Replacement</t>
  </si>
  <si>
    <t>M07007</t>
  </si>
  <si>
    <t>P-128.15 - CI #44978 - NSPI WO - 2015 ACE Plan Capital Item for Subsequent Approval - HYD Wreck Cove Controls Upgrade</t>
  </si>
  <si>
    <t>M07008</t>
  </si>
  <si>
    <t>P-128.15 - CI #45306 - NSPI WO - 2015 ACE Plan Capital Item for Subsequent Approval - Prime Brook Substation Addition</t>
  </si>
  <si>
    <t>M07009</t>
  </si>
  <si>
    <t>P-128.15 - CI #46068 - NSPI WO - 2015 ACE Plan Capital Item for Subsequent Approval - LIN CW Debris Removal System</t>
  </si>
  <si>
    <t>M07010</t>
  </si>
  <si>
    <t>P-128.15 - CI #46356 - NSPI WO - ATO - 2015 Sacrificial Anode Program</t>
  </si>
  <si>
    <t>M07055</t>
  </si>
  <si>
    <t>P-128.15 - CI #44987 - Nova Scotia Power Inc. (NSPI) WO - 2015 ACE Plan Capital Item for Subsequent Approval - L7003 Lidar Upgrades</t>
  </si>
  <si>
    <t>M07056</t>
  </si>
  <si>
    <t>P-128.15 - CI #45795 - Nova Scotia Power Inc. (NSPI) WO - 2015 ACE Plan Capital Item for Subsequent Approval - L6503 Replacements</t>
  </si>
  <si>
    <t>M07057</t>
  </si>
  <si>
    <t>P-128.15 - CI #46332 - Nova Scotia Power Inc. (NSPI) WO - 2015 ACE Plan Capital Item for Subsequent Approval - L6539 Replacements</t>
  </si>
  <si>
    <t>M07060</t>
  </si>
  <si>
    <t>P-128.15 - CI #46333 - Nova Scotia Power Inc. (NSPI) WO - 2015 ACE Plan Capital Item for Subsequent Approval - L6538 Replacements</t>
  </si>
  <si>
    <t>M07061</t>
  </si>
  <si>
    <t>M07062</t>
  </si>
  <si>
    <t>M07063</t>
  </si>
  <si>
    <t>P-515 - CI #47471 - Nova Scotia Power Inc. (NSPI) WO - 131H-422G-East Uniacke Road Load Growth P&amp;A</t>
  </si>
  <si>
    <t>M07064</t>
  </si>
  <si>
    <t>M07065</t>
  </si>
  <si>
    <t>M07086</t>
  </si>
  <si>
    <t>E-ANT-E-15 - Town of Antigonish Electric Utility - Wind Energy Project - Capital Expenditure Request</t>
  </si>
  <si>
    <t>M07099</t>
  </si>
  <si>
    <t>M07100</t>
  </si>
  <si>
    <t>M07154</t>
  </si>
  <si>
    <t>CI# 38108 -P-128.15 - NSPI WO - POT-AVR Replacement -Nova Scotia Power Inc.</t>
  </si>
  <si>
    <t>M07155</t>
  </si>
  <si>
    <t>CI# 48194 -P-515 - . NSPI WO - 88S Lingan 230kV Breaker Replacement - U&amp;U - Nova Scotia Power Inc.</t>
  </si>
  <si>
    <t>M07156</t>
  </si>
  <si>
    <t>CI# 33142 - P-515 - NSPI WO - CT- Burnside Unit # 4 Restoration - Subsequent Approval Item -</t>
  </si>
  <si>
    <t>M07157</t>
  </si>
  <si>
    <t>CI# 38888 -P-515 - NSPI WO -50N-412 Targeted Feeder Replacements - ATO/FIN</t>
  </si>
  <si>
    <t>M07158</t>
  </si>
  <si>
    <t>CI# 48058 - P-515 - NSPI WO- PTMT - Railcar Access Ramp U&amp;U</t>
  </si>
  <si>
    <t>CI# 47773 - P-515 - NSPI WO - 3N - Oxford Conversion Phase 2 P&amp;A - Nova Scotia Power Inc.</t>
  </si>
  <si>
    <t>CI# 46651 - P-128.15 - NSPI WO - 23H - Rockingham Voltage Conversion - Phase 1 - Subsequent Approval Item - Nova Scotia Power Inc.</t>
  </si>
  <si>
    <t>M07161</t>
  </si>
  <si>
    <t>CI# 47693 - P-515- NSPI WO - 63V-313G-Evangeline Trail Reconductor P&amp;A - Nova Scotia Power Inc.</t>
  </si>
  <si>
    <t>M07169</t>
  </si>
  <si>
    <t>P-141 - Nova Scotia Power Inc. - Request Approval of the 2016 Annually Adjusted Rates (AAR's)</t>
  </si>
  <si>
    <t>M07176</t>
  </si>
  <si>
    <t>P-128.16 - Nova Scotia Power Inc. (NSPI) 2016 ACE Plan Application for approval of $174.4     million of its Annual Capital Expenditure ("ACE Plan") which totals $279.9 million.</t>
  </si>
  <si>
    <t>P-128.15 - CI #44836 - Nova Scotia Power Inc. (NSPI) WO - 2015 ACE Plan Capital Item for Subsequent Approval - Halifax 4kV Conversion Part 2</t>
  </si>
  <si>
    <t>M07233</t>
  </si>
  <si>
    <t>P-128.16 - CI #47753 - Nova Scotia Power Inc. (NSPI) WO - 2016 ACE Plan Capital Item for Subsequent Approval - 24C-442GB Highway 16 Reconductor Phase 2</t>
  </si>
  <si>
    <t>M07234</t>
  </si>
  <si>
    <t>M07235</t>
  </si>
  <si>
    <t>M07236</t>
  </si>
  <si>
    <t>P-515 - CI #43672 - NSPI WO - ATO - 82V-T1 (Elmsdale) Transformer Rewind</t>
  </si>
  <si>
    <t>M07237</t>
  </si>
  <si>
    <t>P-515 - CI# 43136 - NSPI WO - ATO  - HYD Weymouth Unit #1 Headcover Replacement</t>
  </si>
  <si>
    <t>M07238</t>
  </si>
  <si>
    <t>P-515 - CI #43786 - NSPI WO - ATO/Scope Change Capital Item - 2013 L8002 Tower Refurbishments</t>
  </si>
  <si>
    <t>M07239</t>
  </si>
  <si>
    <t>P-515 - CI #29010 - NSPI WO - Final Cost Capital Item - Install 138-25kV Transformer at 22C</t>
  </si>
  <si>
    <t>M07281</t>
  </si>
  <si>
    <t>CI# 46671 -P-128.16 - NSPI WO - NERC CIP Version 5 Implementation -Nova Scotia Power Inc. - 2016 ACE Plan Item for Subsequent Approval</t>
  </si>
  <si>
    <t>M07293</t>
  </si>
  <si>
    <t>CI# 47551 - P-128.16 - NSPI WO - HYD - SHH Controls Upgrade -Nova Scotia Power Inc. - 2016 ACE Plan Item for Subsequent Approval</t>
  </si>
  <si>
    <t>M07294</t>
  </si>
  <si>
    <t>CI# 48020 - P-128.16 - NSPI WO - HYD - Ruth Falls #3 Generator Refurbishment -Nova Scotia Power Inc. - 2016 ACE Plan Item for Subsequent Approval</t>
  </si>
  <si>
    <t>M07295</t>
  </si>
  <si>
    <t>CI# 47163 - P-128.16 - NSPI WO - HYD - Tusket Controls Upgrade - Nova Scotia Power Inc. - 2016 ACE Plan Item for Subsequent Approval</t>
  </si>
  <si>
    <t>M07296</t>
  </si>
  <si>
    <t>CI# 46073 - P-128.16 - NSPI WO - IT - Lotus Notes/Oracle Application Replacement -Nova Scotia Power Inc. - 2016 ACE Plan Item for Subsequent Approval</t>
  </si>
  <si>
    <t>M07297</t>
  </si>
  <si>
    <t>CI# 43027 - P-128.15 - NSPI WO - POT - Refurbish Dust Collection Area Explosion System - 2015 ACE Plan Item Less than $250 Thousand</t>
  </si>
  <si>
    <t>M07298</t>
  </si>
  <si>
    <t>CI# 46256 - P-516 - NSPI WO - POT - Boiler Refurbishment 2015 - ATO</t>
  </si>
  <si>
    <t>M07299</t>
  </si>
  <si>
    <t>CI# 47934 - P-516 - NSPI WO - TUC3 U&amp;U CW Piping Refurbishment</t>
  </si>
  <si>
    <t>M07300</t>
  </si>
  <si>
    <t>CI# 46505 - P-516 - NSPI WO - TUC2 U&amp;U Low Pressure Row 6 Blade 75 Replacement</t>
  </si>
  <si>
    <t>M07301</t>
  </si>
  <si>
    <t>CI# 47814 - P-516 - NSPI WO - HYD - U&amp;U WRC Evacuation Tunnel Upgrade</t>
  </si>
  <si>
    <t>M07302</t>
  </si>
  <si>
    <t>CI# 48354 - P-516 - NSPI WO - LIN1 U&amp;U Burner Front Refurbishment</t>
  </si>
  <si>
    <t>M07378</t>
  </si>
  <si>
    <r>
      <t xml:space="preserve">CI# 44595 - P-128.16 - Nova Scotia Power Inc. (NSPI) - Hollow Bridge Canal &amp; Intake - $4,257,638, </t>
    </r>
    <r>
      <rPr>
        <b/>
        <sz val="11"/>
        <color rgb="FF3C6F89"/>
        <rFont val="Arial"/>
        <family val="2"/>
      </rPr>
      <t>ACE amount $3,137,002</t>
    </r>
  </si>
  <si>
    <t>M07379</t>
  </si>
  <si>
    <r>
      <t xml:space="preserve">CI# 48157- P-128.16 - NSPI WO - TUC Auxiliary Boiler - $3,478,421; </t>
    </r>
    <r>
      <rPr>
        <b/>
        <sz val="11"/>
        <color rgb="FF3C6F89"/>
        <rFont val="Helvetica"/>
        <family val="2"/>
      </rPr>
      <t>ACE amount $2,822,565;</t>
    </r>
  </si>
  <si>
    <t>M07380</t>
  </si>
  <si>
    <r>
      <t xml:space="preserve">CI# 47167- P-128.16 - Nova Scotia Power Inc. (NSPI) - Sandy Lake Surge Tank - $2,955,458; </t>
    </r>
    <r>
      <rPr>
        <b/>
        <sz val="11"/>
        <color rgb="FF3C6F89"/>
        <rFont val="Helvetica"/>
        <family val="2"/>
      </rPr>
      <t>ACE amount $1,358,796;</t>
    </r>
  </si>
  <si>
    <t>M07381</t>
  </si>
  <si>
    <r>
      <t xml:space="preserve">CI# 45330- P-128.14 - Nova Scotia Power Inc. (NSPI) - HYD Culvert Replacement - $660,123; </t>
    </r>
    <r>
      <rPr>
        <b/>
        <sz val="11"/>
        <color rgb="FF3C6F89"/>
        <rFont val="Helvetica"/>
        <family val="2"/>
      </rPr>
      <t>ACE amount $116,396;</t>
    </r>
  </si>
  <si>
    <t>M07382</t>
  </si>
  <si>
    <r>
      <t xml:space="preserve">CI# 43389- P-128.15 - Nova Scotia Power Inc. (NSPI) - NSPI WO - LIN3 Bentley Nevada Upgrade - System 1 - $298,363; </t>
    </r>
    <r>
      <rPr>
        <b/>
        <sz val="11"/>
        <color rgb="FF3C6F89"/>
        <rFont val="Helvetica"/>
        <family val="2"/>
      </rPr>
      <t>ACE amount $242,907; Project is complete. - 2015 ACE Plan Capital Items Less than $250 Thousand</t>
    </r>
  </si>
  <si>
    <t>M07383</t>
  </si>
  <si>
    <r>
      <t xml:space="preserve">CI# 46360 - P-128.16 - Nova Scotia Power Inc. (NSPI) -  L5545B Reconductor - $820,437; </t>
    </r>
    <r>
      <rPr>
        <b/>
        <sz val="11"/>
        <color rgb="FF3C6F89"/>
        <rFont val="Helvetica"/>
        <family val="2"/>
      </rPr>
      <t>ACE amount $202,492; $33,444 spent as at February 29, 2016 - 2016 ACE Plan Capital Items Less than $250 Thousand</t>
    </r>
  </si>
  <si>
    <t>M07384</t>
  </si>
  <si>
    <t>CI #41437 - P-516 - Nova Scotia Power Inc. (NSPI) Kempt Rd Transformer ATO/FIN - $1,151,316; ATO amount $361,115</t>
  </si>
  <si>
    <t>M07385</t>
  </si>
  <si>
    <t>M07386</t>
  </si>
  <si>
    <t>M07456</t>
  </si>
  <si>
    <t>P-515 - CI Various - Nova Scotia Power Inc. (NSPI) -  ATO: Distribution Routines:  D004 - New Customer Upgrades: ATO amount $498,272;D005 - Unplanned Replace Deteriorated: ATO amount $265,658; D051 - System Performance Improvement Routine: ATO amount $517,190; D061 - New Customers - Residential: ATO amount $438,902; D062 - New Customers - Commercial: ATO amount $1,673,375</t>
  </si>
  <si>
    <t>M07457</t>
  </si>
  <si>
    <t>P-515 - CI Various - Nova Scotia Power Inc. (NSPI)  ATO:  General Plant Routines:</t>
  </si>
  <si>
    <t>M07458</t>
  </si>
  <si>
    <t>P-515 - CI Various - Nova Scotia Power Inc. (NSPI) - ATO:  Transmission Routines:</t>
  </si>
  <si>
    <t>M07459</t>
  </si>
  <si>
    <t>P-516 - CI# 20571 - NSPI WO - ATO  - HYD Weymouth Tailrace Deck Refurbishment - $1,012,394; ATO amount $640,925; $68,559 spent as at March 31, 2016</t>
  </si>
  <si>
    <t>M07460</t>
  </si>
  <si>
    <t>P-516 - CI# 41535 - NSPI WO - 2012 Steel Tower Protective Painting System - $1,701,691</t>
  </si>
  <si>
    <t>M07461</t>
  </si>
  <si>
    <t>P-516 - CI# 48411 - NSPI WO - Internet Explorer Upgrade - $409,685; $170,760 spent as at March 31, 2016</t>
  </si>
  <si>
    <t>M07500</t>
  </si>
  <si>
    <t>CI# 46191 - P-128.16 - Nova Scotia Power Inc. (NSPI) - Tusket Fuel System Upgrade - $1,952,408; ACE amount $892,178; $288,171 spent as at April 30, 2016</t>
  </si>
  <si>
    <t>M07501</t>
  </si>
  <si>
    <t>CI# 47477 - P-128.16 - Nova Scotia Power Inc. (NSPI) - IT - Security Enhancements - Next Generation Firewall - $3,927,576; ACE amount $2,536,1820; $611,799 spent as at April 30, 2016</t>
  </si>
  <si>
    <t>M07502</t>
  </si>
  <si>
    <t>CI# 48254 - P-128.16 - Nova Scotia Power Inc. (NSPI) - IT - Outage Communication Technology Capacity Improvement- $2,146,081; ACE amount $1,500,000; $779,109 spent as at April 30, 2016</t>
  </si>
  <si>
    <t>M07503</t>
  </si>
  <si>
    <t>CI# 48194 - P-516 - ATO - Nova Scotia Power Inc. (NSPI) - 88S-713 Lingan 230V Breaker Replacement - $4,477,103; ATO amount $504,740;  $4,465,321 spent as at April 30, 2016. This project is complete; final invoice ongoing.</t>
  </si>
  <si>
    <t>M07504</t>
  </si>
  <si>
    <t>CI# 45392 - P-516 - Nova Scotia Power Inc. (NSPI) - ATO - TRE Bunker C System Upgrades - $889,838; ATO amount $420,000;  $889,838 spent as at April 30, 2016. This project is complete; final invoice ongoing.</t>
  </si>
  <si>
    <t>M07505</t>
  </si>
  <si>
    <t>CI# 40271 - P-516 - Nova Scotia Power Inc. (NSPI) - FIN - LIN2 Boiler Refurbishment - $505,247; Decreased spend amount ($588,457);</t>
  </si>
  <si>
    <t>M07507</t>
  </si>
  <si>
    <t>CI# 49253 - P-516 - Nova Scotia Power Inc. (NSPI) - U&amp;U - 20V-T1 Transformer Replacement - $1,305,748; $192,402 spent as at April 30, 2016</t>
  </si>
  <si>
    <t>M07508</t>
  </si>
  <si>
    <t>CI# 49212 - P-516 - Nova Scotia Power Inc. (NSPI) - U&amp;U - IT - My Account Single Sign-On - $465,079; $274,332 spent as at April 30, 2016. Application development and testing is complete; security testing remains to be completed</t>
  </si>
  <si>
    <t>M07549</t>
  </si>
  <si>
    <t>P-128.16 - CI #46811 - Nova Scotia Power Inc. (NSPI) WO - 2H Armdale Transformer Addition - $2,566,861; ACE amount $2,545,596; $9,298 spent as at May 31, 2016</t>
  </si>
  <si>
    <t>M07550</t>
  </si>
  <si>
    <t>P-128.16 - CI #48061 - Nova Scotia Power Inc. (NSPI) WO - New Mobile Substation 7.5MVA - $2,390,744; ACE amount $1,728,234; $3,417 spent as at May 31, 2016</t>
  </si>
  <si>
    <t>P-128.16 - CI #48152 - Nova Scotia Power Inc. (NSPI) WO - 20H-Spryfield Voltage Conversion Phase II - $460,246; ACE amount $375,848; $396,131 spent as at May 31, 2016</t>
  </si>
  <si>
    <t>M07552</t>
  </si>
  <si>
    <t>P-128.16 - CI #48633 - Nova Scotia Power Inc. (NSPI) WO - IT Security Enhancement - Java Security- $548,032; ACE amount $2,536,182; $238,767 spent as at May 31, 2016</t>
  </si>
  <si>
    <t>M07553</t>
  </si>
  <si>
    <t>P-516 - CI #23125 - ATO NSPI Work Order - HYD-Sissiboo - Powerhouse Electrical Refurbishment- $1,208,257; ATO amount $362,501; $1,205,846 spent as at May 31, 2016</t>
  </si>
  <si>
    <t>M07554</t>
  </si>
  <si>
    <t>P-516 - CI #44887 - FIN - NSPI Work Order - HYD-Sissiboo Pipeline Replacement- $955,600; ATO amount $480,518</t>
  </si>
  <si>
    <t>M07555</t>
  </si>
  <si>
    <t>P-516 - CI #41988 - FIN - NSPI Work Order - HYD - U&amp;U Big Falls #5 Overhaul - $1,008,398; Decreased spend amount ($343,207)</t>
  </si>
  <si>
    <t>M07571</t>
  </si>
  <si>
    <t>P-128.16 - CI #48022 - Spider Lake Substation - $6,839,528; Ace amount $6,348,981; $112,631 spent as at June 30, 2016</t>
  </si>
  <si>
    <t>M07572</t>
  </si>
  <si>
    <t>P-128.16 - (P&amp;A) - CI #49311 - 93V-312 Lower Saulnierville Conductor Overload - $549,642; $0 spent as at June 30, 2016</t>
  </si>
  <si>
    <t>M07573</t>
  </si>
  <si>
    <t>P-516 - (U&amp;U) - CI #48438 - LIN4 ID Fan Damper and VIV Replacement - $524,658; $447,532 spent  as at June 30, 2016. Project is complete; final invoicing ongoing</t>
  </si>
  <si>
    <t>M07574</t>
  </si>
  <si>
    <t>P-516 - (FIN) - CI #40260 - L-7012 Beaver Narrows Crossing Replacement - $1,099,112; Decreased spend amount ($800,112)</t>
  </si>
  <si>
    <t>M07575</t>
  </si>
  <si>
    <t>P-516 - (FIN) - CI #33624 -Spare Generator Transformer - $3,520,466; Decreased spend amount ($831,194)</t>
  </si>
  <si>
    <t>M07576</t>
  </si>
  <si>
    <t>P-516 - (FIN) - CI #40868 - 64V-T1 Transformer Replacement - $679,938; Decreased spend amount ($269,814)</t>
  </si>
  <si>
    <t>M07577</t>
  </si>
  <si>
    <t>P-516 - (FIN) - CI #41351 - 2012 Distribution Automation - $270,944; Decreased spend amount ($283,021)</t>
  </si>
  <si>
    <t>M07579</t>
  </si>
  <si>
    <t>P-516 - (FIN) - CI #41429 - 2012 Substation PCB Equipment Removal - $1,282,337; Decreased spend amount ($572,328)</t>
  </si>
  <si>
    <t>M07580</t>
  </si>
  <si>
    <t>P-516 - (FIN) - CI #41434 - Procure Additional 42 MVA Spare Transformer- $716,221; Decreased spend amount ($327,764)</t>
  </si>
  <si>
    <t>M07581</t>
  </si>
  <si>
    <t>P-516 - (FIN) - CI #43126 - 13V-303 Bear River Targeted Feeder Replacements - $418,617; Decreased spend amount ($380,360)</t>
  </si>
  <si>
    <t>M07582</t>
  </si>
  <si>
    <t>P-516 - (FIN) - CI #43231 - 2013 Substation PCB Equipment Removal - $797,063; Decreased spend amount ($699,562)</t>
  </si>
  <si>
    <t>M07583</t>
  </si>
  <si>
    <t>P-516 - (FIN) - CI #43237 - 2013 Substation Recloser Replacements - $1,126,614; Decreased spend amount ($736,764)</t>
  </si>
  <si>
    <t>M07584</t>
  </si>
  <si>
    <t>P-516 - (FIN) - CI #43726 - Replace 3N-T51 Transformer - $825,136; Decreased spend amount ($284,111)</t>
  </si>
  <si>
    <t>M07585</t>
  </si>
  <si>
    <t>P-516 - (FIN) - CI #31246 - HYD - Methals Intake Replacement - $4,701,112; Decreased spend amount ($1,920,980)</t>
  </si>
  <si>
    <t>M07586</t>
  </si>
  <si>
    <t>P-516 - (FIN) - CI #36902 - LIN1 - ESP Gas Flow Modification - $536,885; Decreased spend amount ($957,393)</t>
  </si>
  <si>
    <t>M07587</t>
  </si>
  <si>
    <t>P-516 - (FIN) - CI #39932 -TRE - Ash Site Phase 2 Development- $5,319,429; Decreased spend amount ($463,908)</t>
  </si>
  <si>
    <t>M07588</t>
  </si>
  <si>
    <t>P-516 - (FIN) - CI #40308 - HYD - Weymouth Falls Pipeline Replacement - $5,949,340; Decreased spend amount ($803,420)</t>
  </si>
  <si>
    <t>M07589</t>
  </si>
  <si>
    <t>P-516 - (FIN) - CI #40314 - Main Computer Centre Upgrade - $7,807,740; Decreased spend amount ($584,790)</t>
  </si>
  <si>
    <t>M07590</t>
  </si>
  <si>
    <t>P-516 - (FIN) - CI #45881 - IT - P&amp;A - Windows Server 2003 Upgrade - $1,912,279; Decreased spend amount ($318,995)</t>
  </si>
  <si>
    <t>M07650</t>
  </si>
  <si>
    <t>P-516 - CI #49351 - Nova Scotia Power Inc. (NSPI) WO - LIN4 LTSH1 Tube Replacement U&amp;U</t>
  </si>
  <si>
    <t>M07651</t>
  </si>
  <si>
    <t>P-516 - CI #49415 - Nova Scotia Power Inc. (NSPI) WO - LIN4 HP IP Seal Replacement - U&amp;U - $531,485</t>
  </si>
  <si>
    <t>M07652</t>
  </si>
  <si>
    <t>P-516 - CI #49416 - Nova Scotia Power Inc. (NSPI) WO - LIN4 Generator Stator Re-wedge - U&amp;U - $593,619</t>
  </si>
  <si>
    <t>M07653</t>
  </si>
  <si>
    <t>P-516 - CI #48951 - Nova Scotia Power Inc. (NSPI) WO - LIN4 72" CW Condenser Pipe Replacement - U&amp;U - $414,715</t>
  </si>
  <si>
    <t>M07654</t>
  </si>
  <si>
    <t>P-516 - CI #49497 - Nova Scotia Power Inc. (NSPI) WO - LIN4 Snout Ring Replacement - U&amp;U</t>
  </si>
  <si>
    <t>M07655</t>
  </si>
  <si>
    <t>P-516 - CI #49804 - Nova Scotia Power Inc. (NSPI) WO - HYD Fall River Pipeline Refurbishment - U&amp;U - $275,841</t>
  </si>
  <si>
    <t>M07656</t>
  </si>
  <si>
    <t>P-516 - CI #46374 - Nova Scotia Power Inc. (NSPI) WO - POT East CW Pump Refurbishment - U&amp;U - $310,214</t>
  </si>
  <si>
    <t>M07657</t>
  </si>
  <si>
    <t>P-128.16 - CI #47403 - Nova Scotia Power Inc. (NSPI) WO - Load Research Sample Update - $440,453</t>
  </si>
  <si>
    <t>P-128.16 - CI #48195 - Nova Scotia Power Inc. (NSPI) WO - Halifax 4kV Conversion Phase 3</t>
  </si>
  <si>
    <t>M07659</t>
  </si>
  <si>
    <t>P-128.16 - CI #44775 - Nova Scotia Power Inc. (NSPI) WO -TUC4 LM6000 Generator Stator Re-wedge</t>
  </si>
  <si>
    <t>M07660</t>
  </si>
  <si>
    <t>P-128.16 - CI #48635 - Nova Scotia Power Inc. (NSPI) WO -IT - Security Enhancements - Endpoint Security - $813,587</t>
  </si>
  <si>
    <t>M07661</t>
  </si>
  <si>
    <t>P-516 - CI #48113 - Nova Scotia Power Inc. (NSPI) WO  - 2016 Steel Tower Refurbishment - ATO - $1,699,991 - Variance $667,413</t>
  </si>
  <si>
    <t>M07662</t>
  </si>
  <si>
    <t>P-516 - CI #44669 - Nova Scotia Power Inc. (NSPI) WO  - HYD Wreck Cove Fire Suppression Upgrades - ATO - $1,767,125 - Variance $732,210</t>
  </si>
  <si>
    <t>M07675</t>
  </si>
  <si>
    <t>P-141 - Nova Scotia Power Inc. - Request Approval of 2017 Wholesale Market Back-up/Top-up (BUTU) Service Applications by Municipal Customers</t>
  </si>
  <si>
    <t>M07683</t>
  </si>
  <si>
    <t>P-516 - CI #47172 - Nova Scotia Power Inc. (NSPI) WO  - HYD Tidewater Unit 1 Overhaul - ATO - $2,017,916 - Variance - $599,384</t>
  </si>
  <si>
    <t>M07684</t>
  </si>
  <si>
    <t>P-516 - CI #47332 - Nova Scotia Power Inc. (NSPI) WO  - HYD Methals Overhaul - ATO $2,380,900  Variance - $987,973</t>
  </si>
  <si>
    <t>M07685</t>
  </si>
  <si>
    <t>P-516 - CI #49751 - Nova Scotia Power Inc. (NSPI) WO  - TUC1 LP Blading Refurbishment U&amp;U - ATO $709,259</t>
  </si>
  <si>
    <t>M07734</t>
  </si>
  <si>
    <t>P-516 - CI 29010 (FIN) - Install 138‐25kV Transformer at 22C – $2,338,356 Increased spend amount $599,812</t>
  </si>
  <si>
    <t>M07735</t>
  </si>
  <si>
    <r>
      <t>P-516 - CI 49043 (U &amp; U) -</t>
    </r>
    <r>
      <rPr>
        <b/>
        <sz val="12"/>
        <color rgb="FF3C6F89"/>
        <rFont val="Helvetica"/>
        <family val="2"/>
      </rPr>
      <t xml:space="preserve"> IT ‐ Contact Centre Telephony Infrastructure – $2,504,109</t>
    </r>
  </si>
  <si>
    <t>M07736</t>
  </si>
  <si>
    <r>
      <t>P-516 -  </t>
    </r>
    <r>
      <rPr>
        <b/>
        <sz val="12"/>
        <color rgb="FF3C6F89"/>
        <rFont val="Helvetica"/>
        <family val="2"/>
      </rPr>
      <t>CI 49611 (Misc. Capital Items) - New Distribution Rights‐of‐Way Phase 1 – $2,215,397</t>
    </r>
  </si>
  <si>
    <t>M07745</t>
  </si>
  <si>
    <t>P-128.17 - Nova Scotia Power Inc. - 2017 ACE Plan Application for approval of $152.8 million of its Annual Capital Expenditure ("ACE Plan") which totals $398 million</t>
  </si>
  <si>
    <t>M07746</t>
  </si>
  <si>
    <t>P-128.16 - Nova Scotia Power Inc. (NSPI) CI# 44671 - Enterprise Resource Planning Application (ERP) $89,664,000 - P-516</t>
  </si>
  <si>
    <t>M07758</t>
  </si>
  <si>
    <t>P-128.16 - CI 48236 - Customer Experience Self-Serve Development Phase 1 - $811,203</t>
  </si>
  <si>
    <t>M07759</t>
  </si>
  <si>
    <t>P-128.16 - CI 47613 - PHB Boiler Refurbishment 2016 - $572,360</t>
  </si>
  <si>
    <t>M07760</t>
  </si>
  <si>
    <t>P-128.16 - CI 47614 - PHB Fuel System Refurbishment 2016 - $290,634</t>
  </si>
  <si>
    <t>M07761</t>
  </si>
  <si>
    <t>P-128.17 - CI 47776 - 111S Prime Brook Feeder Exits &amp; Feeders - $1,504,630 (Partially Confidential)</t>
  </si>
  <si>
    <t>M07762</t>
  </si>
  <si>
    <t>P-128.16 - CI 30163 - POT - Control &amp; Permit Room Upgrade - $387,997  (Partially Confidential)</t>
  </si>
  <si>
    <t>M07763</t>
  </si>
  <si>
    <t>P-516 - CI 44188 - TRE - Ash Site Phase 1 Capping - $5,011,659</t>
  </si>
  <si>
    <t>M07764</t>
  </si>
  <si>
    <t>P-516 - CI 48194 - 88S-713 Lingan 230kV Breaker Replacement - $4,478,737</t>
  </si>
  <si>
    <t>M07765</t>
  </si>
  <si>
    <t>P-516 - CI 48610 - 16N-301 Stewiacke - Load Transfer - $852,654</t>
  </si>
  <si>
    <t>M07766</t>
  </si>
  <si>
    <t>P-516 - CI 50151 - HYD WRC Main Access Entrance Bridge Replacement - $716,508 (Partially Confidential)</t>
  </si>
  <si>
    <t>M07767</t>
  </si>
  <si>
    <t>P-516 - CI 47124 - NSPI Work Order - Advanced Meter Infrastructure (AMI) Pilot in the amount of $8,274,738</t>
  </si>
  <si>
    <t>M07801</t>
  </si>
  <si>
    <t>P-128.17 - CI # 48155 - 2016 SCADA Application Upgrade - $400,688 (Partially Confidential)</t>
  </si>
  <si>
    <t>M07802</t>
  </si>
  <si>
    <t>P-128.17 - CI # 48238 - Customer Billing Experience Improvements - $405,324</t>
  </si>
  <si>
    <t>M07803</t>
  </si>
  <si>
    <t>P-128.17 - Nova Scotia Power Inc. (NSPI) - CI # 49879 - 77V-T52 Replacement - $772,208</t>
  </si>
  <si>
    <t>M07804</t>
  </si>
  <si>
    <t>P-516 - CI # 41142 - HYD St. Margaret's Bay - Sandy Lake Fish Passage - $2,610,980</t>
  </si>
  <si>
    <t>M07805</t>
  </si>
  <si>
    <t>P-516 - CI # 49869 - ICP-Armour Stone Replacement - $2,793,935</t>
  </si>
  <si>
    <t>M07806</t>
  </si>
  <si>
    <t>P-516 - CI # 49605 - CT Burnside #3 Engine Refurbishment - $2,032,866</t>
  </si>
  <si>
    <t>M07807</t>
  </si>
  <si>
    <t>P-516 - CI # 49061 - LM6000 191-443 Engine Refurbishment - $1,047,421</t>
  </si>
  <si>
    <t>M07853</t>
  </si>
  <si>
    <r>
      <t>P-128.17 - Nova Scotia Power (NSPI)</t>
    </r>
    <r>
      <rPr>
        <b/>
        <sz val="12"/>
        <color rgb="FF3C6F89"/>
        <rFont val="Calibri"/>
        <family val="2"/>
        <scheme val="minor"/>
      </rPr>
      <t xml:space="preserve"> - CI 43202 Replace Mobile Radio System (2017) - $6,296,878 (Partially Confidential)</t>
    </r>
  </si>
  <si>
    <t>M07854</t>
  </si>
  <si>
    <t>P-128.17 - Nova Scotia Power (NSPI) - CI 49922 – Western Switching Upgrades (2017) – $378,843</t>
  </si>
  <si>
    <t>M07855</t>
  </si>
  <si>
    <t>P-128.16 - Nova Scotia Power (NSPI) - CI 47600 – TRE Asbestos Abatement (2016) – $2,096,391</t>
  </si>
  <si>
    <t>M07856</t>
  </si>
  <si>
    <t>P-128.16 - Nova Scotia Power (NSPI) - CI 47933 – LIN4 Turbine Vibration Monitoring Upgrade – $280,095</t>
  </si>
  <si>
    <t>M07857</t>
  </si>
  <si>
    <t>P-517 -  Nova Scotia Power (NSPI) - CI 44595 – HYD – Hollow Bridge Canal and Intake Refurbishment – $4,600,336</t>
  </si>
  <si>
    <t>M07923</t>
  </si>
  <si>
    <t>P-516 -  Nova Scotia Power (NSPI) -  2016 Ace Plan - Routine Capital - ATO - Distribution Routines:</t>
  </si>
  <si>
    <t>M07924</t>
  </si>
  <si>
    <t>P-516 - Nova Scotia Power Inc. (NSPI) - 2016 Ace Plan - Routine Capital - ATO -  General Plant Routines:</t>
  </si>
  <si>
    <t>M07926</t>
  </si>
  <si>
    <t>P-516 - Nova Scotia Power Inc. (NSPI) - 2016 Ace Plan - Routine Capital - ATO -  Transmission Routines:</t>
  </si>
  <si>
    <t>M07927</t>
  </si>
  <si>
    <t>P-128.17 - Nova Scotia Power Inc. (NSPI) - 2017 ACE Plan CI for Subsequent Approval - CI# 46499 – Stator Rewind Kit Capital Spare – $2,871,003</t>
  </si>
  <si>
    <t>M07928</t>
  </si>
  <si>
    <t>P-128.17 - Nova Scotia Power Inc. (NSPI) - 2017 ACE Plan CI for Subsequent Approval - CI 47553 – TRE6 Turbine Valve Refurbishment – $570,600</t>
  </si>
  <si>
    <t>M07929</t>
  </si>
  <si>
    <t>P-128.17 - Nova Scotia Power Inc. (NSPI) - 2017 ACE Plan Capital Items for Subsequent Approval - CI 47648 – HYD Lequille Pipeline Replacement – $1,121,253</t>
  </si>
  <si>
    <t>M07930</t>
  </si>
  <si>
    <t>P-128.17 - Nova Scotia Power Inc. (NSPI) - 2017 ACE Plan Capital Items for Subsequent Approval - CI 47876 – HYD Lequille Overhaul – $1,395,229</t>
  </si>
  <si>
    <t>M07931</t>
  </si>
  <si>
    <t>P-128.17 - Nova Scotia Power Inc. (NSPI) - 2017 ACE Plan Capital Items for Subsequent Approval - CI 48052 – HYD Annapolis HVAC Upgrade – $1,573,596</t>
  </si>
  <si>
    <t>M07932</t>
  </si>
  <si>
    <t>P-128.17 - Nova Scotia Power Inc. (NSPI) - 2017 ACE Plan Capital Items for Subsequent Approval - CI 49596 – HYD Hells Gate 2 Overhaul – $1,204,263</t>
  </si>
  <si>
    <t>M07935</t>
  </si>
  <si>
    <t>P-128.17 - Nova Scotia Power Inc. (NSPI) - 2017 ACE Plan Capital Items for Subsequent Approval - CI 49674 – TUC2 Boiler Selective Waterwall Tube Replacements – $421,518</t>
  </si>
  <si>
    <t>M07938</t>
  </si>
  <si>
    <t>P-128.16 - Nova Scotia Power Inc. (NSPI) - 2016 Ace Plan CI Less than $250 Thousand - CI 47947 – TUC6 Condenser Waterbox Coating Replacement – $366,978</t>
  </si>
  <si>
    <t>M07939</t>
  </si>
  <si>
    <t>P-517 - Nova Scotia Power Inc. (NSPI) - ATO/FIN - CI 23125 – HYD Sissiboo Powerhouse Electrical Refurbishment – $1,203,547</t>
  </si>
  <si>
    <t>M07940</t>
  </si>
  <si>
    <r>
      <t>P-517 - Nova Scotia Power Inc. (NSPI) - U&amp;U -</t>
    </r>
    <r>
      <rPr>
        <b/>
        <sz val="14"/>
        <color rgb="FF3C6F89"/>
        <rFont val="Helvetica"/>
        <family val="2"/>
      </rPr>
      <t xml:space="preserve"> </t>
    </r>
    <r>
      <rPr>
        <b/>
        <sz val="12"/>
        <color rgb="FF3C6F89"/>
        <rFont val="Helvetica"/>
        <family val="2"/>
      </rPr>
      <t>CI 49632 – HYD White Rock Canal Refurbishment – $590,670</t>
    </r>
  </si>
  <si>
    <t>M07941</t>
  </si>
  <si>
    <t>P-517 - Nova Scotia Power Inc. (NSPI) - U&amp;U - CI 49633 – HYD Trout River Lake Canal Refurbishment – $519,531</t>
  </si>
  <si>
    <t>M07943</t>
  </si>
  <si>
    <t>P-517 - Nova Scotia Power Inc. (NSPI) - U&amp;U - CI 50192 – TRE5 Turbine Valve Refurbishment – $391,152</t>
  </si>
  <si>
    <t>M07970</t>
  </si>
  <si>
    <t>P-128.17 - Nova Scotia Power Inc. (NSPI) -CI 47760 ‐ 85S‐402 Re‐Insulate – $1,551,859</t>
  </si>
  <si>
    <t>M07971</t>
  </si>
  <si>
    <t>P-128.17 - Nova Scotia Power Inc. (NSPI) - CI 49928 ‐ 3S Gannon Road – Bus Reconfiguration ‐ $371,395</t>
  </si>
  <si>
    <t>M07972</t>
  </si>
  <si>
    <t>P-128.17 - Nova Scotia Power Inc. (NSPI) - CI 49929 ‐ Tap Changer Replacements ‐ $318,236</t>
  </si>
  <si>
    <t>M07973</t>
  </si>
  <si>
    <t>P-128.17 - Nova Scotia Power Inc. (NSPI) - CI 47654 ‐ HYD ‐ Gulch Penstock &amp; Surge Tank Replacement ‐ $4,970,542</t>
  </si>
  <si>
    <t>M07974</t>
  </si>
  <si>
    <t>P-128.17 - Nova Scotia Power Inc. (NSPI) - CI 47682 ‐ HYD Lequille Switchgear Replacement ‐ $776,391</t>
  </si>
  <si>
    <t>M07975</t>
  </si>
  <si>
    <t>P-128.17 - Nova Scotia Power Inc. (NSPI) - CI 48893 ‐ TUC3 IP Turbine Refurbishment ‐ $4,871,454</t>
  </si>
  <si>
    <t>M07976</t>
  </si>
  <si>
    <t>P-128.17 - Nova Scotia Power Inc. (NSPI) - CI 49039 ‐ HYD Lequille Controls Upgrades ‐ $762,912</t>
  </si>
  <si>
    <t>M07977</t>
  </si>
  <si>
    <t>P-128.17 - Nova Scotia Power Inc. (NSPI) - CI 49111 ‐ POT Air Heater Refurbishment ‐ $272,538</t>
  </si>
  <si>
    <t>M07978</t>
  </si>
  <si>
    <t>P-128.17 - Nova Scotia Power Inc. (NSPI) - CI 49538 ‐ TRE6 Generator Rotor Flux Probe Installation ‐ $784,610</t>
  </si>
  <si>
    <t>M07979</t>
  </si>
  <si>
    <t>P-128.17 - Nova Scotia Power Inc. (NSPI) - CI 49598 ‐ HYD Gisborne Switchgear Replacement ‐ $747,450</t>
  </si>
  <si>
    <t>M07980</t>
  </si>
  <si>
    <t>P-128.17 - Nova Scotia Power Inc. (NSPI) - CI 51052 ‐ TRE6 Generator High Voltage Bushings Critical Spare ‐ $264,250</t>
  </si>
  <si>
    <t>M07981</t>
  </si>
  <si>
    <t>S</t>
  </si>
  <si>
    <t>P-128.17 - Nova Scotia Power Inc. (NSPI) - CI 49787 ‐ Intelligent Feeder Project ‐ $2,782,384</t>
  </si>
  <si>
    <t>M07982</t>
  </si>
  <si>
    <t>P-128.16 - Nova Scotia Power Inc. (NSPI) - CI 47756 ‐ 36V‐303 Reconductor Middle Dyke Rd – $287,779</t>
  </si>
  <si>
    <t>M07983</t>
  </si>
  <si>
    <t>P-128.16 - Nova Scotia Power Inc. (NSPI) - CI 48111 ‐ East Switch Upgrades 15S ‐ $304,379</t>
  </si>
  <si>
    <t>M07984</t>
  </si>
  <si>
    <t>P-128.16 - Nova Scotia Power Inc. (NSPI) - CI 47606 ‐ TRE5 Sootblower Controls Upgrade ‐ $285,301</t>
  </si>
  <si>
    <t>M07985</t>
  </si>
  <si>
    <t>P-517 - Nova Scotia Power Inc. (NSPI) -CI 43128 –  (ATO) - HYD Gisborne Gearbox and Bearing Replacement – $829,447</t>
  </si>
  <si>
    <t>M07986</t>
  </si>
  <si>
    <t>P-517 - Nova Scotia Power Inc. (NSPI) - (ATO) - CI 46352 – TRE5 Air Heater Refurbishment – $1,088,844</t>
  </si>
  <si>
    <t>M07987</t>
  </si>
  <si>
    <t>P-517 - Nova Scotia Power Inc. (NSPI) - (ATO) - CI 47552 – TRE5 – Boiler Refurbishment 2016 – 2,429,444</t>
  </si>
  <si>
    <t>M07988</t>
  </si>
  <si>
    <t>P-517 - Nova Scotia Power Inc. (NSPI) - (FIN) - CI 47506 ‐ LIN CW Screen Refurbishment 2016 – $666,401</t>
  </si>
  <si>
    <t>M07989</t>
  </si>
  <si>
    <t>P-517 - Nova Scotia Power Inc. (NSPI) - (FIN) - CI 47661 ‐ POT – Asbestos Management 2016 ‐ $347,326</t>
  </si>
  <si>
    <t>M07990</t>
  </si>
  <si>
    <t>P-517 - Nova Scotia Power Inc. (NSPI) - (U&amp;U) - CI 48811 ‐ LIN4 Feedwater Heater Level Control Upgrade – $296,832</t>
  </si>
  <si>
    <t>M07994</t>
  </si>
  <si>
    <t>P-517 - Nova Scotia Power Inc. (NSPI) - (P&amp;A) -CI 50796 – New Distribution Rights‐of‐Way Phase II ‐ $3,353,445</t>
  </si>
  <si>
    <t>M07995</t>
  </si>
  <si>
    <t>P-517 - Nova Scotia Power Inc. (NSPI) - (P&amp;A) - CI 50800 – 1C‐411 Reinsulate ‐ $442,732</t>
  </si>
  <si>
    <t>M07997</t>
  </si>
  <si>
    <t>P-517 - Nova Scotia Power Inc. (NSPI) - (P&amp;A) - CI 50772 – 37N‐412 Rebuild ‐ $771,476</t>
  </si>
  <si>
    <t>M07998</t>
  </si>
  <si>
    <t>P-128.17 - Nova Scotia Power Inc. (NSPI) - CI 49862 – 50N‐410 Trenton Rebuild ‐ $440,329</t>
  </si>
  <si>
    <t>M08030</t>
  </si>
  <si>
    <t>E-BER-E-17 Town of Berwick on behalf of the Berwick Electric Commission - Capital Expenditure - purchase of a new hot line aerial bucket truck</t>
  </si>
  <si>
    <t>M08049</t>
  </si>
  <si>
    <t>P-128.17 - Nova Scotia Power Inc. (NSPI) - CI 50341 ‐ 2017 Substation Recloser Replacements – $604,889</t>
  </si>
  <si>
    <t>M08050</t>
  </si>
  <si>
    <t>P-128.17 - Nova Scotia Power Inc. (NSPI) - CI 47531 ‐ TRE6 LP Turbine Diaphragm Tip Seal Replacement ‐ $1,704,784</t>
  </si>
  <si>
    <t>M08051</t>
  </si>
  <si>
    <t>P-128.17 - Nova Scotia Power Inc. (NSPI) - CI 51053 ‐ TRE6 HIP Turbine Diaphragm Partition Refurbishment ‐ $1,185,445</t>
  </si>
  <si>
    <t>M08052</t>
  </si>
  <si>
    <t>P-128.17 - Nova Scotia Power Inc. (NSPI) - CI 44716 ‐ TUC2 North Boiler Feedwater Pump Refurbishment – $274,951</t>
  </si>
  <si>
    <t>M08053</t>
  </si>
  <si>
    <t>P-128.17 - Nova Scotia Power Inc. (NSPI) - CI 17581 ‐ HYD Weymouth Electrical Replacement – $2,366,025</t>
  </si>
  <si>
    <t>M08054</t>
  </si>
  <si>
    <t>P-128.17 - Nova Scotia Power Inc. (NSPI) - CI 48114 ‐ 2016 Steel Tower Life Extension – $1,465,712  (2017 Q1)</t>
  </si>
  <si>
    <t>M08055</t>
  </si>
  <si>
    <t>P-517 - Nova Scotia Power Inc. (NSPI) - CI 44188 ‐ TRE ‐ Ash Site Phase 1 Capping – $5,028,580</t>
  </si>
  <si>
    <t>M08091</t>
  </si>
  <si>
    <t>P-517 - Nova Scotia Power Inc. (NSPI) - CI 20511 - CT Victoria Junction Replace Halon Fire Protection System - $619,750</t>
  </si>
  <si>
    <t>M08092</t>
  </si>
  <si>
    <t>P-517 - Nova Scotia Power Inc. (NSPI) - CI 51526 - CT Tusket Generator Replacement - $3,190,415</t>
  </si>
  <si>
    <t>M08093</t>
  </si>
  <si>
    <t>P-517 - Nova Scotia Power Inc. (NSPI) - CI 51409 - LIN Track Dozer Replacement U&amp;U - $985,497</t>
  </si>
  <si>
    <t>M08094</t>
  </si>
  <si>
    <t>P-517 - Nova Scotia Power Inc. (NSPI) - CI 50018 - TUC5 CEMS Installation U&amp;U - $450,496</t>
  </si>
  <si>
    <t>M08095</t>
  </si>
  <si>
    <t>P-517 - Nova Scotia Power Inc. (NSPI) - CI 50017 - TUC4 CEMS Installation U&amp;U - $410,817</t>
  </si>
  <si>
    <t>M08096</t>
  </si>
  <si>
    <t>P-128.17 - Nova Scotia Power Inc. (NSPI) - CI 49438 - LIN A Gallery Floor Replacement - $591,761</t>
  </si>
  <si>
    <t>M08097</t>
  </si>
  <si>
    <t>P-517 - Nova Scotia Power Inc. (NSPI) - CI 48514 - LIN U&amp;U Coal Truck Scale - $308,468</t>
  </si>
  <si>
    <t>M08098</t>
  </si>
  <si>
    <t>P-128.16 - Nova Scotia Power Inc. (NSPI) - CI 47874 - LIN Ash Scale Replacement - $481,252</t>
  </si>
  <si>
    <t>M08099</t>
  </si>
  <si>
    <t>P-128.17 - Nova Scotia Power Inc. (NSPI) - CI 44776 - TUC#5 LM6000 Generator Stator Re-Wedge - $1,361,301</t>
  </si>
  <si>
    <t>M08100</t>
  </si>
  <si>
    <t>P-517 - Nova Scotia Power Inc. (NSPI) - CI 43205 - L5510 Insulator Replacements - $2,908,944</t>
  </si>
  <si>
    <t>M08144</t>
  </si>
  <si>
    <r>
      <t>P-517 - Nova Scotia Power Inc. (NSPI) -</t>
    </r>
    <r>
      <rPr>
        <b/>
        <sz val="12"/>
        <color rgb="FF3C6F89"/>
        <rFont val="Helvetica"/>
        <family val="2"/>
      </rPr>
      <t xml:space="preserve"> (U&amp;U) - CI 47331 - LM6000 191‐253 Engine Refurbishment – $1,023,342 (CI outside quarter package)</t>
    </r>
  </si>
  <si>
    <t>M08162</t>
  </si>
  <si>
    <t>P-128.17 - Nova Scotia Power Inc. (NSPI) - CI 29807 - Tusket Main Dam Refurbishment Application - 18,157,609</t>
  </si>
  <si>
    <t>M08175</t>
  </si>
  <si>
    <t>P-128.17 - Nova Scotia Power Inc. (NSPI) - CI 47787 – 2H Armdale New Feeders – $988,498 (2017 - filed outside quarter)</t>
  </si>
  <si>
    <t>M08176</t>
  </si>
  <si>
    <t>P-128.17 - Nova Scotia Power Inc. (NSPI) - CI 49273 – BGT2 Engine Refurbishment – $2,170,157; ACE amount $1,019,832 (2017 filed outside quarter)</t>
  </si>
  <si>
    <t>M08177</t>
  </si>
  <si>
    <r>
      <t>P-128.17</t>
    </r>
    <r>
      <rPr>
        <b/>
        <sz val="12"/>
        <color rgb="FF3C6F89"/>
        <rFont val="Helvetica"/>
        <family val="2"/>
      </rPr>
      <t xml:space="preserve"> - Nova Scotia Power Inc. (NSPI) - CI 49499 – PHB Boiler Refurbishment 2017 – $593,740; ACE amount $484,730 (2017 - filed outside Quarter)</t>
    </r>
  </si>
  <si>
    <t>M08178</t>
  </si>
  <si>
    <t>P-128.17 - Ace Plan Routines - Nova Scotia Power Inc. (NSPI) - S001 Routine ‐ PHB ‐ Routine Equipment Replacements ‐ $170,000;</t>
  </si>
  <si>
    <t>M08179</t>
  </si>
  <si>
    <t>P-128.17 - Nova Scotia Power Inc. (NSPI) - CI 49553 – TRE Asbestos Abatement 2017 – $728,886; ACE amount $226,451 (2017 filed outside the quarter)</t>
  </si>
  <si>
    <t>M08180</t>
  </si>
  <si>
    <t>P-517 - Nova Scotia Power Inc. (NSPI) (ATO) - CI 44267 – TRE Ash Lagoon Site Closure – $9,568,879</t>
  </si>
  <si>
    <t>M08181</t>
  </si>
  <si>
    <t>P-517 - Nova Scotia Power Inc. (NSPI) - (P&amp;A) - CI 51711 – CT Burnside #2 Generator Replacement – $2,876,865 (2017 - filed outside quarter)</t>
  </si>
  <si>
    <t>M08182</t>
  </si>
  <si>
    <t>P-517 - Nova Scotia Power Inc. (NSPI) (U&amp;U) - CI 51317 – TRE5 CW Inlet System Refurbishment – $390,035 (2017 filed outside quarter)</t>
  </si>
  <si>
    <t>M08213</t>
  </si>
  <si>
    <t>P-128.17 - Nova Scotia Power Inc. (NSPI)  - CI 49551 – TRE5 CEMS Replacement – $671,295</t>
  </si>
  <si>
    <t>M08215</t>
  </si>
  <si>
    <t>P-517 - Nova Scotia Power Inc. (NSPI) (ATO)  - CI 49433 – LIN1 SH5 Boiler Tube Replacements – $848,377; ATO amount $354,981;</t>
  </si>
  <si>
    <t>M08216</t>
  </si>
  <si>
    <t>P-517 - Nova Scotia Power Inc. (NSPI) (U&amp;U)  - CI 49132 – PTMT Dock Winching &amp; Access Refurbishment – $416,998</t>
  </si>
  <si>
    <t>M08217</t>
  </si>
  <si>
    <t>P-517 - Nova Scotia Power Inc. (NSPI) (U&amp;U)  - CI 51593 – HYD WRC Wicket Gate Thrust Assembly Refurbishment – $667,024</t>
  </si>
  <si>
    <t>M08224</t>
  </si>
  <si>
    <t>P-517 - Nova Scotia Power Inc. (NSPI)  - CI 50295 – Electric Vehicle Charging Station Network Pilot Project - $419,908</t>
  </si>
  <si>
    <t>M08291</t>
  </si>
  <si>
    <t>P-128.17 - Nova Scotia Power Inc. (NSPI)  - CI 50153 – Customer Experience Self-Serve Development Phase 2 – $1,160,528  (Filed outside Quarter Package 2017)</t>
  </si>
  <si>
    <t>M08292</t>
  </si>
  <si>
    <t>P-128.17 - Nova Scotia Power Inc. (NSPI)  - CI 49693 – TUC HFO Tank Dyke Piping Refurbishments – $664,753 (Filed outside Quarter Package 2017)</t>
  </si>
  <si>
    <t>M08293</t>
  </si>
  <si>
    <t>P-517 - Nova Scotia Power Inc. (NSPI) (ATO) - CI 33142 – Burnside 4 Restoration – $9,552,963  (Filed outside Quarter Package Sept. 2017)</t>
  </si>
  <si>
    <t>M08294</t>
  </si>
  <si>
    <t>P-517 - Nova Scotia Power Inc. (NSPI) (ATO)  -  CI 47687 – POT Boiler Chem Cleaner – $1,603,103 (Filed outside Quarter Package Sept. 2017)</t>
  </si>
  <si>
    <t>M08295</t>
  </si>
  <si>
    <t>P-517 - Nova Scotia Power Inc. (NSPI)  - (ATO) - CI 49466 – PTMT Dock and Inhaul Conveyor – $920,823 (Filed outside Quarter Package Sept. 2017)</t>
  </si>
  <si>
    <t>M08296</t>
  </si>
  <si>
    <t>P-517 - Nova Scotia Power Inc. (NSPI)  - (P&amp;A) - CI 51404 – 2017 – 2019 Steel Tower Life Extension – $2,981,318  (Filed outside Quarter Package Sept. 2017)</t>
  </si>
  <si>
    <t>M08297</t>
  </si>
  <si>
    <t>P-517 - Nova Scotia Power Inc. (NSPI)  - (U&amp;U) - CI 49316 – TUC3 CEMS Replacement – $461,704  (Filed outside Quarter Package Sept. 2017)</t>
  </si>
  <si>
    <t>M08349</t>
  </si>
  <si>
    <t>P-516 - CI# 47124 - Nova Scotia Power Inc. (NSPI) - Advanced Meter Infrastructure (AMI) Project</t>
  </si>
  <si>
    <t>M08350</t>
  </si>
  <si>
    <t>P-128.18 - Nova Scotia Power Inc. (NSPI) - 2018 Ace Plan - $354.9 million</t>
  </si>
  <si>
    <t>M08358</t>
  </si>
  <si>
    <t>P-128.17 - Nova Scotia Power Inc. (NSPI)  - CI# 38931 – HYD Harmony Stabilization - $931,942  - 3rd Quarter 2017</t>
  </si>
  <si>
    <t>M08359</t>
  </si>
  <si>
    <t>P-128.17 - Nova Scotia Power Inc. (NSPI)  - CI# 44749 - Tiverton Tower Replacement - $1,465,132 - 3rd Quarter 2017</t>
  </si>
  <si>
    <t>M08360</t>
  </si>
  <si>
    <t>P-128.17 - Nova Scotia Power Inc. (NSPI)  - CI# 48396 - HYD Bridge Remediation - $677,591 - 3rd Quarter 2017</t>
  </si>
  <si>
    <t>M08362</t>
  </si>
  <si>
    <t>P-128.17 - Nova Scotia Power Inc. (NSPI)  - CI# 48913 - HYD Tusket Facility Repairs - $1,183,470 - 3rd Quarter 2017</t>
  </si>
  <si>
    <t>M08363</t>
  </si>
  <si>
    <t>M08364</t>
  </si>
  <si>
    <t>P-128.17 - Nova Scotia Power Inc. (NSPI)  - CI# 49855 - IT Desktop SW Modernization - $4,620,516 - 3rd Quarter 2017</t>
  </si>
  <si>
    <t>M08365</t>
  </si>
  <si>
    <t>P-128.17 - Nova Scotia Power Inc. (NSPI)  - CI# 49860 - IT SharePoint Upgrade - 3,903,594 - 3rd Quarter 2017</t>
  </si>
  <si>
    <t>M08366</t>
  </si>
  <si>
    <t>M08367</t>
  </si>
  <si>
    <t>M08368</t>
  </si>
  <si>
    <t>P-128.16 - Nova Scotia Power Inc. (NSPI)  - CI# 47786 - 129h Kearney Lake Rd Load Transfer - $286,280 - 3rd Quarter 2017</t>
  </si>
  <si>
    <t>M08369</t>
  </si>
  <si>
    <t>Nova Scotia Power Inc. (NSPI) -  CI# 51956 - P6P Mobile Substation Rewind - U&amp;U - $1,516,121 -  3rd Quarter 2017</t>
  </si>
  <si>
    <t>M08395</t>
  </si>
  <si>
    <t>M08396</t>
  </si>
  <si>
    <t>M08397</t>
  </si>
  <si>
    <t>M08398</t>
  </si>
  <si>
    <t>M08400</t>
  </si>
  <si>
    <t>M08476</t>
  </si>
  <si>
    <t>P-518 - Nova Scotia Power Inc. (NSPI)  - (ATO) - CI 47597 – TRE6 Bottom Ash Chain Replacement – $1,170,884</t>
  </si>
  <si>
    <t>M08477</t>
  </si>
  <si>
    <t>P-518 - Nova Scotia Power Inc. (NSPI)  - (ATO) - CI 47876 – HYD Lequille Overhaul – $2,170,697</t>
  </si>
  <si>
    <t>M08478</t>
  </si>
  <si>
    <t>P-518 - Nova Scotia Power Inc. (NSPI)  - (U&amp;U) - CI 51788 – TRE6 Turbine Diaphragm, Packing and Journals Refurbishment  – $1,935,087</t>
  </si>
  <si>
    <t>M08479</t>
  </si>
  <si>
    <t>P-518 - Nova Scotia Power Inc. (NSPI)  - (U&amp;U) - CI 51791 – TRE6 Generator Stator Partial Re‐wedge and Collector Ring – $779,954</t>
  </si>
  <si>
    <t>M08480</t>
  </si>
  <si>
    <t>P-518 - Nova Scotia Power Inc. (NSPI)  - (U&amp;U) - CI 51793– TRE6 Valve Refurbishment 2017  – $387,934</t>
  </si>
  <si>
    <t>M08481</t>
  </si>
  <si>
    <t>P-518 - Nova Scotia Power Inc. (NSPI)  - (U&amp;U) - CI 51870– TRE6 HEP and FAC Refurbishment – $419,909</t>
  </si>
  <si>
    <t>M08482</t>
  </si>
  <si>
    <t>P-518 - Nova Scotia Power Inc. (NSPI)  - (U&amp;U) - CI C0002020– TRE6 Boiler Water Wall Panel Replacement U&amp;U – $879,008</t>
  </si>
  <si>
    <t>M08483</t>
  </si>
  <si>
    <t>P-518 - Nova Scotia Power Inc. (NSPI)  - (U&amp;U) - CI C0003238– HYD LEQ Plant Output Cable Replacement – $784,311</t>
  </si>
  <si>
    <t>M08523</t>
  </si>
  <si>
    <t>P-128.05 - Approval of Air Emissions Strategy Capital Projects</t>
  </si>
  <si>
    <t>M08530</t>
  </si>
  <si>
    <t>P-518 Nova Scotia Power Inc. (NSPI) (P&amp;A) - CI C0003739 – POT Turbine Valve Refurbishment – $658,753</t>
  </si>
  <si>
    <t>M08531</t>
  </si>
  <si>
    <t>P-518 Nova Scotia Power Inc. (NSPI) (U&amp;U) - CI C0001660 – HYD Annapolis Stator Repairs – $308,776</t>
  </si>
  <si>
    <t>M08548</t>
  </si>
  <si>
    <t>E-BER-E-18 -Town of Berwick on behalf of the Berwick Electric Commission - Refurbishment of Control Structure, re-enforcement of DAM, etc.</t>
  </si>
  <si>
    <t>M08573</t>
  </si>
  <si>
    <t>P-128.18 - Nova Scotia Power Inc. (NSPI) - CI 51808 - TUC HFO Piping Refurbishments - $1,239,933</t>
  </si>
  <si>
    <t>M08634</t>
  </si>
  <si>
    <t>P-518 - Nova Scotia Power Inc. (NSPI)  - CI# 49778 - L5535 Replacements and Upgrades (ATO) - $2,590,269 (Outside Quarter)</t>
  </si>
  <si>
    <t>M08635</t>
  </si>
  <si>
    <t>P-518 - Nova Scotia Power Inc. (NSPI)  - CI# 49928 - 3S Gannon Road Bus Reconfiguration (ATO) - $741,486 (Outside Quarter)</t>
  </si>
  <si>
    <t>M08636</t>
  </si>
  <si>
    <t>M08637</t>
  </si>
  <si>
    <t>M08638</t>
  </si>
  <si>
    <t>M08639</t>
  </si>
  <si>
    <t>M08640</t>
  </si>
  <si>
    <t>M08679</t>
  </si>
  <si>
    <t>P-128.18 - Nova Scotia Power Inc. (NSPI)  - CI 48837 – AMO Fleet Environmental Data Management – $423,356</t>
  </si>
  <si>
    <t>M08680</t>
  </si>
  <si>
    <t>P-128.18 - Nova Scotia Power Inc. (NSPI) - CI 52107 – Tufts Cove Unit 6 CW Screen Replacement – $856,984</t>
  </si>
  <si>
    <t>M08681</t>
  </si>
  <si>
    <t>P-128.18 - Nova Scotia Power Inc. (NSPI) - CI 52239 – TUC6 Main and Induction Stop Valve Refurbishment – $335,693</t>
  </si>
  <si>
    <t>M08682</t>
  </si>
  <si>
    <t>P-128.18 - Nova Scotia Power Inc. (NSPI) - CI C0002103 – HYD WRC Unit 1 Wicket Gate Thrust Assembly Refurbishment –</t>
  </si>
  <si>
    <t>M08683</t>
  </si>
  <si>
    <t>P-518 - Nova Scotia Power Inc. (NSPI) - Distribution Routines ATO - CI Various (D005, D008, D051, D061)</t>
  </si>
  <si>
    <t>M08684</t>
  </si>
  <si>
    <t>P-518 - Nova Scotia Power Inc. (NSPI) - General Plant Routines - P062 – Work Vehicle Replacements: ATO amount $486,872</t>
  </si>
  <si>
    <t>M08685</t>
  </si>
  <si>
    <t>P-518 - Nova Scotia Power Inc. (NSPI) - Transmission Routines ATO - CI Various (T001, T003)</t>
  </si>
  <si>
    <t>M08686</t>
  </si>
  <si>
    <t>P-518 - Nova Scotia Power Inc. (NSPI) - CI 47950 – L5017 Replacements and Upgrades ATO – $3,062,664</t>
  </si>
  <si>
    <t>M08687</t>
  </si>
  <si>
    <t>P-518 - Nova Scotia Power Inc. (NSPI) - CI 51771 – HYD WRC Tailrace Road Refurbishment U&amp;U – $321,226</t>
  </si>
  <si>
    <t>M08733</t>
  </si>
  <si>
    <t>P-128.18 - Nova Scotia Power Inc. (NSPI) - CI 48791 – HYD - WRC Safety Standards Upgrades – $1,760,570</t>
  </si>
  <si>
    <t>M08734</t>
  </si>
  <si>
    <t>P-128.18 - Nova Scotia Power Inc. (NSPI) - CI 51775 – HYD Fixed Ladder &amp; Machine Guard Upgrades – $1,985,179</t>
  </si>
  <si>
    <t>M08735</t>
  </si>
  <si>
    <t>P-518 - Nova Scotia Power Inc. (NSPI) - CI 45816 – TUC3 U&amp;U Turbine - IP Row 21 Blading Phase 2 – $856,230 (FIN)</t>
  </si>
  <si>
    <t>M08736</t>
  </si>
  <si>
    <t>P-518 - Nova Scotia Power Inc. (NSPI) - CI 47531 – TRE6 LP Turbine Diaphragm Tip Seal Replacement – $1,784,152</t>
  </si>
  <si>
    <t>M08779</t>
  </si>
  <si>
    <t>P-128.18 - Nova Scotia Power Inc. (NSPI) - CI 49594 – LM6000 TUC5 Airhouse Upgrade – $980,668</t>
  </si>
  <si>
    <t>M08781</t>
  </si>
  <si>
    <t>P-128.18 - Nova Scotia Power Inc. (NSPI) - CI 49926 – LM6000 TUC4 Airhouse Upgrade – $987,141</t>
  </si>
  <si>
    <t>M08782</t>
  </si>
  <si>
    <t>P-128.18 - Nova Scotia Power Inc. (NSPI) - CI 49940 – LM6000 TUC5 Control System Upgrade– $1,275,559</t>
  </si>
  <si>
    <t>M08783</t>
  </si>
  <si>
    <t>P-518 - Nova Scotia Power Inc. (NSPI) (ATO) - CI 49782 – L5027B Replacements and Upgrades – $1,655,146</t>
  </si>
  <si>
    <t>M08784</t>
  </si>
  <si>
    <t>P-518 - Nova Scotia Power Inc. (NSPI) (FIN) - CI 43260 – 2013 Transmission Line Insulator Replacements – $303,626</t>
  </si>
  <si>
    <t>M08785</t>
  </si>
  <si>
    <t>P-518 - Nova Scotia Power Inc. (NSPI) (FIN) - CI 46513 – 3C Port Hastings BPS Upgrade – $3,318,316</t>
  </si>
  <si>
    <t>M08786</t>
  </si>
  <si>
    <t>P-518 - Nova Scotia Power Inc. (NSPI) (FIN) - CI 41139 – HYD – Annapolis Sluiceway Superstructure Refurbishment – $3,041,862</t>
  </si>
  <si>
    <t>M08787</t>
  </si>
  <si>
    <t>P-518 - Nova Scotia Power Inc. (NSPI) (FIN) - CI 47396 – HYD ‐ Nictaux Powerhouse Dam Refurb ‐ $1,224,610</t>
  </si>
  <si>
    <t>M08812</t>
  </si>
  <si>
    <t>P-518 - Nova Scotia Power Inc. (NSPI) - CI 51526 - CT Tusket Generator Replacement - $3,810,417</t>
  </si>
  <si>
    <t>M08826</t>
  </si>
  <si>
    <t>P-518 - Nova Scotia Power Inc. (NSPI) (FIN) CI# 49596 - HYD - Hells Gate 2 Overhaul - $1,134,326</t>
  </si>
  <si>
    <t>M08827</t>
  </si>
  <si>
    <t>P-518 - Nova Scotia Power Inc. (NSPI) (FIN) CI# 45876 - TUC3 - U&amp;U  Generator Refurbishment - $1,217,217</t>
  </si>
  <si>
    <t>M08828</t>
  </si>
  <si>
    <t>P-518 - Nova Scotia Power Inc. (NSPI) (P&amp;A) CI# 52323 - Port Hastings 2C BPS Upgrade - $4,201,330</t>
  </si>
  <si>
    <t>M08829</t>
  </si>
  <si>
    <t>P-518 -Nova Scotia Power Inc. (NSPI) (P&amp;A)  CI# C0009898 - 2C-402 Reinsulate - $861,166</t>
  </si>
  <si>
    <t>M08866</t>
  </si>
  <si>
    <t>P-518 Nova Scotia Power Inc. (NSPI) (P&amp;A) - CI C0009103 – LIN1 P&amp;A Boiler Refurbishment 2018 – $739,657</t>
  </si>
  <si>
    <t>M08867</t>
  </si>
  <si>
    <t>P-518 Nova Scotia Power Inc. (NSPI) (U&amp;U) - CI C0007500 – LIN3 U&amp;U Bottom Ash Refurbishment – $424,051</t>
  </si>
  <si>
    <t>M08868</t>
  </si>
  <si>
    <t>P-518 Nova Scotia Power Inc. (NSPI) (U&amp;U) - CI C0007718 – LIN3 U&amp;U Burner Front Refurbishment – $345,903</t>
  </si>
  <si>
    <t>M08916</t>
  </si>
  <si>
    <t>P-128.18 - Nova Scotia Power Inc. (NSPI) - CI 52143 – LM6000 ‐ 191‐332 Hot Section and Engine Refurbishment –$3,227,436</t>
  </si>
  <si>
    <t>M08917</t>
  </si>
  <si>
    <t>P-518 - Nova Scotia Power Inc. (NSPI) (P&amp;A) - CI 52008 – LM6000 ‐ 191‐253 Hot Section and Engine Refurbishment  – $3,041,675</t>
  </si>
  <si>
    <t>M08918</t>
  </si>
  <si>
    <t>P-518 - Nova Scotia Power Inc. (NSPI) (U&amp;U) - CI C0008005 – POT ‐ B Coal Mill Overhaul  – $406,011</t>
  </si>
  <si>
    <t>M08919</t>
  </si>
  <si>
    <t>P-518 - Nova Scotia Power Inc. (NSPI) (U&amp;U) - CI C0011738 – 1H Firewall Construction – $850,483</t>
  </si>
  <si>
    <t>M08954</t>
  </si>
  <si>
    <t>P-128.18 - Nova Scotia Power Inc. (NSPI)  - CI C0002130 ‐ ADMS Distribution Fault Location – $443,121</t>
  </si>
  <si>
    <t>M08955</t>
  </si>
  <si>
    <t>P-518 - Nova Scotia Power Inc. (NSPI)  - (FIN) CI 20758 – HYD Nictaux Intake &amp; Pipeline Replacement – $3,522,588</t>
  </si>
  <si>
    <t>M08956</t>
  </si>
  <si>
    <t>P-518 - Nova Scotia Power Inc. (NSPI)  - (FIN) CI 48535 ‐ HYD Scragg Lake Dam and Spillway Refurbishment – $1,625,672</t>
  </si>
  <si>
    <t>M08957</t>
  </si>
  <si>
    <t>P-518 - Nova Scotia Power Inc. (NSPI) - (FIN) CI 49633 ‐ HYD Trout River Lake Canal Refurbishment – $165,818</t>
  </si>
  <si>
    <t>M08958</t>
  </si>
  <si>
    <t>P-518 - Nova Scotia Power Inc. (NSPI) - (FIN)  CI 43681 ‐ South Canoe Wind Project Substation Network Upgrades – $4,270,258</t>
  </si>
  <si>
    <t>M08959</t>
  </si>
  <si>
    <t>P-518 - Nova Scotia Power Inc. (NSPI) - (FIN) CI 43683 ‐ South Canoe Wind Project (SCWP) Transmission Line – $5,179,767</t>
  </si>
  <si>
    <t>M08960</t>
  </si>
  <si>
    <t>P-518 - Nova Scotia Power Inc. (NSPI) - (P&amp;A) CI C0011000 ‐ IT – Cloud Access Security Broker Infrastructure – $373,647</t>
  </si>
  <si>
    <t>M08961</t>
  </si>
  <si>
    <t>P-518 - Nova Scotia Power Inc. (NSPI) - (U&amp;U) - CI C0006618 ‐ Little Brook Wind Turbine Decommissioning – $437,734</t>
  </si>
  <si>
    <t>M08962</t>
  </si>
  <si>
    <t>P-518 - Nova Scotia Power Inc. (NSPI) - (U&amp;U) - CI C0009621 ‐ HYD Big Falls 6 Exciter Replacement U&amp;U – $485,209</t>
  </si>
  <si>
    <t>M08963</t>
  </si>
  <si>
    <t>P-518 - Nova Scotia Power Inc. (NSPI) - (U&amp;U) - CI C0012718 ‐ HYD Fourth Lake Turbine Hub Refurbishment U&amp;U – $271,630</t>
  </si>
  <si>
    <t>M08984</t>
  </si>
  <si>
    <t>P-128.19 - Nova Scotia Power Inc. - 2019 ACE Plan Application - Requesting approval of $190.4 million of its 2019 ACE Plan which totals $333.2 million</t>
  </si>
  <si>
    <t>M08999</t>
  </si>
  <si>
    <t>P-128.19 - Nova Scotia Power Inc. (NSPI) - CI C0013438 - IT - T&amp;D WAM Phase 1 - GIS and Field Design - $7,978,434</t>
  </si>
  <si>
    <t>M09000</t>
  </si>
  <si>
    <t>P-128.19 - Nova Scotia Power Inc. (NSPI) - CI C0002241 – IT – Generation Operations Upgrade – $562,680</t>
  </si>
  <si>
    <t>M09001</t>
  </si>
  <si>
    <t>P-128.19 - Nova Scotia Power Inc. (NSPI) - CI 51481 – IT ‐ Content Management System Replacement – $2,048,854</t>
  </si>
  <si>
    <t>M09002</t>
  </si>
  <si>
    <t>P-518 - Nova Scotia Power Inc. (NSPI) (FIN) - CI 49253 – U&amp;U 20V‐T1 Transformer Replacement – $960,811</t>
  </si>
  <si>
    <t>M09027</t>
  </si>
  <si>
    <t>P-128.18 - Nova Scotia Power Inc. (NSPI) - CI 49876 - Real Time Economic Dispatch (P&amp;A)</t>
  </si>
  <si>
    <t>M09037</t>
  </si>
  <si>
    <t>P-519 - Nova Scotia Power Inc. (NSPI) - CI 49666 – TUC1 South Boiler Feedwater Pump Refurbishment – $585,260 (U&amp;U)</t>
  </si>
  <si>
    <t>M09038</t>
  </si>
  <si>
    <t>P-519 - Nova Scotia Power Inc. (NSPI) - CI C0009166 – TUC1 Boiler Refurbishment (U&amp;U) – $788,906</t>
  </si>
  <si>
    <t>M09039</t>
  </si>
  <si>
    <t>P-519 - Nova Scotia Power Inc. (NSPI) - CI C0011181 – HYD LEQ Stator Refurbishment (U&amp;U) – $2,051,177</t>
  </si>
  <si>
    <t>M09109</t>
  </si>
  <si>
    <t>P-519 - Nova Scotia Power Inc. (NSPI) - CI 49898 – 15N-202 Victoria St Replace Deteriorated Assets – $394,528</t>
  </si>
  <si>
    <t>M09110</t>
  </si>
  <si>
    <t>P-519 - Nova Scotia Power Inc. (NSPI) - (ATO) CI 48022 – Spider Lake Substation Addition – $9,223,260</t>
  </si>
  <si>
    <t>M09111</t>
  </si>
  <si>
    <t>P-519 - Nova Scotia Power Inc. (NSPI) - (ATO) CI 49779 - L6537 Replacements and Upgrades Phase 2 – $2,331,474</t>
  </si>
  <si>
    <t>M09112</t>
  </si>
  <si>
    <t>P-519 - Nova Scotia Power Inc. (NSPI) - CI C0012538 – HYD Sandy Lake 3 Rotor Refurbishment U&amp;U – $450,381</t>
  </si>
  <si>
    <t>M09113</t>
  </si>
  <si>
    <t>P-519 - Nova Scotia Power Inc. (NSPI) - CI C0014780 – HYD LEQ Water Passage Refurbishment U&amp;U – $601,188</t>
  </si>
  <si>
    <t>M09146</t>
  </si>
  <si>
    <t>P-519 - Nova Scotia Power Inc. (NSPI) - (ATO) - Distribution Routines – Non‐Confidential</t>
  </si>
  <si>
    <t>M09147</t>
  </si>
  <si>
    <t>P-519 - Nova Scotia Power Inc. (NSPI) - General Plant Routines – Non‐Confidential</t>
  </si>
  <si>
    <t>M09148</t>
  </si>
  <si>
    <t>P-519 - Nova Scotia Power Inc. (NSPI) - Transmission Routines – Non‐Confidential</t>
  </si>
  <si>
    <t>M09149</t>
  </si>
  <si>
    <t>P-128.19 - Nova Scotia Power Inc. (NSPI) - CI C0011380 – 2019 Telecom Building Replacement – $299,657</t>
  </si>
  <si>
    <t>M09150</t>
  </si>
  <si>
    <t>P-128.19 - Nova Scotia Power Inc. (NSPI) - CI C0013718 – AMO Run‐up Optimization Tool – $406,117</t>
  </si>
  <si>
    <t>M09154</t>
  </si>
  <si>
    <t>P-519 - Nova Scotia Power Inc. (NSPI) - CI 49793 – L7011 Replacements and Upgrades – $4,810,276 (ATO)</t>
  </si>
  <si>
    <t>M09155</t>
  </si>
  <si>
    <t>P-519 - Nova Scotia Power Inc. (NSPI) - CI 49922 – Western Switching Upgrades – $652,142 (ATO)</t>
  </si>
  <si>
    <t>M09156</t>
  </si>
  <si>
    <t>P-519 - Nova Scotia Power Inc. (NSPI) - CI 51808 – TUC HFO Piping Refurbishment – $3,460,625 (ATO)</t>
  </si>
  <si>
    <t>M09157</t>
  </si>
  <si>
    <t>P-519 - Nova Scotia Power Inc. (NSPI) - CI C0011858 – FAC Lower Water Street Roof Replacement – $1,672,596 (U&amp;U)</t>
  </si>
  <si>
    <t>M09206</t>
  </si>
  <si>
    <t>P-519 - Nova Scotia Power Inc. (NSPI) - CI 44749 -  509V-301 – Tiverton Tower and Crossing Replacement – $1,954,524 (ATO)</t>
  </si>
  <si>
    <t>M09207</t>
  </si>
  <si>
    <t>P-519 - Nova Scotia Power Inc. (NSPI) - CI C0018059 – 58C-403 Rebuild Hwy 19 South West Margaree – $1,127,220 (P&amp;A)</t>
  </si>
  <si>
    <t>M09208</t>
  </si>
  <si>
    <t>P-519 - Nova Scotia Power Inc. (NSPI) - CI C0013738 – TUC2 South Boiler Feedwater Pump Refurbishment – $735,544 (U&amp;U)</t>
  </si>
  <si>
    <t>M09209</t>
  </si>
  <si>
    <t>P-519 - Nova Scotia Power Inc. (NSPI) - CI C0015198 – 50V Kentville Aluminum Light Pole Replacement – $613,184</t>
  </si>
  <si>
    <t>M09239</t>
  </si>
  <si>
    <t>P-128.19 - Nova Scotia Power Inc. (NSPI) - CI C0011679 – AMO T&amp;D Asset Management Performance Tool – $699,974</t>
  </si>
  <si>
    <t>M09240</t>
  </si>
  <si>
    <t>P-128.19 - Nova Scotia Power Inc. (NSPI) - CI C0018485 – AMO – Wind Asset Management Implementation – $399,796</t>
  </si>
  <si>
    <t>M09241</t>
  </si>
  <si>
    <t>P-128.19 - Nova Scotia Power Inc. (NSPI) - CI C0017920 – PTMT – Shuttle Belt Replacement– $658,560</t>
  </si>
  <si>
    <t>M09242</t>
  </si>
  <si>
    <t>P-519 - Nova Scotia Power Inc. (NSPI) - CI C0013578 – TRE Circulating Water Fish Barrier U&amp;U– $1,454,175</t>
  </si>
  <si>
    <t>M09301</t>
  </si>
  <si>
    <t>P-128.19 - Nova Scotia Power Inc. (NSPI) - CI 49093 – IT - Security Operations Center (SOC) and Security Information Event Monitoring (SIEM) – $4,074,948</t>
  </si>
  <si>
    <t>M09327</t>
  </si>
  <si>
    <t>P-531 - NSPC Application for 150 MW CFB Coal-Fired Thermal Plant, Point Aconi, Cape Breton County (1989)</t>
  </si>
  <si>
    <t>M09346</t>
  </si>
  <si>
    <t>P-128.19 - Nova Scotia Power Inc. (NSPI) - CI 43490‐ Steel Tower Life Extension – (FIN) Decrease in costs by $607,948  (2019 Q2)</t>
  </si>
  <si>
    <t>M09347</t>
  </si>
  <si>
    <t>P-519 - Nova Scotia Power Inc. (NSPI) - CI 45882 - 103H-T63 Transformer Replacement U &amp; U  – (FIN) Decrease in costs by $304,266  </t>
  </si>
  <si>
    <t>M09348</t>
  </si>
  <si>
    <t>P-128.19 - Nova Scotia Power Inc. (NSPI) - CI C0021006 – IT – Microsoft Exchange Upgrade – $1,013,478 -ACE amount $1,517,875</t>
  </si>
  <si>
    <t>M09350</t>
  </si>
  <si>
    <r>
      <t>P-128.19 - Nova Scotia Power Inc. (NSPI) - CI</t>
    </r>
    <r>
      <rPr>
        <b/>
        <sz val="12"/>
        <color rgb="FF3C6F89"/>
        <rFont val="Helvetica"/>
        <family val="2"/>
      </rPr>
      <t xml:space="preserve"> </t>
    </r>
    <r>
      <rPr>
        <b/>
        <sz val="14"/>
        <color rgb="FF3C6F89"/>
        <rFont val="Helvetica"/>
        <family val="2"/>
      </rPr>
      <t xml:space="preserve">C0011059 </t>
    </r>
    <r>
      <rPr>
        <b/>
        <sz val="12"/>
        <color rgb="FF3C6F89"/>
        <rFont val="Helvetica"/>
        <family val="2"/>
      </rPr>
      <t xml:space="preserve">– IT – </t>
    </r>
    <r>
      <rPr>
        <b/>
        <sz val="14"/>
        <color rgb="FF3C6F89"/>
        <rFont val="Helvetica"/>
        <family val="2"/>
      </rPr>
      <t>Database Infrastructure – $721,816</t>
    </r>
  </si>
  <si>
    <t>M09352</t>
  </si>
  <si>
    <t>P-128.19 - Nova Scotia Power Inc. (NSPI) -CI C0017084 – 74N – Springhill Substation Access Road River Crossing – $782,109</t>
  </si>
  <si>
    <t>M09394</t>
  </si>
  <si>
    <t>P-128.19 - Nova Scotia Power Inc. (NSPI) - CI 52292 – TUC Heavy Fuel Oil Tank Dyke Refurbishment – $495,317</t>
  </si>
  <si>
    <t>M09438</t>
  </si>
  <si>
    <t>P-519 - Nova Scotia Power Inc. (NSPI) -CI 44716 - TUC2 North Boiler Feedwater Pump Refurbishment - $771,125</t>
  </si>
  <si>
    <t>M09477</t>
  </si>
  <si>
    <t>P-128.19 - Nova Scotia Power Inc. (NSPI) - CI C0002137 – ECC Map Board Replacement – $2,506,268 (Q3)</t>
  </si>
  <si>
    <t>M09478</t>
  </si>
  <si>
    <t>P-128.19 - Nova Scotia Power Inc. (NSPI) - CI C0010838 – MCC - HVAC Replacement – $1,105,002</t>
  </si>
  <si>
    <t>M09479</t>
  </si>
  <si>
    <t>P-519 - Nova Scotia Power Inc. (NSPI) (P&amp;A) - CI C0020338 – AMO Meridium Upgrade for Power Production – $1,571,516</t>
  </si>
  <si>
    <t>M09480</t>
  </si>
  <si>
    <t>P-519 - Nova Scotia Power Inc. (NSPI) (P&amp;A) - CI C0021105 – L7002 Replacements and Upgrades Phase 1 – $3,121,442</t>
  </si>
  <si>
    <t>M09499</t>
  </si>
  <si>
    <t>P-128.20 - Nova Scotia Power Inc. - 2020 ACE Plan Application</t>
  </si>
  <si>
    <t>M09508</t>
  </si>
  <si>
    <t>P-128.20 - Nova Scotia Power Inc. (NSPI) - CI 47751 – ECC - Dynamic Line Rating Implementation – $4,978,090</t>
  </si>
  <si>
    <t>M09509</t>
  </si>
  <si>
    <t>P-128.20 - Nova Scotia Power Inc. (NSPI) - CI 49480 – Data Centre Disaster Recovery – $6,335,162</t>
  </si>
  <si>
    <t>M09510</t>
  </si>
  <si>
    <t>P-128.20 - Nova Scotia Power Inc. (NSPI) - CI 49859 – IT Windows Server 2008 Upgrade – $1,183,310</t>
  </si>
  <si>
    <t>M09511</t>
  </si>
  <si>
    <t>P-128.20 - Nova Scotia Power Inc. (NSPI) - CI C0011378 – Route Network Upgrade – $5,717,752</t>
  </si>
  <si>
    <t>M09512</t>
  </si>
  <si>
    <t>P-519 - Nova Scotia Power Inc. (NSPI) - CI C0021202 – TRE Abercrombie Ash Management Site Water Treatment System Upgrade – $1,039,746</t>
  </si>
  <si>
    <t>M09560</t>
  </si>
  <si>
    <t>P-128.20 - Nova Scotia Power Inc. (NSPI) - CI C0018880 - VJ2 Engine P686622 Refurbishment - $2,140,601</t>
  </si>
  <si>
    <t>M09579</t>
  </si>
  <si>
    <t>P-128.20 Nova Scotia Power Inc. (NSPI) - CI 16374 - HYD - Gaspereau Dam Safety Remedial Works – Authorization to Overspend - $18,348,561</t>
  </si>
  <si>
    <t>M09596</t>
  </si>
  <si>
    <t>P-128.20 - Nova Scotia Power Inc. (NSPI) - CI C0013838 - Wreck Cove Life Extension and Modernization - $109,214,439</t>
  </si>
  <si>
    <t>M09609</t>
  </si>
  <si>
    <t>P-128-20 Nova Scotia Power Inc. (NSPI) CI C0010019 - IT - ADMS Upgrade - $9,626,891</t>
  </si>
  <si>
    <t>M09656</t>
  </si>
  <si>
    <t>P-520 - Nova Scotia Power Inc. (NSPI) - Distribution Routines (ATO) - $31,920,113</t>
  </si>
  <si>
    <t>M09657</t>
  </si>
  <si>
    <t>P-519 - Nova Scotia Power Inc. (NSPI) - General Plant Routines - P062 – Work Vehicle Replacements: ATO amount $651,546</t>
  </si>
  <si>
    <t>M09658</t>
  </si>
  <si>
    <t>P-519 - Nova Scotia Power Inc. (NSPI) - T001 – Provincial Transmission Line Replacements - Unplanned: ATO amount $2,091,266</t>
  </si>
  <si>
    <t>M09659</t>
  </si>
  <si>
    <t>P-128.20 - Nova Scotia Power Inc. (NSPI) - CI C0023622 – AMO Substation and Transmission Asset Performance Management Program – $2,217,589</t>
  </si>
  <si>
    <t>M09660</t>
  </si>
  <si>
    <t>P-128.20 - Nova Scotia Power Inc. (NSPI) - CI C0023623 – AMO Distribution Asset Performance Management Program – $1,721,484</t>
  </si>
  <si>
    <t>M09661</t>
  </si>
  <si>
    <t>P-520 - Nova Scotia Power Inc. (NSPI) - CI 47787 – 2H Armdale New Feeders – $1,734,221</t>
  </si>
  <si>
    <t>M09674</t>
  </si>
  <si>
    <t>E-BER-E-20 -Town of Berwick on behalf of the Berwick Electric Commission - Substation Transformer Project - $471,777</t>
  </si>
  <si>
    <t>M09683</t>
  </si>
  <si>
    <t>E-BER-E-20 Town of Berwick on behalf of the Berwick Electric Commission - Burnt Dam Project</t>
  </si>
  <si>
    <t>M09708</t>
  </si>
  <si>
    <t>P-128.20 Nova Scotia Power Inc. (NSPI)  - CI C0020385 – LIN Heavy Oil Tank Refurbishment – $3,309,341</t>
  </si>
  <si>
    <t>M09709</t>
  </si>
  <si>
    <t>P-128.20 Nova Scotia Power Inc. (NSPI) (2020 Q1) - CI C0021805 – IT - Microsoft Enterprise Agreement 2020 – $3,139,727</t>
  </si>
  <si>
    <t>M09710</t>
  </si>
  <si>
    <t>P-520 Nova Scotia Power Inc. (NSPI) (2020 Q1) - CI C0024486 – 2S-T1 Transformer Replacement – $2,648,403 (U&amp;U)</t>
  </si>
  <si>
    <t>M09739</t>
  </si>
  <si>
    <t>P-128.20 - Nova Scotia Power Inc. (NSPI) - CI C0019379 – 50N-410 – 4C-430 Highway 104 Twinning – $1,137,223</t>
  </si>
  <si>
    <t>found manually</t>
  </si>
  <si>
    <t xml:space="preserve"> - Bowater Mersey shut down on Jun 15, 2012. Load approx. 100MW </t>
  </si>
  <si>
    <t>(295) 141</t>
  </si>
  <si>
    <t>10 Years Historic Data to Determine System Co-incident Peak Load Growth with 
2010 &amp; 2011 Impacts of Bowater &amp; NewPage PM1 Contribution to Co-incident Peak Removed</t>
  </si>
  <si>
    <t>System Peak</t>
  </si>
  <si>
    <t>incremental Growth/yr</t>
  </si>
  <si>
    <t>Upgrades/extensions/routines to connect new customers that are not avoidable costs</t>
  </si>
  <si>
    <t xml:space="preserve"> - New Page mIll with two paper machines and three TMP lines shut down Sep 2011; </t>
  </si>
  <si>
    <t xml:space="preserve">Note that a power Factor of 0.97 has been applied as a system average to convert Constrained System and System Wide growth in kVA to growth in kW. </t>
  </si>
  <si>
    <t>Carrying Charge for Average Annual Costs ($/yr) / Annual Coincident System Peak Load Growth (kW)</t>
  </si>
  <si>
    <t>Total Xfmr Peak MVA *</t>
  </si>
  <si>
    <t>Constrained MVA +</t>
  </si>
  <si>
    <t>+ Constrained MVA includes distribution load and losses but does not include transmission connected load or losses (i.e., based on substation transformer &amp; feeder metering)</t>
  </si>
  <si>
    <t>* Total Peak MVA includes distribution load and losses but does not include transmission connected load or losses</t>
  </si>
  <si>
    <t>Determine Constrained System Avoided T&amp;D Costs ($/kw-yr):
• Annual Constrained System growth (kW): = Sum of Constrained System Peak Load x Historic Annual Growth Rate 
• Avoided Transmission Costs: = Carrying Costs for Transmission Growth Projects ($/yr) / Annual Constrained System Growth (kW)
• Avoided Distribution Costs: = Carrying Costs for Distribution Growth Projects ($/yr) /Annual Constrained System Growth (kW)</t>
  </si>
  <si>
    <t>Determine System Wide Avoided T&amp;D Costs ($/kw-yr):
• Annual System Wide growth (kW): = 10 Year Linear Approximation of System Wide Peak Load Growth / 10 
• Avoided Transmission Costs: = Carrying Costs for Transmission Growth Projects ($/yr) / Annual System Wide Growth (kW)
• Avoided Distribution Costs: = Carrying Costs for Distribution Growth Projects ($/yr) / Annual System Wide Growth (kW)</t>
  </si>
  <si>
    <t xml:space="preserve"> - PHP (New Page mill) started up again with PM1 retired in Sep, 2012. PM1 load approx 30MW </t>
  </si>
  <si>
    <r>
      <t>Temp: -14.3</t>
    </r>
    <r>
      <rPr>
        <b/>
        <vertAlign val="superscript"/>
        <sz val="8"/>
        <rFont val="Arial"/>
        <family val="2"/>
      </rPr>
      <t>o</t>
    </r>
    <r>
      <rPr>
        <b/>
        <sz val="8"/>
        <rFont val="Arial"/>
        <family val="2"/>
      </rPr>
      <t>C</t>
    </r>
  </si>
  <si>
    <t>Updated</t>
  </si>
  <si>
    <t>47787-D863</t>
  </si>
  <si>
    <t>2H Armdale New Feeders</t>
  </si>
  <si>
    <t>C0018400</t>
  </si>
  <si>
    <t>Canada Post Auto-transfer Scheme</t>
  </si>
  <si>
    <t>C0011319</t>
  </si>
  <si>
    <t>D-21W-311-Lower Harbour Rebuild</t>
  </si>
  <si>
    <t>C0021122</t>
  </si>
  <si>
    <t>2020-21 Transmission Switch and Br</t>
  </si>
  <si>
    <t>C0024862</t>
  </si>
  <si>
    <t>2020 Unplanned Failures (T003)</t>
  </si>
  <si>
    <t>C0026102</t>
  </si>
  <si>
    <t xml:space="preserve">2020 Substation Theft Prevention </t>
  </si>
  <si>
    <t>C0028182</t>
  </si>
  <si>
    <t xml:space="preserve">4N-311 Targeted Asset Replacements </t>
  </si>
  <si>
    <t>Customer Reliability</t>
  </si>
  <si>
    <t>C0028803</t>
  </si>
  <si>
    <t>139H-414 Targeted Asset Replacement</t>
  </si>
  <si>
    <t>C0028804</t>
  </si>
  <si>
    <t>20H-301 Targeted Asset Replacements</t>
  </si>
  <si>
    <t>C0028982</t>
  </si>
  <si>
    <t>104H-411 412 422 423 Targeted Asset</t>
  </si>
  <si>
    <t>C0024870</t>
  </si>
  <si>
    <t>50N-GT5 Regasket and Radiator Repla</t>
  </si>
  <si>
    <t>C0031482</t>
  </si>
  <si>
    <t>85S-401 Ingonish Centre BTR</t>
  </si>
  <si>
    <t>C0029162</t>
  </si>
  <si>
    <t xml:space="preserve">67C-411 Brook Village Protection </t>
  </si>
  <si>
    <t>C0032827</t>
  </si>
  <si>
    <t xml:space="preserve">Hurricane Teddy - Distribution </t>
  </si>
  <si>
    <t>C0030382</t>
  </si>
  <si>
    <t>22N-401 New Recloser Installation</t>
  </si>
  <si>
    <t>C0015681</t>
  </si>
  <si>
    <t>D-87H-311-East Chezzetcook Rd- 3-Ph</t>
  </si>
  <si>
    <t>49056-D746</t>
  </si>
  <si>
    <t>65V-302HAA Old Liverpool Rd Rebuild</t>
  </si>
  <si>
    <t>49790-T959</t>
  </si>
  <si>
    <t>L5505 Replacements and Upgrades</t>
  </si>
  <si>
    <t>52328</t>
  </si>
  <si>
    <t>56N-T1 Transformer Upgrades</t>
  </si>
  <si>
    <t>48131</t>
  </si>
  <si>
    <t>48H-T1 Replacement</t>
  </si>
  <si>
    <t>C0011850</t>
  </si>
  <si>
    <t>T - 2019 Substation Insulator Repla</t>
  </si>
  <si>
    <t>C0024642</t>
  </si>
  <si>
    <t>December 9, 2019 Storm-Distribution</t>
  </si>
  <si>
    <t>C0023803</t>
  </si>
  <si>
    <t xml:space="preserve">Landfills Conductors &amp; Insulators </t>
  </si>
  <si>
    <t>C0021123</t>
  </si>
  <si>
    <t xml:space="preserve">2020/2021 Substation PCB Equipment </t>
  </si>
  <si>
    <t>C0024602</t>
  </si>
  <si>
    <t>L6537 River Inhabitants Crossing</t>
  </si>
  <si>
    <t>C0025802</t>
  </si>
  <si>
    <t>93V-313G Meteghan Shore Rd Ph Ext</t>
  </si>
  <si>
    <t>C0028590</t>
  </si>
  <si>
    <t>Windmill Rd and HWY 111 UG Crossing</t>
  </si>
  <si>
    <t>C0020825</t>
  </si>
  <si>
    <t>64N-Lourdes Street conversion Phase</t>
  </si>
  <si>
    <t>C0029742</t>
  </si>
  <si>
    <t>77V-401/509V-301 Targeted Asset Rep</t>
  </si>
  <si>
    <t>C0010955</t>
  </si>
  <si>
    <t>2020/2021 Wood Pole Retreatment</t>
  </si>
  <si>
    <t>C0018302</t>
  </si>
  <si>
    <t>84S-302 - Sydney Airport Transfer S</t>
  </si>
  <si>
    <t>C0030743</t>
  </si>
  <si>
    <t>509V East Ferry Landslide Remediati</t>
  </si>
  <si>
    <t>C0030627</t>
  </si>
  <si>
    <t>88H-402 Protection Upgrades</t>
  </si>
  <si>
    <t>C0029423</t>
  </si>
  <si>
    <t>5N-301 Lower Debert BTR</t>
  </si>
  <si>
    <t>52201</t>
  </si>
  <si>
    <t>D-55V-314GA-Welsford Reconductor</t>
  </si>
  <si>
    <t>C0011197</t>
  </si>
  <si>
    <t>64N Lourdes Street Conversion Ph 1</t>
  </si>
  <si>
    <t>C0020743</t>
  </si>
  <si>
    <t>Ragged Lake UPS Replacement</t>
  </si>
  <si>
    <t>C0026242</t>
  </si>
  <si>
    <t>Padmount Square Primary Bushing</t>
  </si>
  <si>
    <t>C0015539</t>
  </si>
  <si>
    <t>D-139H-412- Commissioning New Feede</t>
  </si>
  <si>
    <t>C0026683</t>
  </si>
  <si>
    <t>T&amp;D Reliability Enhancements</t>
  </si>
  <si>
    <t>C0025384</t>
  </si>
  <si>
    <t>9W-517 &amp; 529 Capbank Civil Work</t>
  </si>
  <si>
    <t>C0028564</t>
  </si>
  <si>
    <t>92H-331 Targeted Asset Replacements</t>
  </si>
  <si>
    <t>C0024162</t>
  </si>
  <si>
    <t>83V-301 Melanson Road Upgrade</t>
  </si>
  <si>
    <t>C0028742</t>
  </si>
  <si>
    <t>82V-402 Robert St Line Extension</t>
  </si>
  <si>
    <t>C0028102</t>
  </si>
  <si>
    <t>2020 Padmount Switch Replacement</t>
  </si>
  <si>
    <t>C0021130</t>
  </si>
  <si>
    <t>48H Metalclad Switchgear Replacemen</t>
  </si>
  <si>
    <t>C0030785</t>
  </si>
  <si>
    <t>Wreck Cove oil reconditioning</t>
  </si>
  <si>
    <t>C0031148</t>
  </si>
  <si>
    <t>Metro-Stack insulator replacements</t>
  </si>
  <si>
    <t>C0030444</t>
  </si>
  <si>
    <t>D- 568C-311 Nelson Bridge Replace</t>
  </si>
  <si>
    <t>C0032745</t>
  </si>
  <si>
    <t>89H Oil Spill Remediation</t>
  </si>
  <si>
    <t>52238</t>
  </si>
  <si>
    <t>2018/2019 Capacitor Bank Breaker Re</t>
  </si>
  <si>
    <t>C0013978</t>
  </si>
  <si>
    <t xml:space="preserve">11S Keltic Dr Substation Animal </t>
  </si>
  <si>
    <t>C0020835</t>
  </si>
  <si>
    <t>2020 Padmount Replcement Program</t>
  </si>
  <si>
    <t>C0025457</t>
  </si>
  <si>
    <t>20W-311 Willet Rd Repole</t>
  </si>
  <si>
    <t>C0025382</t>
  </si>
  <si>
    <t>2020 Unknown Additions (T004)</t>
  </si>
  <si>
    <t>C0028464</t>
  </si>
  <si>
    <t>12V-T2 Tapchanger Replacement</t>
  </si>
  <si>
    <t>C0028343</t>
  </si>
  <si>
    <t>65V-301 Den Haan Greenhouse Recon</t>
  </si>
  <si>
    <t>C0030263</t>
  </si>
  <si>
    <t>L7003 &amp; L7004 - Hwy 104 Twinning</t>
  </si>
  <si>
    <t>C0029242</t>
  </si>
  <si>
    <t>1N-421 Tidal Bore Rd Line Extension</t>
  </si>
  <si>
    <t>C0032944</t>
  </si>
  <si>
    <t>85S-401- Abandoned RoW Removals</t>
  </si>
  <si>
    <t>C0024872</t>
  </si>
  <si>
    <t>Lingan New Coolers (T003)</t>
  </si>
  <si>
    <t>49891-D790</t>
  </si>
  <si>
    <t>509V Recloser and Voltage Regulator</t>
  </si>
  <si>
    <t>52204</t>
  </si>
  <si>
    <t>87W-312G-Tancook Island Replacement</t>
  </si>
  <si>
    <t>C0011918</t>
  </si>
  <si>
    <t>T-2019 Oil Containment Program</t>
  </si>
  <si>
    <t>C0015198</t>
  </si>
  <si>
    <t>50V Kentville Aluminum Light Pole R</t>
  </si>
  <si>
    <t>C0022283</t>
  </si>
  <si>
    <t>58C-T1 Margaree Failed Transformer</t>
  </si>
  <si>
    <t>C0024867</t>
  </si>
  <si>
    <t>67N Leaking CT Replacement (T003)</t>
  </si>
  <si>
    <t>C0026963</t>
  </si>
  <si>
    <t>85S-401 - Ingonish Reconductor</t>
  </si>
  <si>
    <t>C0029699</t>
  </si>
  <si>
    <t>88W-312 Targeted Asset Replacements</t>
  </si>
  <si>
    <t>C0025383</t>
  </si>
  <si>
    <t>2020 Transformer Refurbishment</t>
  </si>
  <si>
    <t>C0032522</t>
  </si>
  <si>
    <t>137H/131 Recon and Protection Upgrd</t>
  </si>
  <si>
    <t>C0029342</t>
  </si>
  <si>
    <t xml:space="preserve">67C-411/58C-403 Mabou and Dunvegan </t>
  </si>
  <si>
    <t>C0030142</t>
  </si>
  <si>
    <t>L6515, L6516 Structures Replacement</t>
  </si>
  <si>
    <t>C0033424</t>
  </si>
  <si>
    <t>52184</t>
  </si>
  <si>
    <t>37N-412-Glooscap Trail Rebuild PH2</t>
  </si>
  <si>
    <t>52200</t>
  </si>
  <si>
    <t>D-65V-301 Brickton Reconductor</t>
  </si>
  <si>
    <t>C0011242</t>
  </si>
  <si>
    <t>T-L5541 -Replacements and Upgrades</t>
  </si>
  <si>
    <t>C0024486</t>
  </si>
  <si>
    <t>2S-T1 Transformer Replacement</t>
  </si>
  <si>
    <t>C0020831</t>
  </si>
  <si>
    <t>2020 Vault Upgrade</t>
  </si>
  <si>
    <t>C0020627</t>
  </si>
  <si>
    <t>2020 Transmission ROW Widening 69kV</t>
  </si>
  <si>
    <t>C0024868</t>
  </si>
  <si>
    <t>Battery Bank and Charger Replacemen</t>
  </si>
  <si>
    <t>C0020623</t>
  </si>
  <si>
    <t>New Distribution ROW Phase 5</t>
  </si>
  <si>
    <t>C0022163</t>
  </si>
  <si>
    <t xml:space="preserve">2020 Manhole Cover Replacement     </t>
  </si>
  <si>
    <t>C0025728</t>
  </si>
  <si>
    <t>Bayers Road Development</t>
  </si>
  <si>
    <t>C0015679</t>
  </si>
  <si>
    <t>D-20H-301G Old Sambro Rd Pole Repla</t>
  </si>
  <si>
    <t>C0027645</t>
  </si>
  <si>
    <t xml:space="preserve">D-4S-324-Tittle Bridge Reconfigure </t>
  </si>
  <si>
    <t>C0030486</t>
  </si>
  <si>
    <t xml:space="preserve">3S - Targeted Asset Replacements </t>
  </si>
  <si>
    <t>C0029722</t>
  </si>
  <si>
    <t>Herring Cove Rd Rebuild/Relocate</t>
  </si>
  <si>
    <t>C0030944</t>
  </si>
  <si>
    <t>1N-402 1N-405 - Targeted Asset Repl</t>
  </si>
  <si>
    <t>C0029322</t>
  </si>
  <si>
    <t>1N-405H Salmon River Crossing Rebui</t>
  </si>
  <si>
    <t>C0031224</t>
  </si>
  <si>
    <t>58C-405HA Middle River Reconfig</t>
  </si>
  <si>
    <t>C0034209</t>
  </si>
  <si>
    <t>1C-GT2 Transformer Failure</t>
  </si>
  <si>
    <t>C0033405</t>
  </si>
  <si>
    <t>500 Mic Mac Blvd -Relocation</t>
  </si>
  <si>
    <t>52314</t>
  </si>
  <si>
    <t>1C-GT1/UT1 Replacement</t>
  </si>
  <si>
    <t>C0011320</t>
  </si>
  <si>
    <t>D-22W-311GA-Hawk Point Rd Recon</t>
  </si>
  <si>
    <t>C0011200</t>
  </si>
  <si>
    <t>D-6S-224 Birch Hill Drive Convers</t>
  </si>
  <si>
    <t>52285</t>
  </si>
  <si>
    <t>L5524 Replacements &amp; Upgrades</t>
  </si>
  <si>
    <t>C0024875</t>
  </si>
  <si>
    <t>30W Deteriorated Bus Structure Repl</t>
  </si>
  <si>
    <t>C0026763</t>
  </si>
  <si>
    <t>Town of Canso - Meter Installs</t>
  </si>
  <si>
    <t>C0029103</t>
  </si>
  <si>
    <t>58C-403 – Highway 219 Protection Up</t>
  </si>
  <si>
    <t>C0034166</t>
  </si>
  <si>
    <t xml:space="preserve">2859 ROBIE STREET RELOCATION </t>
  </si>
  <si>
    <t>47775</t>
  </si>
  <si>
    <t>D-67C/58C Inverness Transfer Scheme</t>
  </si>
  <si>
    <t>C0016183</t>
  </si>
  <si>
    <t>D-2020 Downline PCB Replacements</t>
  </si>
  <si>
    <t>C0017578</t>
  </si>
  <si>
    <t>AMO TripSaver Pilot</t>
  </si>
  <si>
    <t>C0019379</t>
  </si>
  <si>
    <t>C0017138</t>
  </si>
  <si>
    <t>Feeders 1H-405 and 1H-431 Protectio</t>
  </si>
  <si>
    <t>C0027223</t>
  </si>
  <si>
    <t>67C-412 Whycocomagh Roundabout</t>
  </si>
  <si>
    <t>52317</t>
  </si>
  <si>
    <t>2020 Line Retirement Program</t>
  </si>
  <si>
    <t>C0030464</t>
  </si>
  <si>
    <t>100C-421 and 422 Targeted Asset Rep</t>
  </si>
  <si>
    <t>C0027744</t>
  </si>
  <si>
    <t>3S-308-3S-405 - Reconfig and Remove</t>
  </si>
  <si>
    <t>C0029202</t>
  </si>
  <si>
    <t>4C-432 Beech Hill Rebuild</t>
  </si>
  <si>
    <t>C0031882</t>
  </si>
  <si>
    <t>22C-403-404 Feeder Exit Replacement</t>
  </si>
  <si>
    <t>CI</t>
  </si>
  <si>
    <t>Growth Related
(y/n)</t>
  </si>
  <si>
    <t>Routine
Or
Normal</t>
  </si>
  <si>
    <t>Work 
Order 
Status</t>
  </si>
  <si>
    <t>In-
Service
Date</t>
  </si>
  <si>
    <t>Complete
Date</t>
  </si>
  <si>
    <t>Proj To Date
Actuals</t>
  </si>
  <si>
    <t>11004</t>
  </si>
  <si>
    <t>11529</t>
  </si>
  <si>
    <t>14863</t>
  </si>
  <si>
    <t>14873</t>
  </si>
  <si>
    <t>14874</t>
  </si>
  <si>
    <t>14875</t>
  </si>
  <si>
    <t>14878</t>
  </si>
  <si>
    <t>14911</t>
  </si>
  <si>
    <t>14941</t>
  </si>
  <si>
    <t>14985</t>
  </si>
  <si>
    <t>16113</t>
  </si>
  <si>
    <t>16119</t>
  </si>
  <si>
    <t>16125</t>
  </si>
  <si>
    <t>16814</t>
  </si>
  <si>
    <t>16831</t>
  </si>
  <si>
    <t>16832</t>
  </si>
  <si>
    <t>16835</t>
  </si>
  <si>
    <t>17529</t>
  </si>
  <si>
    <t>18062</t>
  </si>
  <si>
    <t>25077</t>
  </si>
  <si>
    <t>25078</t>
  </si>
  <si>
    <t>25080</t>
  </si>
  <si>
    <t>25081</t>
  </si>
  <si>
    <t>25391</t>
  </si>
  <si>
    <t>25575</t>
  </si>
  <si>
    <t>26715</t>
  </si>
  <si>
    <t>26717</t>
  </si>
  <si>
    <t>26718</t>
  </si>
  <si>
    <t>26719</t>
  </si>
  <si>
    <t>33525</t>
  </si>
  <si>
    <t>33622</t>
  </si>
  <si>
    <t>33624</t>
  </si>
  <si>
    <t>34262</t>
  </si>
  <si>
    <t>34602</t>
  </si>
  <si>
    <t>34622</t>
  </si>
  <si>
    <t>36922</t>
  </si>
  <si>
    <t>36942</t>
  </si>
  <si>
    <t>38022</t>
  </si>
  <si>
    <t>38024</t>
  </si>
  <si>
    <t>38027</t>
  </si>
  <si>
    <t>38062</t>
  </si>
  <si>
    <t>38110</t>
  </si>
  <si>
    <t>38122</t>
  </si>
  <si>
    <t>38266</t>
  </si>
  <si>
    <t>38732</t>
  </si>
  <si>
    <t>38818</t>
  </si>
  <si>
    <t>38819</t>
  </si>
  <si>
    <t>38847</t>
  </si>
  <si>
    <t>38856</t>
  </si>
  <si>
    <t>38857</t>
  </si>
  <si>
    <t>38867</t>
  </si>
  <si>
    <t>38878</t>
  </si>
  <si>
    <t>38914</t>
  </si>
  <si>
    <t>38915</t>
  </si>
  <si>
    <t>39269</t>
  </si>
  <si>
    <t>39270</t>
  </si>
  <si>
    <t>39272</t>
  </si>
  <si>
    <t>39590</t>
  </si>
  <si>
    <t>39626</t>
  </si>
  <si>
    <t>39627</t>
  </si>
  <si>
    <t>39628</t>
  </si>
  <si>
    <t>39643</t>
  </si>
  <si>
    <t>39644</t>
  </si>
  <si>
    <t>39664</t>
  </si>
  <si>
    <t>39723</t>
  </si>
  <si>
    <t>39788</t>
  </si>
  <si>
    <t>39789</t>
  </si>
  <si>
    <t>39929</t>
  </si>
  <si>
    <t>39930</t>
  </si>
  <si>
    <t>40185</t>
  </si>
  <si>
    <t>40202</t>
  </si>
  <si>
    <t>40203</t>
  </si>
  <si>
    <t>40204</t>
  </si>
  <si>
    <t>40211</t>
  </si>
  <si>
    <t>40220</t>
  </si>
  <si>
    <t>40224</t>
  </si>
  <si>
    <t>40226</t>
  </si>
  <si>
    <t>40227</t>
  </si>
  <si>
    <t>40231</t>
  </si>
  <si>
    <t>40233</t>
  </si>
  <si>
    <t>40248</t>
  </si>
  <si>
    <t>40257</t>
  </si>
  <si>
    <t>40260</t>
  </si>
  <si>
    <t>40263</t>
  </si>
  <si>
    <t>40264</t>
  </si>
  <si>
    <t>40265</t>
  </si>
  <si>
    <t>40266</t>
  </si>
  <si>
    <t>40267</t>
  </si>
  <si>
    <t>40268</t>
  </si>
  <si>
    <t>40270</t>
  </si>
  <si>
    <t>40273</t>
  </si>
  <si>
    <t>40279</t>
  </si>
  <si>
    <t>40280</t>
  </si>
  <si>
    <t>40281</t>
  </si>
  <si>
    <t>40284</t>
  </si>
  <si>
    <t>40285</t>
  </si>
  <si>
    <t>40287</t>
  </si>
  <si>
    <t>40288</t>
  </si>
  <si>
    <t>40291</t>
  </si>
  <si>
    <t>40300</t>
  </si>
  <si>
    <t>40307</t>
  </si>
  <si>
    <t>40310</t>
  </si>
  <si>
    <t>40317</t>
  </si>
  <si>
    <t>40320</t>
  </si>
  <si>
    <t>40321</t>
  </si>
  <si>
    <t>40322</t>
  </si>
  <si>
    <t>40323</t>
  </si>
  <si>
    <t>40327</t>
  </si>
  <si>
    <t>40328</t>
  </si>
  <si>
    <t>40329</t>
  </si>
  <si>
    <t>40338</t>
  </si>
  <si>
    <t>40343</t>
  </si>
  <si>
    <t>40379</t>
  </si>
  <si>
    <t>40385</t>
  </si>
  <si>
    <t>40386</t>
  </si>
  <si>
    <t>40424</t>
  </si>
  <si>
    <t>40425</t>
  </si>
  <si>
    <t>40430</t>
  </si>
  <si>
    <t>40445</t>
  </si>
  <si>
    <t>40522</t>
  </si>
  <si>
    <t>40545</t>
  </si>
  <si>
    <t>40546</t>
  </si>
  <si>
    <t>40662</t>
  </si>
  <si>
    <t>40663</t>
  </si>
  <si>
    <t>40712</t>
  </si>
  <si>
    <t>40722</t>
  </si>
  <si>
    <t>40723</t>
  </si>
  <si>
    <t>40724</t>
  </si>
  <si>
    <t>40725</t>
  </si>
  <si>
    <t>40726</t>
  </si>
  <si>
    <t>40727</t>
  </si>
  <si>
    <t>40728</t>
  </si>
  <si>
    <t>40762</t>
  </si>
  <si>
    <t>40787</t>
  </si>
  <si>
    <t>40788</t>
  </si>
  <si>
    <t>40789</t>
  </si>
  <si>
    <t>40790</t>
  </si>
  <si>
    <t>40862</t>
  </si>
  <si>
    <t>40867</t>
  </si>
  <si>
    <t>40868</t>
  </si>
  <si>
    <t>40883</t>
  </si>
  <si>
    <t>40903</t>
  </si>
  <si>
    <t>40904</t>
  </si>
  <si>
    <t>40906</t>
  </si>
  <si>
    <t>40943</t>
  </si>
  <si>
    <t>40967</t>
  </si>
  <si>
    <t>40983</t>
  </si>
  <si>
    <t>41005</t>
  </si>
  <si>
    <t>41033</t>
  </si>
  <si>
    <t>41104</t>
  </si>
  <si>
    <t>41203</t>
  </si>
  <si>
    <t>41204</t>
  </si>
  <si>
    <t>41325</t>
  </si>
  <si>
    <t>41326</t>
  </si>
  <si>
    <t>41327</t>
  </si>
  <si>
    <t>41328</t>
  </si>
  <si>
    <t>41329</t>
  </si>
  <si>
    <t>41332</t>
  </si>
  <si>
    <t>41333</t>
  </si>
  <si>
    <t>41334</t>
  </si>
  <si>
    <t>41337</t>
  </si>
  <si>
    <t>41338</t>
  </si>
  <si>
    <t>41339</t>
  </si>
  <si>
    <t>41340</t>
  </si>
  <si>
    <t>41341</t>
  </si>
  <si>
    <t>41342</t>
  </si>
  <si>
    <t>41343</t>
  </si>
  <si>
    <t>41344</t>
  </si>
  <si>
    <t>41345</t>
  </si>
  <si>
    <t>41346</t>
  </si>
  <si>
    <t>41348</t>
  </si>
  <si>
    <t>41349</t>
  </si>
  <si>
    <t>41350</t>
  </si>
  <si>
    <t>41351</t>
  </si>
  <si>
    <t>41353</t>
  </si>
  <si>
    <t>41354</t>
  </si>
  <si>
    <t>41355</t>
  </si>
  <si>
    <t>41356</t>
  </si>
  <si>
    <t>41357</t>
  </si>
  <si>
    <t>41358</t>
  </si>
  <si>
    <t>41359</t>
  </si>
  <si>
    <t>41360</t>
  </si>
  <si>
    <t>41363</t>
  </si>
  <si>
    <t>41364</t>
  </si>
  <si>
    <t>41383</t>
  </si>
  <si>
    <t>41384</t>
  </si>
  <si>
    <t>41386</t>
  </si>
  <si>
    <t>41387</t>
  </si>
  <si>
    <t>41388</t>
  </si>
  <si>
    <t>41389</t>
  </si>
  <si>
    <t>41390</t>
  </si>
  <si>
    <t>41391</t>
  </si>
  <si>
    <t>41392</t>
  </si>
  <si>
    <t>41393</t>
  </si>
  <si>
    <t>41397</t>
  </si>
  <si>
    <t>41398</t>
  </si>
  <si>
    <t>41399</t>
  </si>
  <si>
    <t>41422</t>
  </si>
  <si>
    <t>41426</t>
  </si>
  <si>
    <t>41429</t>
  </si>
  <si>
    <t>41430</t>
  </si>
  <si>
    <t>41431</t>
  </si>
  <si>
    <t>41432</t>
  </si>
  <si>
    <t>41434</t>
  </si>
  <si>
    <t>41437</t>
  </si>
  <si>
    <t>41438</t>
  </si>
  <si>
    <t>41439</t>
  </si>
  <si>
    <t>41517</t>
  </si>
  <si>
    <t>41534</t>
  </si>
  <si>
    <t>41535</t>
  </si>
  <si>
    <t>41536</t>
  </si>
  <si>
    <t>41537</t>
  </si>
  <si>
    <t>41540</t>
  </si>
  <si>
    <t>41550</t>
  </si>
  <si>
    <t>41551</t>
  </si>
  <si>
    <t>41552</t>
  </si>
  <si>
    <t>41555</t>
  </si>
  <si>
    <t>41589</t>
  </si>
  <si>
    <t>41592</t>
  </si>
  <si>
    <t>41601</t>
  </si>
  <si>
    <t>41623</t>
  </si>
  <si>
    <t>41646</t>
  </si>
  <si>
    <t>41647</t>
  </si>
  <si>
    <t>41668</t>
  </si>
  <si>
    <t>41672</t>
  </si>
  <si>
    <t>41674</t>
  </si>
  <si>
    <t>41683</t>
  </si>
  <si>
    <t>41723</t>
  </si>
  <si>
    <t>41797</t>
  </si>
  <si>
    <t>41803</t>
  </si>
  <si>
    <t>41844</t>
  </si>
  <si>
    <t>41926</t>
  </si>
  <si>
    <t>42006</t>
  </si>
  <si>
    <t>42026</t>
  </si>
  <si>
    <t>42066</t>
  </si>
  <si>
    <t>42067</t>
  </si>
  <si>
    <t>42086</t>
  </si>
  <si>
    <t>42088</t>
  </si>
  <si>
    <t>42128</t>
  </si>
  <si>
    <t>42526</t>
  </si>
  <si>
    <t>42566</t>
  </si>
  <si>
    <t>42592</t>
  </si>
  <si>
    <t>42626</t>
  </si>
  <si>
    <t>42627</t>
  </si>
  <si>
    <t>42628</t>
  </si>
  <si>
    <t>42629</t>
  </si>
  <si>
    <t>42632</t>
  </si>
  <si>
    <t>42633</t>
  </si>
  <si>
    <t>42634</t>
  </si>
  <si>
    <t>42635</t>
  </si>
  <si>
    <t>42636</t>
  </si>
  <si>
    <t>42637</t>
  </si>
  <si>
    <t>42758</t>
  </si>
  <si>
    <t>42788</t>
  </si>
  <si>
    <t>42829</t>
  </si>
  <si>
    <t>42830</t>
  </si>
  <si>
    <t>42846</t>
  </si>
  <si>
    <t>42957</t>
  </si>
  <si>
    <t>42958</t>
  </si>
  <si>
    <t>43098</t>
  </si>
  <si>
    <t>43106</t>
  </si>
  <si>
    <t>43117</t>
  </si>
  <si>
    <t>43126</t>
  </si>
  <si>
    <t>43161</t>
  </si>
  <si>
    <t>43176</t>
  </si>
  <si>
    <t>43177</t>
  </si>
  <si>
    <t>43178</t>
  </si>
  <si>
    <t>43184</t>
  </si>
  <si>
    <t>43185</t>
  </si>
  <si>
    <t>43187</t>
  </si>
  <si>
    <t>43188</t>
  </si>
  <si>
    <t>43189</t>
  </si>
  <si>
    <t>43192</t>
  </si>
  <si>
    <t>43194</t>
  </si>
  <si>
    <t>43195</t>
  </si>
  <si>
    <t>43196</t>
  </si>
  <si>
    <t>43197</t>
  </si>
  <si>
    <t>43198</t>
  </si>
  <si>
    <t>43199</t>
  </si>
  <si>
    <t>43200</t>
  </si>
  <si>
    <t>43203</t>
  </si>
  <si>
    <t>43205</t>
  </si>
  <si>
    <t>43217</t>
  </si>
  <si>
    <t>43218</t>
  </si>
  <si>
    <t>43219</t>
  </si>
  <si>
    <t>43222</t>
  </si>
  <si>
    <t>43226</t>
  </si>
  <si>
    <t>43231</t>
  </si>
  <si>
    <t>43234</t>
  </si>
  <si>
    <t>43237</t>
  </si>
  <si>
    <t>43255</t>
  </si>
  <si>
    <t>43258</t>
  </si>
  <si>
    <t>43260</t>
  </si>
  <si>
    <t>43261</t>
  </si>
  <si>
    <t>43266</t>
  </si>
  <si>
    <t>43267</t>
  </si>
  <si>
    <t>43273</t>
  </si>
  <si>
    <t>43276</t>
  </si>
  <si>
    <t>43278</t>
  </si>
  <si>
    <t>43282</t>
  </si>
  <si>
    <t>43286</t>
  </si>
  <si>
    <t>43291</t>
  </si>
  <si>
    <t>43292</t>
  </si>
  <si>
    <t>43293</t>
  </si>
  <si>
    <t>43323</t>
  </si>
  <si>
    <t>43324</t>
  </si>
  <si>
    <t>43325</t>
  </si>
  <si>
    <t>43347</t>
  </si>
  <si>
    <t>43351</t>
  </si>
  <si>
    <t>43352</t>
  </si>
  <si>
    <t>43367</t>
  </si>
  <si>
    <t>43369</t>
  </si>
  <si>
    <t>43427</t>
  </si>
  <si>
    <t>43428</t>
  </si>
  <si>
    <t>43487</t>
  </si>
  <si>
    <t>43488</t>
  </si>
  <si>
    <t>43489</t>
  </si>
  <si>
    <t>43490</t>
  </si>
  <si>
    <t>43546</t>
  </si>
  <si>
    <t>43548</t>
  </si>
  <si>
    <t>43551</t>
  </si>
  <si>
    <t>43606</t>
  </si>
  <si>
    <t>43667</t>
  </si>
  <si>
    <t>43672</t>
  </si>
  <si>
    <t>43674</t>
  </si>
  <si>
    <t>43675</t>
  </si>
  <si>
    <t>43676</t>
  </si>
  <si>
    <t>43678</t>
  </si>
  <si>
    <t>43681</t>
  </si>
  <si>
    <t>43683</t>
  </si>
  <si>
    <t>43684</t>
  </si>
  <si>
    <t>43726</t>
  </si>
  <si>
    <t>43750</t>
  </si>
  <si>
    <t>43786</t>
  </si>
  <si>
    <t>44029</t>
  </si>
  <si>
    <t>44050</t>
  </si>
  <si>
    <t>44051</t>
  </si>
  <si>
    <t>44052</t>
  </si>
  <si>
    <t>44053</t>
  </si>
  <si>
    <t>44054</t>
  </si>
  <si>
    <t>44088</t>
  </si>
  <si>
    <t>44089</t>
  </si>
  <si>
    <t>44092</t>
  </si>
  <si>
    <t>44108</t>
  </si>
  <si>
    <t>44127</t>
  </si>
  <si>
    <t>44166</t>
  </si>
  <si>
    <t>44192</t>
  </si>
  <si>
    <t>44206</t>
  </si>
  <si>
    <t>44227</t>
  </si>
  <si>
    <t>44228</t>
  </si>
  <si>
    <t>44306</t>
  </si>
  <si>
    <t>44307</t>
  </si>
  <si>
    <t>44308</t>
  </si>
  <si>
    <t>44310</t>
  </si>
  <si>
    <t>44314</t>
  </si>
  <si>
    <t>44315</t>
  </si>
  <si>
    <t>44316</t>
  </si>
  <si>
    <t>44317</t>
  </si>
  <si>
    <t>44327</t>
  </si>
  <si>
    <t>44329</t>
  </si>
  <si>
    <t>44346</t>
  </si>
  <si>
    <t>44363</t>
  </si>
  <si>
    <t>44388</t>
  </si>
  <si>
    <t>44407</t>
  </si>
  <si>
    <t>44471</t>
  </si>
  <si>
    <t>44529</t>
  </si>
  <si>
    <t>44530</t>
  </si>
  <si>
    <t>44630</t>
  </si>
  <si>
    <t>44749</t>
  </si>
  <si>
    <t>44771</t>
  </si>
  <si>
    <t>44826</t>
  </si>
  <si>
    <t>44827</t>
  </si>
  <si>
    <t>44832</t>
  </si>
  <si>
    <t>44833</t>
  </si>
  <si>
    <t>44836</t>
  </si>
  <si>
    <t>44973</t>
  </si>
  <si>
    <t>44974</t>
  </si>
  <si>
    <t>44975</t>
  </si>
  <si>
    <t>44976</t>
  </si>
  <si>
    <t>44977</t>
  </si>
  <si>
    <t>44979</t>
  </si>
  <si>
    <t>44980</t>
  </si>
  <si>
    <t>44981</t>
  </si>
  <si>
    <t>44982</t>
  </si>
  <si>
    <t>44983</t>
  </si>
  <si>
    <t>44984</t>
  </si>
  <si>
    <t>44985</t>
  </si>
  <si>
    <t>44987</t>
  </si>
  <si>
    <t>44990</t>
  </si>
  <si>
    <t>45003</t>
  </si>
  <si>
    <t>45026</t>
  </si>
  <si>
    <t>45027</t>
  </si>
  <si>
    <t>45031</t>
  </si>
  <si>
    <t>45033</t>
  </si>
  <si>
    <t>45043</t>
  </si>
  <si>
    <t>45046</t>
  </si>
  <si>
    <t>45053</t>
  </si>
  <si>
    <t>45066</t>
  </si>
  <si>
    <t>45067</t>
  </si>
  <si>
    <t>45182</t>
  </si>
  <si>
    <t>45268</t>
  </si>
  <si>
    <t>45306</t>
  </si>
  <si>
    <t>45350</t>
  </si>
  <si>
    <t>45412</t>
  </si>
  <si>
    <t>45472</t>
  </si>
  <si>
    <t>45514</t>
  </si>
  <si>
    <t>45550</t>
  </si>
  <si>
    <t>45576</t>
  </si>
  <si>
    <t>45578</t>
  </si>
  <si>
    <t>45583</t>
  </si>
  <si>
    <t>45610</t>
  </si>
  <si>
    <t>45612</t>
  </si>
  <si>
    <t>45651</t>
  </si>
  <si>
    <t>45652</t>
  </si>
  <si>
    <t>45690</t>
  </si>
  <si>
    <t>45730</t>
  </si>
  <si>
    <t>45734</t>
  </si>
  <si>
    <t>45735</t>
  </si>
  <si>
    <t>45736</t>
  </si>
  <si>
    <t>45737</t>
  </si>
  <si>
    <t>45739</t>
  </si>
  <si>
    <t>45792</t>
  </si>
  <si>
    <t>45793</t>
  </si>
  <si>
    <t>45794</t>
  </si>
  <si>
    <t>45795</t>
  </si>
  <si>
    <t>45796</t>
  </si>
  <si>
    <t>45797</t>
  </si>
  <si>
    <t>45799</t>
  </si>
  <si>
    <t>45819</t>
  </si>
  <si>
    <t>45820</t>
  </si>
  <si>
    <t>45831</t>
  </si>
  <si>
    <t>45870</t>
  </si>
  <si>
    <t>45877</t>
  </si>
  <si>
    <t>45878</t>
  </si>
  <si>
    <t>45880</t>
  </si>
  <si>
    <t>45882</t>
  </si>
  <si>
    <t>45911</t>
  </si>
  <si>
    <t>45953</t>
  </si>
  <si>
    <t>45959</t>
  </si>
  <si>
    <t>45996</t>
  </si>
  <si>
    <t>46010</t>
  </si>
  <si>
    <t>46030</t>
  </si>
  <si>
    <t>46031</t>
  </si>
  <si>
    <t>46081</t>
  </si>
  <si>
    <t>46085</t>
  </si>
  <si>
    <t>46132</t>
  </si>
  <si>
    <t>46196</t>
  </si>
  <si>
    <t>46211</t>
  </si>
  <si>
    <t>46212</t>
  </si>
  <si>
    <t>46213</t>
  </si>
  <si>
    <t>46214</t>
  </si>
  <si>
    <t>46251</t>
  </si>
  <si>
    <t>46292</t>
  </si>
  <si>
    <t>46304</t>
  </si>
  <si>
    <t>46331</t>
  </si>
  <si>
    <t>46332</t>
  </si>
  <si>
    <t>46333</t>
  </si>
  <si>
    <t>46335</t>
  </si>
  <si>
    <t>46337</t>
  </si>
  <si>
    <t>46339</t>
  </si>
  <si>
    <t>46340</t>
  </si>
  <si>
    <t>46353</t>
  </si>
  <si>
    <t>46354</t>
  </si>
  <si>
    <t>46356</t>
  </si>
  <si>
    <t>46360</t>
  </si>
  <si>
    <t>46362</t>
  </si>
  <si>
    <t>46366</t>
  </si>
  <si>
    <t>46397</t>
  </si>
  <si>
    <t>46398</t>
  </si>
  <si>
    <t>46416</t>
  </si>
  <si>
    <t>46454</t>
  </si>
  <si>
    <t>46456</t>
  </si>
  <si>
    <t>46457</t>
  </si>
  <si>
    <t>46458</t>
  </si>
  <si>
    <t>46459</t>
  </si>
  <si>
    <t>46513</t>
  </si>
  <si>
    <t>46576</t>
  </si>
  <si>
    <t>46579</t>
  </si>
  <si>
    <t>46581</t>
  </si>
  <si>
    <t>46582</t>
  </si>
  <si>
    <t>46583</t>
  </si>
  <si>
    <t>46586</t>
  </si>
  <si>
    <t>46587</t>
  </si>
  <si>
    <t>46591</t>
  </si>
  <si>
    <t>46593</t>
  </si>
  <si>
    <t>46615</t>
  </si>
  <si>
    <t>46618</t>
  </si>
  <si>
    <t>46619</t>
  </si>
  <si>
    <t>46620</t>
  </si>
  <si>
    <t>46621</t>
  </si>
  <si>
    <t>46623</t>
  </si>
  <si>
    <t>46651</t>
  </si>
  <si>
    <t>46736</t>
  </si>
  <si>
    <t>46737</t>
  </si>
  <si>
    <t>46738</t>
  </si>
  <si>
    <t>46757</t>
  </si>
  <si>
    <t>46759</t>
  </si>
  <si>
    <t>46771</t>
  </si>
  <si>
    <t>46811</t>
  </si>
  <si>
    <t>46832</t>
  </si>
  <si>
    <t>46872</t>
  </si>
  <si>
    <t>46932</t>
  </si>
  <si>
    <t>46933</t>
  </si>
  <si>
    <t>46971</t>
  </si>
  <si>
    <t>46991</t>
  </si>
  <si>
    <t>47032</t>
  </si>
  <si>
    <t>47054</t>
  </si>
  <si>
    <t>47055</t>
  </si>
  <si>
    <t>47071</t>
  </si>
  <si>
    <t>47121</t>
  </si>
  <si>
    <t>47122</t>
  </si>
  <si>
    <t>47124</t>
  </si>
  <si>
    <t>47131</t>
  </si>
  <si>
    <t>47152</t>
  </si>
  <si>
    <t>47159</t>
  </si>
  <si>
    <t>47191</t>
  </si>
  <si>
    <t>47212</t>
  </si>
  <si>
    <t>47214</t>
  </si>
  <si>
    <t>47215</t>
  </si>
  <si>
    <t>47216</t>
  </si>
  <si>
    <t>47217</t>
  </si>
  <si>
    <t>47218</t>
  </si>
  <si>
    <t>47219</t>
  </si>
  <si>
    <t>47220</t>
  </si>
  <si>
    <t>47221</t>
  </si>
  <si>
    <t>47222</t>
  </si>
  <si>
    <t>47223</t>
  </si>
  <si>
    <t>47224</t>
  </si>
  <si>
    <t>47225</t>
  </si>
  <si>
    <t>47226</t>
  </si>
  <si>
    <t>47251</t>
  </si>
  <si>
    <t>47275</t>
  </si>
  <si>
    <t>47292</t>
  </si>
  <si>
    <t>47293</t>
  </si>
  <si>
    <t>47294</t>
  </si>
  <si>
    <t>47312</t>
  </si>
  <si>
    <t>47399</t>
  </si>
  <si>
    <t>47403</t>
  </si>
  <si>
    <t>47431</t>
  </si>
  <si>
    <t>47471</t>
  </si>
  <si>
    <t>47494</t>
  </si>
  <si>
    <t>47616</t>
  </si>
  <si>
    <t>47631</t>
  </si>
  <si>
    <t>47679</t>
  </si>
  <si>
    <t>47693</t>
  </si>
  <si>
    <t>47721</t>
  </si>
  <si>
    <t>47732</t>
  </si>
  <si>
    <t>47734</t>
  </si>
  <si>
    <t>47752</t>
  </si>
  <si>
    <t>47753</t>
  </si>
  <si>
    <t>47754</t>
  </si>
  <si>
    <t>47756</t>
  </si>
  <si>
    <t>47760</t>
  </si>
  <si>
    <t>47765</t>
  </si>
  <si>
    <t>47766</t>
  </si>
  <si>
    <t>47769</t>
  </si>
  <si>
    <t>47773</t>
  </si>
  <si>
    <t>47774</t>
  </si>
  <si>
    <t>47776</t>
  </si>
  <si>
    <t>47777</t>
  </si>
  <si>
    <t>47778</t>
  </si>
  <si>
    <t>47784</t>
  </si>
  <si>
    <t>47786</t>
  </si>
  <si>
    <t>47787</t>
  </si>
  <si>
    <t>47791</t>
  </si>
  <si>
    <t>47811</t>
  </si>
  <si>
    <t>47813</t>
  </si>
  <si>
    <t>47816</t>
  </si>
  <si>
    <t>47840</t>
  </si>
  <si>
    <t>47912</t>
  </si>
  <si>
    <t>47914</t>
  </si>
  <si>
    <t>47915</t>
  </si>
  <si>
    <t>47935</t>
  </si>
  <si>
    <t>47949</t>
  </si>
  <si>
    <t>47950</t>
  </si>
  <si>
    <t>47952</t>
  </si>
  <si>
    <t>47954</t>
  </si>
  <si>
    <t>47956</t>
  </si>
  <si>
    <t>47958</t>
  </si>
  <si>
    <t>48022</t>
  </si>
  <si>
    <t>48026</t>
  </si>
  <si>
    <t>48057</t>
  </si>
  <si>
    <t>48059</t>
  </si>
  <si>
    <t>48061</t>
  </si>
  <si>
    <t>48062</t>
  </si>
  <si>
    <t>48063</t>
  </si>
  <si>
    <t>48066</t>
  </si>
  <si>
    <t>48067</t>
  </si>
  <si>
    <t>48069</t>
  </si>
  <si>
    <t>48071</t>
  </si>
  <si>
    <t>48092</t>
  </si>
  <si>
    <t>48093</t>
  </si>
  <si>
    <t>48111</t>
  </si>
  <si>
    <t>48112</t>
  </si>
  <si>
    <t>48113</t>
  </si>
  <si>
    <t>48114</t>
  </si>
  <si>
    <t>48116</t>
  </si>
  <si>
    <t>48151</t>
  </si>
  <si>
    <t>48152</t>
  </si>
  <si>
    <t>48156</t>
  </si>
  <si>
    <t>48194</t>
  </si>
  <si>
    <t>48195</t>
  </si>
  <si>
    <t>48412</t>
  </si>
  <si>
    <t>48416</t>
  </si>
  <si>
    <t>48431</t>
  </si>
  <si>
    <t>48432</t>
  </si>
  <si>
    <t>48434</t>
  </si>
  <si>
    <t>48436</t>
  </si>
  <si>
    <t>48437</t>
  </si>
  <si>
    <t>48439</t>
  </si>
  <si>
    <t>48440</t>
  </si>
  <si>
    <t>48441</t>
  </si>
  <si>
    <t>48493</t>
  </si>
  <si>
    <t>48575</t>
  </si>
  <si>
    <t>48591</t>
  </si>
  <si>
    <t>48593</t>
  </si>
  <si>
    <t>48595</t>
  </si>
  <si>
    <t>48597</t>
  </si>
  <si>
    <t>48598</t>
  </si>
  <si>
    <t>48599</t>
  </si>
  <si>
    <t>48602</t>
  </si>
  <si>
    <t>48604</t>
  </si>
  <si>
    <t>48610</t>
  </si>
  <si>
    <t>48636</t>
  </si>
  <si>
    <t>48637</t>
  </si>
  <si>
    <t>48652</t>
  </si>
  <si>
    <t>48671</t>
  </si>
  <si>
    <t>48672</t>
  </si>
  <si>
    <t>48673</t>
  </si>
  <si>
    <t>48711</t>
  </si>
  <si>
    <t>48731</t>
  </si>
  <si>
    <t>48752</t>
  </si>
  <si>
    <t>48832</t>
  </si>
  <si>
    <t>48912</t>
  </si>
  <si>
    <t>48972</t>
  </si>
  <si>
    <t>48974</t>
  </si>
  <si>
    <t>48975</t>
  </si>
  <si>
    <t>48976</t>
  </si>
  <si>
    <t>49034</t>
  </si>
  <si>
    <t>49041</t>
  </si>
  <si>
    <t>49052</t>
  </si>
  <si>
    <t>49056</t>
  </si>
  <si>
    <t>49113</t>
  </si>
  <si>
    <t>49133</t>
  </si>
  <si>
    <t>49173</t>
  </si>
  <si>
    <t>49191</t>
  </si>
  <si>
    <t>49216</t>
  </si>
  <si>
    <t>49218</t>
  </si>
  <si>
    <t>49220</t>
  </si>
  <si>
    <t>49223</t>
  </si>
  <si>
    <t>49253</t>
  </si>
  <si>
    <t>49271</t>
  </si>
  <si>
    <t>49276</t>
  </si>
  <si>
    <t>49311</t>
  </si>
  <si>
    <t>49371</t>
  </si>
  <si>
    <t>49373</t>
  </si>
  <si>
    <t>49374</t>
  </si>
  <si>
    <t>49375</t>
  </si>
  <si>
    <t>49376</t>
  </si>
  <si>
    <t>49378</t>
  </si>
  <si>
    <t>49379</t>
  </si>
  <si>
    <t>49380</t>
  </si>
  <si>
    <t>49381</t>
  </si>
  <si>
    <t>49498</t>
  </si>
  <si>
    <t>49503</t>
  </si>
  <si>
    <t>49505</t>
  </si>
  <si>
    <t>49508</t>
  </si>
  <si>
    <t>49531</t>
  </si>
  <si>
    <t>49591</t>
  </si>
  <si>
    <t>49604</t>
  </si>
  <si>
    <t>49611</t>
  </si>
  <si>
    <t>49774</t>
  </si>
  <si>
    <t>49775</t>
  </si>
  <si>
    <t>49776</t>
  </si>
  <si>
    <t>49778</t>
  </si>
  <si>
    <t>49782</t>
  </si>
  <si>
    <t>49789</t>
  </si>
  <si>
    <t>49790</t>
  </si>
  <si>
    <t>49791</t>
  </si>
  <si>
    <t>49792</t>
  </si>
  <si>
    <t>49793</t>
  </si>
  <si>
    <t>49795</t>
  </si>
  <si>
    <t>49798</t>
  </si>
  <si>
    <t>49799</t>
  </si>
  <si>
    <t>49806</t>
  </si>
  <si>
    <t>49813</t>
  </si>
  <si>
    <t>49814</t>
  </si>
  <si>
    <t>49815</t>
  </si>
  <si>
    <t>49818</t>
  </si>
  <si>
    <t>49821</t>
  </si>
  <si>
    <t>49833</t>
  </si>
  <si>
    <t>49836</t>
  </si>
  <si>
    <t>49838</t>
  </si>
  <si>
    <t>49862</t>
  </si>
  <si>
    <t>49863</t>
  </si>
  <si>
    <t>49866</t>
  </si>
  <si>
    <t>49867</t>
  </si>
  <si>
    <t>49868</t>
  </si>
  <si>
    <t>49878</t>
  </si>
  <si>
    <t>49879</t>
  </si>
  <si>
    <t>49891</t>
  </si>
  <si>
    <t>49899</t>
  </si>
  <si>
    <t>49918</t>
  </si>
  <si>
    <t>49919</t>
  </si>
  <si>
    <t>49922</t>
  </si>
  <si>
    <t>49928</t>
  </si>
  <si>
    <t>49929</t>
  </si>
  <si>
    <t>49948</t>
  </si>
  <si>
    <t>49956</t>
  </si>
  <si>
    <t>49992</t>
  </si>
  <si>
    <t>50031</t>
  </si>
  <si>
    <t>50032</t>
  </si>
  <si>
    <t>50073</t>
  </si>
  <si>
    <t>50117</t>
  </si>
  <si>
    <t>50316</t>
  </si>
  <si>
    <t>50341</t>
  </si>
  <si>
    <t>50575</t>
  </si>
  <si>
    <t>50576</t>
  </si>
  <si>
    <t>50578</t>
  </si>
  <si>
    <t>50581</t>
  </si>
  <si>
    <t>50611</t>
  </si>
  <si>
    <t>50612</t>
  </si>
  <si>
    <t>50653</t>
  </si>
  <si>
    <t>50655</t>
  </si>
  <si>
    <t>50671</t>
  </si>
  <si>
    <t>50672</t>
  </si>
  <si>
    <t>50673</t>
  </si>
  <si>
    <t>50692</t>
  </si>
  <si>
    <t>50693</t>
  </si>
  <si>
    <t>50711</t>
  </si>
  <si>
    <t>50714</t>
  </si>
  <si>
    <t>50715</t>
  </si>
  <si>
    <t>50719</t>
  </si>
  <si>
    <t>50720</t>
  </si>
  <si>
    <t>50722</t>
  </si>
  <si>
    <t>50733</t>
  </si>
  <si>
    <t>50735</t>
  </si>
  <si>
    <t>50737</t>
  </si>
  <si>
    <t>50772</t>
  </si>
  <si>
    <t>50796</t>
  </si>
  <si>
    <t>50798</t>
  </si>
  <si>
    <t>50800</t>
  </si>
  <si>
    <t>50812</t>
  </si>
  <si>
    <t>50932</t>
  </si>
  <si>
    <t>50935</t>
  </si>
  <si>
    <t>50936</t>
  </si>
  <si>
    <t>51014</t>
  </si>
  <si>
    <t>51017</t>
  </si>
  <si>
    <t>51071</t>
  </si>
  <si>
    <t>51092</t>
  </si>
  <si>
    <t>51096</t>
  </si>
  <si>
    <t>51111</t>
  </si>
  <si>
    <t>51112</t>
  </si>
  <si>
    <t>51117</t>
  </si>
  <si>
    <t>51118</t>
  </si>
  <si>
    <t>51119</t>
  </si>
  <si>
    <t>51211</t>
  </si>
  <si>
    <t>51231</t>
  </si>
  <si>
    <t>51232</t>
  </si>
  <si>
    <t>51291</t>
  </si>
  <si>
    <t>51318</t>
  </si>
  <si>
    <t>51402</t>
  </si>
  <si>
    <t>51404</t>
  </si>
  <si>
    <t>51412</t>
  </si>
  <si>
    <t>51414</t>
  </si>
  <si>
    <t>51451</t>
  </si>
  <si>
    <t>51477</t>
  </si>
  <si>
    <t>51482</t>
  </si>
  <si>
    <t>51491</t>
  </si>
  <si>
    <t>51492</t>
  </si>
  <si>
    <t>51493</t>
  </si>
  <si>
    <t>51498</t>
  </si>
  <si>
    <t>51501</t>
  </si>
  <si>
    <t>51513</t>
  </si>
  <si>
    <t>51518</t>
  </si>
  <si>
    <t>51519</t>
  </si>
  <si>
    <t>51521</t>
  </si>
  <si>
    <t>51522</t>
  </si>
  <si>
    <t>51529</t>
  </si>
  <si>
    <t>51531</t>
  </si>
  <si>
    <t>51532</t>
  </si>
  <si>
    <t>51535</t>
  </si>
  <si>
    <t>51551</t>
  </si>
  <si>
    <t>51696</t>
  </si>
  <si>
    <t>51697</t>
  </si>
  <si>
    <t>51742</t>
  </si>
  <si>
    <t>51785</t>
  </si>
  <si>
    <t>51897</t>
  </si>
  <si>
    <t>51901</t>
  </si>
  <si>
    <t>51916</t>
  </si>
  <si>
    <t>51917</t>
  </si>
  <si>
    <t>51932</t>
  </si>
  <si>
    <t>51935</t>
  </si>
  <si>
    <t>51970</t>
  </si>
  <si>
    <t>51974</t>
  </si>
  <si>
    <t>52012</t>
  </si>
  <si>
    <t>52014</t>
  </si>
  <si>
    <t>D002-811</t>
  </si>
  <si>
    <t>D003-623</t>
  </si>
  <si>
    <t>D004-629</t>
  </si>
  <si>
    <t>D004-743</t>
  </si>
  <si>
    <t>D004-811</t>
  </si>
  <si>
    <t>D005-628</t>
  </si>
  <si>
    <t>D005-629</t>
  </si>
  <si>
    <t>D005-713</t>
  </si>
  <si>
    <t>D008-628</t>
  </si>
  <si>
    <t>CI# 46232 - P-128.15 - HYD White Rock Pipeline Replacement - $685,805. Ace Amount $538,454. $26,215 dollars spent to date</t>
  </si>
  <si>
    <t>CI# 46507 - P-128.15 - LM6000 - Fuel Nozzle Rotable Kit - $293,315. ACE Amount $295,772. Zero dollars spent to date.</t>
  </si>
  <si>
    <t>CI# 46411 - P-128.15 - NSPI WO Hydro Asset Management Implementation - $590,884. ACE Amount $376,637. $107,947 dollars spent to date</t>
  </si>
  <si>
    <t>CI# 41432 - P-128.14 - NSPI WO - ATO - L7009 Lidar Upgrades &amp; Maintenance - $3,929,423. ATO Amount $986,614. $3,746,269 spent to date</t>
  </si>
  <si>
    <t>CI# 44294 - P-514 - NSPI WO - ATO- HYD - U&amp;U Mill Lake Unit #2 Refurbishment - $902,930. ATO amount $386,100. $902,930 dollars spent to date.</t>
  </si>
  <si>
    <t>CI# 44975 - P-128.14 - NSPI WO - ATO- Sacrificial Anode Installation Program Phase 1 - $815,277. ATO Amount $525,230. $744,167 dollars spent to date.</t>
  </si>
  <si>
    <t>P-515 - CI# 46432 - Nova Scotia Power Inc. (NSPI) WO - LIN U&amp;U Coal System Refurbishment</t>
  </si>
  <si>
    <t>P-515 - CI# 47476 - Nova Scotia Power Inc. (NSPI) WO - HYD Wreck Cove Tailrace Rockfall U&amp;U</t>
  </si>
  <si>
    <t>P-515 - CI# 47494 - Nova Scotia Power Inc. (NSPI) WO - 16W-302 Lake George Neutral Replacement P&amp;A</t>
  </si>
  <si>
    <t>CI# 43128 - Nova Scotia Power Inc. (NSPI) WO - Scope Change Capital Item - HYD GIS Gearbox and Bearing Replacement</t>
  </si>
  <si>
    <t>P-128.15 - CI# 46552 - Nova Scotia Power Inc. (NSPI) WO - 2015 ACE Plan Capital Item for Subsequent Approval - Backbone Communication System Upgrade</t>
  </si>
  <si>
    <t>P-128.15 - CI# 46739 - Nova Scotia Power Inc. (NSPI) WO - 2015 ACE Plan Capital Item for Subsequent Approval - IT - Outage Map Technology Upgrade</t>
  </si>
  <si>
    <t>P-128.16 - CI# 41425 - Nova Scotia Power Inc. (NSPI) WO - 2016 ACE Plan Capital Item for Subsequent Approval - Cognos Upgrade</t>
  </si>
  <si>
    <t>P-515 - CI# 43088 - NSPI WO - ATO - LIN3 Generator Rotor Rewind</t>
  </si>
  <si>
    <t>CI# 47158 - P-516 - Nova Scotia Power Inc. (NSPI) -  TRE5 HEP Piping U&amp;U - $1319,254; $313,818 spent as at February 29, 2016. This project is complete; final invoicing is ongoing.</t>
  </si>
  <si>
    <t>CI# 48471 - P-516 - Nova Scotia Power Inc. (NSPI) - TUC3 HEP Piping U&amp;U - $313,287; $280,064 spent as at February 29, 2016. This project is complete; final invoicing is ongoing.</t>
  </si>
  <si>
    <t>P-128.17 - Nova Scotia Power Inc. (NSPI)  -CI# 48914 - HYD Malay Falls Facility Repairs - $1,034,045 - 3rd Quarter 2017</t>
  </si>
  <si>
    <t>P-128.17 - Nova Scotia Power Inc. (NSPI)  - CI# 50113 - Customer Experience - Streetlight Improvements - $875,836 - 3rd Quarter 2017</t>
  </si>
  <si>
    <t>P-128.17 - Nova Scotia Power Inc. (NSPI)  - CI# 50292 - Kempt Road and Dartmouth East Depot Truck Bays - $1,095,720 - 3rd Quarter 2017</t>
  </si>
  <si>
    <t>P-128.17 - Nova Scotia Power Inc. (NSPI)  - CI# 49857 - IT Storage Infrastructure - $1,901,189 (Outside Quarter Package)</t>
  </si>
  <si>
    <t>P-128.17 - Nova Scotia Power Inc. (NSPI)  - CI# 49953 - IT CIS High Availability  - $519,023(Outside Quarter Package)</t>
  </si>
  <si>
    <t>P-128.17 - Nova Scotia Power Inc. (NSPI)  - CI# 50020 - LIN CEMS Replacement - $633,355 (Outside Quarter Package)</t>
  </si>
  <si>
    <t>P-517 - Nova Scotia Power Inc. (NSPI)  - (P&amp;A) CI# 51485 - IT Threat Management- $813,449 (Outside Quarter Package)</t>
  </si>
  <si>
    <t>P-128.17 - Nova Scotia Power Inc. (NSPI)  - (U&amp;U) CI# 51484 - IT SCADA Network FIrewall - $365,737 (Outside Quarter Package)</t>
  </si>
  <si>
    <t># Feeders - 2020</t>
  </si>
  <si>
    <t>Incorrect value not counted: Likely cold load pick-up</t>
  </si>
  <si>
    <t>Figure 2: Coincident Peak Demand with Future DSM Program Effects (2020 Outlook Report)</t>
  </si>
  <si>
    <t>Equivilant growth rate taken from 2011-2020 Projects Tab</t>
  </si>
  <si>
    <t>Constrained growth = Constrained MVA x Growth Rate</t>
  </si>
  <si>
    <t>Growth (MW, PF=.97)</t>
  </si>
  <si>
    <t xml:space="preserve">  Projected Growth = 10 Year Linear Approximation of system wide growth in MW / 10</t>
  </si>
  <si>
    <t xml:space="preserve">  Projected Growth = Growth rate x  Constrained System MVA x PF  (Snapshot Summary Tab)</t>
  </si>
  <si>
    <t>Average Yearly Cost (2020 $)</t>
  </si>
  <si>
    <t>CI# 39783 - P-128.12 - NSPI WO - TUC - U&amp;U Security System Upgrade</t>
  </si>
  <si>
    <t>P-518 - Nova Scotia Power Inc. (NSPI)  - CI# 48893 - TUC3 IP Turbine Refurbishment (ATO) - $5,357,210 (Outside Quarter)</t>
  </si>
  <si>
    <t>P-518 - Nova Scotia Power Inc. (NSPI)  - CI# 49707 - TUC2 Generator Bushing Replacement ATO - 956,939 (Outside Quarter)</t>
  </si>
  <si>
    <t>P-518 - Nova Scotia Power Inc. (NSPI)  - (U&amp;U) CI# 46506 - TUC Noise Monitoring System - $319,894 (Outside Quarter)</t>
  </si>
  <si>
    <t>P-518 - Nova Scotia Power Inc. (NSPI)  - (P&amp;A) CI# C0005181 - LIN1 Bottom Ash Refurbishment - $374,953 (Outside Quarter)</t>
  </si>
  <si>
    <t>P-518 - Nova Scotia Power Inc. (NSPI)  - (P&amp;A) CI# C0006238 - TRE5 Baghouse Filter Replacement U&amp;U - $313,508 (Outside Quarter)</t>
  </si>
  <si>
    <t xml:space="preserve"> C0006238</t>
  </si>
  <si>
    <t> C0005181</t>
  </si>
  <si>
    <t>C0001660</t>
  </si>
  <si>
    <t>C0002020</t>
  </si>
  <si>
    <t>C0002103</t>
  </si>
  <si>
    <t>C0002130</t>
  </si>
  <si>
    <t>C0002137</t>
  </si>
  <si>
    <t>C0002241</t>
  </si>
  <si>
    <t>C0003238</t>
  </si>
  <si>
    <t>C0003739</t>
  </si>
  <si>
    <t>C0006618</t>
  </si>
  <si>
    <t>C0007500</t>
  </si>
  <si>
    <t>C0007718</t>
  </si>
  <si>
    <t>C0008005</t>
  </si>
  <si>
    <t>C0009103</t>
  </si>
  <si>
    <t>C0009166</t>
  </si>
  <si>
    <t>C0009621</t>
  </si>
  <si>
    <t>C0010019</t>
  </si>
  <si>
    <t>C0010838</t>
  </si>
  <si>
    <t>C0011000</t>
  </si>
  <si>
    <t>C0011059</t>
  </si>
  <si>
    <t>C0011181</t>
  </si>
  <si>
    <t>C0011378</t>
  </si>
  <si>
    <t>C0011380</t>
  </si>
  <si>
    <t>C0011679</t>
  </si>
  <si>
    <t>C0011738</t>
  </si>
  <si>
    <t>C0011858</t>
  </si>
  <si>
    <t>C0012538</t>
  </si>
  <si>
    <t>C0012718</t>
  </si>
  <si>
    <t>C0013438</t>
  </si>
  <si>
    <t>C0013578</t>
  </si>
  <si>
    <t>C0013718</t>
  </si>
  <si>
    <t>C0013738</t>
  </si>
  <si>
    <t>C0013838</t>
  </si>
  <si>
    <t>C0014780</t>
  </si>
  <si>
    <t>C0017084</t>
  </si>
  <si>
    <t>C0017920</t>
  </si>
  <si>
    <t>C0018485</t>
  </si>
  <si>
    <t>C0018880</t>
  </si>
  <si>
    <t>C0020338</t>
  </si>
  <si>
    <t>C0020385</t>
  </si>
  <si>
    <t>C0021006</t>
  </si>
  <si>
    <t>C0021202</t>
  </si>
  <si>
    <t>C0021805</t>
  </si>
  <si>
    <t>C0023622</t>
  </si>
  <si>
    <t>C0023623</t>
  </si>
  <si>
    <t xml:space="preserve">General </t>
  </si>
  <si>
    <t xml:space="preserve">Various </t>
  </si>
  <si>
    <t>47947</t>
  </si>
  <si>
    <t>1.6km of 1/0 upgraded to 336ACSR</t>
  </si>
  <si>
    <t>replacement of bushings boots/inserts</t>
  </si>
  <si>
    <t>deteriorated plant</t>
  </si>
  <si>
    <t>Poles only - no conductor</t>
  </si>
  <si>
    <t>Relocating poles</t>
  </si>
  <si>
    <t>Replacement of sectionalizers</t>
  </si>
  <si>
    <t>Like for Like replacements at end of life</t>
  </si>
  <si>
    <t>Asset replacement, poles/framing/guys/ins.</t>
  </si>
  <si>
    <t>50m Neutral, guys, insulators, cutouts, etc</t>
  </si>
  <si>
    <t>pole hardware, guys</t>
  </si>
  <si>
    <t>Install animal guards</t>
  </si>
  <si>
    <t>550m of #6Cu replaced with #2ACSR</t>
  </si>
  <si>
    <t>Deteriorated plant - crossing removed</t>
  </si>
  <si>
    <t>Poles relocated due to HRM work</t>
  </si>
  <si>
    <t>pole hardware, guys, wire sleeves, damaged conductor</t>
  </si>
  <si>
    <t>New Recloser</t>
  </si>
  <si>
    <t>Land remediation</t>
  </si>
  <si>
    <t>Pole replacement</t>
  </si>
  <si>
    <t>Pole replacements</t>
  </si>
  <si>
    <t>River crossing rebuild</t>
  </si>
  <si>
    <t>New reclosers and trip-savers</t>
  </si>
  <si>
    <t>Install 25 trip-saver II units</t>
  </si>
  <si>
    <t>Replace 700 insulators</t>
  </si>
  <si>
    <t>Remove 58 offroad poles</t>
  </si>
  <si>
    <t>Customer funded</t>
  </si>
  <si>
    <t>Deteriorated plant</t>
  </si>
  <si>
    <t>Install new recloser</t>
  </si>
  <si>
    <t>Install 4 trip-savers</t>
  </si>
  <si>
    <t>Deteriorated poles, cutouts, transformers</t>
  </si>
  <si>
    <t>Extend 2 phases, add Vregulator</t>
  </si>
  <si>
    <t>removal of 1.7km of line</t>
  </si>
  <si>
    <t>Replacement of failed feeder exit</t>
  </si>
  <si>
    <t>New Feeder at 139H</t>
  </si>
  <si>
    <t>Relocate assets - no upgrades</t>
  </si>
  <si>
    <t>4 New Feeders at 2H</t>
  </si>
  <si>
    <t>Reconductor 2.3km lijne</t>
  </si>
  <si>
    <t>replace 1.9km 1/0 with 336, replace 42 poles</t>
  </si>
  <si>
    <t>Replace 1km conductor with 336ACSR</t>
  </si>
  <si>
    <t>Replace 5.1km #2 with #2/0ACSR</t>
  </si>
  <si>
    <t>Deteriorated Plant - replacements</t>
  </si>
  <si>
    <t>5.5km primary upgraded to 2/0ACSR</t>
  </si>
  <si>
    <t>Load Balancing upgrades</t>
  </si>
  <si>
    <t>Load growth related</t>
  </si>
  <si>
    <t>3.2km upgrade from #4 to 2/0ACSR</t>
  </si>
  <si>
    <t>New recloser - reliability</t>
  </si>
  <si>
    <t>Line reconfiguration needed for bridge replacement</t>
  </si>
  <si>
    <t>1km new line and line removals due to Dyke Re-alignment</t>
  </si>
  <si>
    <t>Rebuild 2km with upgrade to 2/0ACSR</t>
  </si>
  <si>
    <t>Reconfiguration required due to load growth</t>
  </si>
  <si>
    <t>relocating line to roadside with conductor upgrade</t>
  </si>
  <si>
    <t>NSTIR request to relocate utility crossing</t>
  </si>
  <si>
    <t>Deteriorated plant - no conductor upgrade</t>
  </si>
  <si>
    <t>Conversion of 4kV at end of life</t>
  </si>
  <si>
    <t>Failed unit</t>
  </si>
  <si>
    <t>Deteriorated Plant - no capacity increase</t>
  </si>
  <si>
    <t>Replaced with reclosers</t>
  </si>
  <si>
    <t>Existing cap banks</t>
  </si>
  <si>
    <t>y=21.936x+1944.4</t>
  </si>
  <si>
    <t xml:space="preserve">Total Growth for Transmission System including losses </t>
  </si>
  <si>
    <t>265 (141)</t>
  </si>
  <si>
    <t>y=16.3x+1989.5</t>
  </si>
  <si>
    <t>y=22.627x+1822.3</t>
  </si>
  <si>
    <t>Assumptions</t>
  </si>
  <si>
    <t>Inputs</t>
  </si>
  <si>
    <t>Total WACC - Interest / Carrying Cost</t>
  </si>
  <si>
    <t>Estimated O&amp;M Rate</t>
  </si>
  <si>
    <t>Inflation Rate</t>
  </si>
  <si>
    <t>LARGE IND. INTERRUPTIBLE  RIDER  LOAD</t>
  </si>
  <si>
    <t>15-Minute</t>
  </si>
  <si>
    <t>Contributor</t>
  </si>
  <si>
    <t>Peak kW</t>
  </si>
  <si>
    <t>GR &amp; L F  LOAD</t>
  </si>
  <si>
    <t>Load Retention</t>
  </si>
  <si>
    <t>Supply</t>
  </si>
  <si>
    <t>25kV</t>
  </si>
  <si>
    <t>12.5kV</t>
  </si>
  <si>
    <t xml:space="preserve">The data for this table was obtained from the Large Industrial &amp; Commercial Customer Load Report (Jan/21) </t>
  </si>
  <si>
    <r>
      <t xml:space="preserve">Table values show Individual customer peak loads. Figure 2 of the 10 Year System Outlook Reports includes only the annual Interruptible Customer </t>
    </r>
    <r>
      <rPr>
        <b/>
        <sz val="12"/>
        <rFont val="Calibri"/>
        <family val="2"/>
        <scheme val="minor"/>
      </rPr>
      <t>co-incident</t>
    </r>
    <r>
      <rPr>
        <sz val="12"/>
        <rFont val="Calibri"/>
        <family val="2"/>
        <scheme val="minor"/>
      </rPr>
      <t xml:space="preserve"> contribution to peak</t>
    </r>
    <r>
      <rPr>
        <sz val="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</si>
</sst>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409]mmmm\-yy;@"/>
    <numFmt numFmtId="165" formatCode="0.0"/>
    <numFmt numFmtId="166" formatCode="_(* #,##0_);_(* \(#,##0\);_(* &quot;-&quot;??_);_(@_)"/>
    <numFmt numFmtId="167" formatCode="0.0%"/>
    <numFmt numFmtId="168" formatCode="0.000"/>
    <numFmt numFmtId="169" formatCode="_(&quot;$&quot;* #,##0_);_(&quot;$&quot;* \(#,##0\);_(&quot;$&quot;* &quot;-&quot;??_);_(@_)"/>
    <numFmt numFmtId="170" formatCode="0.0000"/>
    <numFmt numFmtId="171" formatCode="0.000%"/>
    <numFmt numFmtId="172" formatCode="_-* #,##0.00_-;\-* #,##0.00_-;_-* &quot;-&quot;??_-;_-@_-"/>
    <numFmt numFmtId="173" formatCode="0.00000"/>
  </numFmts>
  <fonts count="47"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sz val="10"/>
      <name val="Arial"/>
      <family val="2"/>
    </font>
    <font>
      <sz val="11"/>
      <name val="Arial"/>
      <family val="2"/>
    </font>
    <font>
      <b/>
      <sz val="11"/>
      <color rgb="FF0070C0"/>
      <name val="Calibri"/>
      <family val="2"/>
      <scheme val="minor"/>
    </font>
    <font>
      <b/>
      <sz val="10"/>
      <name val="Arial"/>
      <family val="2"/>
    </font>
    <font>
      <sz val="12"/>
      <name val="Arial"/>
      <family val="2"/>
    </font>
    <font>
      <b/>
      <sz val="14"/>
      <name val="Arial"/>
      <family val="2"/>
    </font>
    <font>
      <b/>
      <sz val="12"/>
      <name val="Arial"/>
      <family val="2"/>
    </font>
    <font>
      <b/>
      <sz val="8"/>
      <name val="Arial"/>
      <family val="2"/>
    </font>
    <font>
      <b/>
      <vertAlign val="superscript"/>
      <sz val="8"/>
      <name val="Arial"/>
      <family val="2"/>
    </font>
    <font>
      <sz val="8"/>
      <name val="Arial"/>
      <family val="2"/>
    </font>
    <font>
      <sz val="9"/>
      <name val="Arial"/>
      <family val="2"/>
    </font>
    <font>
      <vertAlign val="superscript"/>
      <sz val="8"/>
      <name val="Arial"/>
      <family val="2"/>
    </font>
    <font>
      <b/>
      <sz val="9"/>
      <color indexed="81"/>
      <name val="Tahoma"/>
      <family val="2"/>
    </font>
    <font>
      <sz val="9"/>
      <color indexed="81"/>
      <name val="Tahoma"/>
      <family val="2"/>
    </font>
    <font>
      <b/>
      <sz val="9"/>
      <name val="Arial"/>
      <family val="2"/>
    </font>
    <font>
      <vertAlign val="superscript"/>
      <sz val="9"/>
      <name val="Arial"/>
      <family val="2"/>
    </font>
    <font>
      <sz val="9"/>
      <color theme="1"/>
      <name val="Calibri"/>
      <family val="2"/>
      <scheme val="minor"/>
    </font>
    <font>
      <b/>
      <sz val="11"/>
      <color theme="1"/>
      <name val="Calibri"/>
      <family val="2"/>
    </font>
    <font>
      <b/>
      <sz val="9"/>
      <color rgb="FF000000"/>
      <name val="Tahoma"/>
      <family val="2"/>
    </font>
    <font>
      <sz val="9"/>
      <color rgb="FF000000"/>
      <name val="Tahoma"/>
      <family val="2"/>
    </font>
    <font>
      <sz val="11"/>
      <color rgb="FFFF0000"/>
      <name val="Calibri"/>
      <family val="2"/>
      <scheme val="minor"/>
    </font>
    <font>
      <b/>
      <sz val="12"/>
      <color rgb="FF3C6F89"/>
      <name val="Calibri"/>
      <family val="2"/>
      <scheme val="minor"/>
    </font>
    <font>
      <b/>
      <sz val="12"/>
      <color rgb="FF3C6F89"/>
      <name val="Arial"/>
      <family val="2"/>
    </font>
    <font>
      <b/>
      <sz val="12"/>
      <color rgb="FF3C6F89"/>
      <name val="Meiryo"/>
      <family val="2"/>
      <charset val="128"/>
    </font>
    <font>
      <b/>
      <sz val="12"/>
      <color rgb="FF3C6F89"/>
      <name val="Corbel"/>
      <family val="2"/>
    </font>
    <font>
      <b/>
      <i/>
      <sz val="12"/>
      <color rgb="FF3C6F89"/>
      <name val="Calibri"/>
      <family val="2"/>
      <scheme val="minor"/>
    </font>
    <font>
      <b/>
      <sz val="11"/>
      <color rgb="FF3C6F89"/>
      <name val="Arial"/>
      <family val="2"/>
    </font>
    <font>
      <b/>
      <sz val="11"/>
      <color rgb="FF3C6F89"/>
      <name val="Helvetica"/>
      <family val="2"/>
    </font>
    <font>
      <b/>
      <sz val="12"/>
      <color rgb="FF3C6F89"/>
      <name val="Helvetica"/>
      <family val="2"/>
    </font>
    <font>
      <b/>
      <sz val="14"/>
      <color rgb="FF3C6F89"/>
      <name val="Helvetica"/>
      <family val="2"/>
    </font>
    <font>
      <sz val="11"/>
      <name val="Calibri"/>
      <family val="2"/>
      <scheme val="minor"/>
    </font>
    <font>
      <sz val="11"/>
      <color theme="1"/>
      <name val="Arial"/>
      <family val="2"/>
    </font>
    <font>
      <sz val="10"/>
      <color theme="1"/>
      <name val="Calibri"/>
      <family val="2"/>
      <scheme val="minor"/>
    </font>
    <font>
      <sz val="10"/>
      <color rgb="FF555555"/>
      <name val="Calibri"/>
      <family val="2"/>
      <scheme val="minor"/>
    </font>
    <font>
      <sz val="10"/>
      <name val="Arial"/>
    </font>
    <font>
      <b/>
      <sz val="14"/>
      <color theme="0"/>
      <name val="Arial"/>
      <family val="2"/>
    </font>
    <font>
      <b/>
      <sz val="11"/>
      <color theme="0"/>
      <name val="Arial"/>
      <family val="2"/>
    </font>
    <font>
      <b/>
      <sz val="12"/>
      <color theme="0"/>
      <name val="Arial"/>
      <family val="2"/>
    </font>
    <font>
      <sz val="11"/>
      <color indexed="8"/>
      <name val="Arial"/>
      <family val="2"/>
    </font>
    <font>
      <sz val="10"/>
      <color rgb="FFFF0000"/>
      <name val="Arial"/>
      <family val="2"/>
    </font>
    <font>
      <b/>
      <sz val="12"/>
      <name val="Calibri"/>
      <family val="2"/>
      <scheme val="minor"/>
    </font>
    <font>
      <sz val="12"/>
      <name val="Calibri"/>
      <family val="2"/>
      <scheme val="minor"/>
    </font>
    <font>
      <sz val="10"/>
      <name val="Calibri"/>
      <family val="2"/>
      <scheme val="minor"/>
    </font>
  </fonts>
  <fills count="15">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indexed="9"/>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B050"/>
        <bgColor indexed="64"/>
      </patternFill>
    </fill>
    <fill>
      <patternFill patternType="solid">
        <fgColor rgb="FF005FAA"/>
        <bgColor indexed="64"/>
      </patternFill>
    </fill>
  </fills>
  <borders count="1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auto="1"/>
      </left>
      <right style="thin">
        <color auto="1"/>
      </right>
      <top style="thin">
        <color auto="1"/>
      </top>
      <bottom style="double">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double">
        <color indexed="64"/>
      </top>
      <bottom/>
      <diagonal/>
    </border>
    <border>
      <left style="thin">
        <color indexed="64"/>
      </left>
      <right/>
      <top/>
      <bottom style="medium">
        <color indexed="64"/>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top style="double">
        <color theme="4"/>
      </top>
      <bottom style="thin">
        <color theme="4" tint="0.39997558519241921"/>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8"/>
      </bottom>
      <diagonal/>
    </border>
    <border>
      <left style="medium">
        <color indexed="64"/>
      </left>
      <right style="medium">
        <color indexed="64"/>
      </right>
      <top style="thin">
        <color indexed="8"/>
      </top>
      <bottom style="thin">
        <color indexed="8"/>
      </bottom>
      <diagonal/>
    </border>
  </borders>
  <cellStyleXfs count="16">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164" fontId="4" fillId="0" borderId="0"/>
    <xf numFmtId="0" fontId="3" fillId="0" borderId="0"/>
    <xf numFmtId="0" fontId="3" fillId="0" borderId="0"/>
    <xf numFmtId="9" fontId="8" fillId="0" borderId="0" applyFont="0" applyFill="0" applyBorder="0" applyAlignment="0" applyProtection="0"/>
    <xf numFmtId="0" fontId="4" fillId="0" borderId="0"/>
    <xf numFmtId="9" fontId="4" fillId="0" borderId="0" applyFont="0" applyFill="0" applyBorder="0" applyAlignment="0" applyProtection="0"/>
    <xf numFmtId="0" fontId="1" fillId="0" borderId="0"/>
    <xf numFmtId="0" fontId="8" fillId="0" borderId="0"/>
    <xf numFmtId="3" fontId="38" fillId="0" borderId="0"/>
    <xf numFmtId="0" fontId="3" fillId="0" borderId="0"/>
    <xf numFmtId="0" fontId="4" fillId="0" borderId="0"/>
    <xf numFmtId="172" fontId="4" fillId="0" borderId="0" applyFont="0" applyFill="0" applyBorder="0" applyAlignment="0" applyProtection="0"/>
  </cellStyleXfs>
  <cellXfs count="891">
    <xf numFmtId="0" fontId="0" fillId="0" borderId="0" xfId="0"/>
    <xf numFmtId="0" fontId="0" fillId="0" borderId="0" xfId="0"/>
    <xf numFmtId="49" fontId="0" fillId="0" borderId="0" xfId="0" applyNumberFormat="1"/>
    <xf numFmtId="8" fontId="0" fillId="0" borderId="0" xfId="0" applyNumberFormat="1"/>
    <xf numFmtId="0" fontId="5" fillId="0" borderId="0" xfId="4" applyNumberFormat="1" applyFont="1"/>
    <xf numFmtId="165" fontId="5" fillId="2" borderId="0" xfId="0" applyNumberFormat="1" applyFont="1" applyFill="1" applyAlignment="1">
      <alignment horizontal="left" vertical="center"/>
    </xf>
    <xf numFmtId="44" fontId="0" fillId="0" borderId="0" xfId="2" applyFont="1" applyAlignment="1">
      <alignment horizontal="right"/>
    </xf>
    <xf numFmtId="0" fontId="5" fillId="0" borderId="0" xfId="5" applyFont="1"/>
    <xf numFmtId="49" fontId="0" fillId="2" borderId="0" xfId="0" applyNumberFormat="1" applyFill="1"/>
    <xf numFmtId="0" fontId="5" fillId="0" borderId="0" xfId="0" applyFont="1"/>
    <xf numFmtId="0" fontId="0" fillId="0" borderId="0" xfId="0" applyAlignment="1">
      <alignment horizontal="center"/>
    </xf>
    <xf numFmtId="49" fontId="5" fillId="0" borderId="4" xfId="0" applyNumberFormat="1" applyFont="1" applyBorder="1" applyAlignment="1">
      <alignment horizontal="center" vertical="center"/>
    </xf>
    <xf numFmtId="166" fontId="5" fillId="0" borderId="0" xfId="1" applyNumberFormat="1" applyFont="1" applyFill="1" applyBorder="1" applyAlignment="1">
      <alignment horizontal="center" vertical="center" wrapText="1"/>
    </xf>
    <xf numFmtId="0" fontId="0" fillId="0" borderId="0" xfId="0" applyFill="1"/>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horizontal="right"/>
    </xf>
    <xf numFmtId="0" fontId="0" fillId="0" borderId="0" xfId="0" applyFill="1" applyAlignment="1">
      <alignment horizontal="center" vertical="center"/>
    </xf>
    <xf numFmtId="1" fontId="5" fillId="0" borderId="12" xfId="0" applyNumberFormat="1" applyFont="1" applyFill="1" applyBorder="1" applyAlignment="1">
      <alignment horizontal="center" vertical="center"/>
    </xf>
    <xf numFmtId="1" fontId="5" fillId="0" borderId="16" xfId="0" applyNumberFormat="1" applyFont="1" applyFill="1" applyBorder="1" applyAlignment="1">
      <alignment horizontal="center" vertical="center"/>
    </xf>
    <xf numFmtId="165" fontId="0" fillId="0" borderId="0" xfId="0" applyNumberFormat="1" applyAlignment="1">
      <alignment horizontal="center" vertical="center"/>
    </xf>
    <xf numFmtId="0" fontId="0" fillId="0" borderId="8" xfId="0" applyFont="1" applyBorder="1" applyAlignment="1">
      <alignment horizontal="center" vertical="center"/>
    </xf>
    <xf numFmtId="164" fontId="4" fillId="0" borderId="0" xfId="4" applyAlignment="1">
      <alignment horizontal="center" vertical="center"/>
    </xf>
    <xf numFmtId="164" fontId="7" fillId="0" borderId="47" xfId="4" applyFont="1" applyBorder="1" applyAlignment="1">
      <alignment horizontal="center" vertical="center"/>
    </xf>
    <xf numFmtId="164" fontId="7" fillId="0" borderId="1" xfId="4" applyFont="1" applyBorder="1" applyAlignment="1">
      <alignment horizontal="center" vertical="center"/>
    </xf>
    <xf numFmtId="164" fontId="4" fillId="0" borderId="0" xfId="4" applyAlignment="1">
      <alignment horizontal="left" vertical="center"/>
    </xf>
    <xf numFmtId="164" fontId="4" fillId="0" borderId="0" xfId="4" applyAlignment="1">
      <alignment vertical="center"/>
    </xf>
    <xf numFmtId="164" fontId="7" fillId="0" borderId="52" xfId="4" applyFont="1" applyBorder="1" applyAlignment="1">
      <alignment horizontal="center" vertical="center"/>
    </xf>
    <xf numFmtId="164" fontId="7" fillId="0" borderId="53" xfId="4" applyFont="1" applyBorder="1" applyAlignment="1">
      <alignment horizontal="center" vertical="center"/>
    </xf>
    <xf numFmtId="164" fontId="7" fillId="4" borderId="52" xfId="4" applyFont="1" applyFill="1" applyBorder="1" applyAlignment="1">
      <alignment horizontal="center" vertical="center"/>
    </xf>
    <xf numFmtId="164" fontId="7" fillId="4" borderId="43" xfId="4" applyFont="1" applyFill="1" applyBorder="1" applyAlignment="1">
      <alignment horizontal="center" vertical="center"/>
    </xf>
    <xf numFmtId="1" fontId="4" fillId="0" borderId="27" xfId="4" applyNumberFormat="1" applyBorder="1" applyAlignment="1">
      <alignment horizontal="center" vertical="center" wrapText="1"/>
    </xf>
    <xf numFmtId="164" fontId="4" fillId="0" borderId="29" xfId="4" applyBorder="1" applyAlignment="1">
      <alignment horizontal="left" vertical="center" wrapText="1"/>
    </xf>
    <xf numFmtId="1" fontId="4" fillId="0" borderId="30" xfId="4" applyNumberFormat="1" applyBorder="1" applyAlignment="1">
      <alignment horizontal="center" vertical="center" wrapText="1"/>
    </xf>
    <xf numFmtId="164" fontId="4" fillId="0" borderId="12" xfId="4" applyBorder="1" applyAlignment="1">
      <alignment horizontal="left" vertical="center"/>
    </xf>
    <xf numFmtId="164" fontId="4" fillId="0" borderId="12" xfId="4" applyBorder="1" applyAlignment="1">
      <alignment horizontal="left" vertical="center" wrapText="1"/>
    </xf>
    <xf numFmtId="1" fontId="4" fillId="0" borderId="56" xfId="4" applyNumberFormat="1" applyBorder="1" applyAlignment="1">
      <alignment horizontal="center" vertical="center" wrapText="1"/>
    </xf>
    <xf numFmtId="164" fontId="4" fillId="0" borderId="57" xfId="4" applyBorder="1" applyAlignment="1">
      <alignment horizontal="left" vertical="center" wrapText="1"/>
    </xf>
    <xf numFmtId="1" fontId="4" fillId="0" borderId="28" xfId="4" applyNumberFormat="1" applyBorder="1" applyAlignment="1">
      <alignment horizontal="center" vertical="center" wrapText="1"/>
    </xf>
    <xf numFmtId="164" fontId="4" fillId="0" borderId="16" xfId="4" applyBorder="1" applyAlignment="1">
      <alignment horizontal="left" vertical="center" wrapText="1"/>
    </xf>
    <xf numFmtId="1" fontId="4" fillId="0" borderId="0" xfId="4" applyNumberFormat="1" applyAlignment="1">
      <alignment horizontal="center" vertical="center" wrapText="1"/>
    </xf>
    <xf numFmtId="164" fontId="4" fillId="0" borderId="0" xfId="4" applyAlignment="1">
      <alignment horizontal="left" vertical="center" wrapText="1"/>
    </xf>
    <xf numFmtId="164" fontId="4" fillId="0" borderId="0" xfId="4" applyAlignment="1">
      <alignment horizontal="center" vertical="center" wrapText="1"/>
    </xf>
    <xf numFmtId="164" fontId="7" fillId="5" borderId="43" xfId="4" applyFont="1" applyFill="1" applyBorder="1" applyAlignment="1">
      <alignment horizontal="center" vertical="center"/>
    </xf>
    <xf numFmtId="164" fontId="7" fillId="5" borderId="53" xfId="4" applyFont="1" applyFill="1" applyBorder="1" applyAlignment="1">
      <alignment horizontal="center" vertical="center"/>
    </xf>
    <xf numFmtId="164" fontId="7" fillId="5" borderId="43" xfId="4" applyFont="1" applyFill="1" applyBorder="1" applyAlignment="1">
      <alignment horizontal="center" vertical="center" wrapText="1"/>
    </xf>
    <xf numFmtId="1" fontId="4" fillId="0" borderId="29" xfId="4" applyNumberFormat="1" applyBorder="1" applyAlignment="1">
      <alignment horizontal="center" vertical="center" wrapText="1"/>
    </xf>
    <xf numFmtId="164" fontId="4" fillId="0" borderId="29" xfId="4" applyBorder="1" applyAlignment="1">
      <alignment vertical="center" wrapText="1"/>
    </xf>
    <xf numFmtId="1" fontId="4" fillId="0" borderId="12" xfId="4" applyNumberFormat="1" applyBorder="1" applyAlignment="1">
      <alignment horizontal="center" vertical="center" wrapText="1"/>
    </xf>
    <xf numFmtId="1" fontId="4" fillId="0" borderId="16" xfId="4" applyNumberFormat="1" applyBorder="1" applyAlignment="1">
      <alignment horizontal="center" vertical="center" wrapText="1"/>
    </xf>
    <xf numFmtId="164" fontId="4" fillId="0" borderId="0" xfId="4"/>
    <xf numFmtId="1" fontId="4" fillId="0" borderId="0" xfId="4" applyNumberFormat="1" applyAlignment="1">
      <alignment horizontal="center" vertical="center"/>
    </xf>
    <xf numFmtId="0" fontId="3" fillId="0" borderId="0" xfId="6" applyAlignment="1">
      <alignment vertical="center"/>
    </xf>
    <xf numFmtId="0" fontId="3" fillId="0" borderId="0" xfId="6" applyAlignment="1">
      <alignment horizontal="center" vertical="center"/>
    </xf>
    <xf numFmtId="0" fontId="2" fillId="0" borderId="62" xfId="6" applyFont="1" applyBorder="1" applyAlignment="1">
      <alignment horizontal="center" vertical="center"/>
    </xf>
    <xf numFmtId="0" fontId="2" fillId="0" borderId="63" xfId="6" applyFont="1" applyBorder="1" applyAlignment="1">
      <alignment horizontal="center" vertical="center"/>
    </xf>
    <xf numFmtId="0" fontId="2" fillId="0" borderId="64" xfId="6" applyFont="1" applyBorder="1" applyAlignment="1">
      <alignment horizontal="center" vertical="center"/>
    </xf>
    <xf numFmtId="0" fontId="3" fillId="0" borderId="12" xfId="6" applyBorder="1" applyAlignment="1">
      <alignment horizontal="center" vertical="center"/>
    </xf>
    <xf numFmtId="0" fontId="3" fillId="0" borderId="16" xfId="6" applyBorder="1" applyAlignment="1">
      <alignment horizontal="center" vertical="center"/>
    </xf>
    <xf numFmtId="0" fontId="4" fillId="0" borderId="0" xfId="8" applyAlignment="1">
      <alignment vertical="center"/>
    </xf>
    <xf numFmtId="0" fontId="4" fillId="6" borderId="0" xfId="8" applyFill="1" applyAlignment="1">
      <alignment vertical="center"/>
    </xf>
    <xf numFmtId="0" fontId="4" fillId="0" borderId="0" xfId="8" applyAlignment="1">
      <alignment horizontal="center" vertical="center"/>
    </xf>
    <xf numFmtId="2" fontId="4" fillId="0" borderId="0" xfId="8" applyNumberFormat="1" applyAlignment="1">
      <alignment horizontal="center" vertical="center"/>
    </xf>
    <xf numFmtId="0" fontId="7" fillId="0" borderId="0" xfId="8" applyFont="1" applyAlignment="1">
      <alignment vertical="center"/>
    </xf>
    <xf numFmtId="0" fontId="11" fillId="0" borderId="47" xfId="8" applyFont="1" applyBorder="1" applyAlignment="1" applyProtection="1">
      <alignment horizontal="center" vertical="center" wrapText="1"/>
      <protection locked="0"/>
    </xf>
    <xf numFmtId="0" fontId="11" fillId="0" borderId="49" xfId="8" applyFont="1" applyBorder="1" applyAlignment="1" applyProtection="1">
      <alignment horizontal="center" vertical="center" wrapText="1"/>
      <protection locked="0"/>
    </xf>
    <xf numFmtId="0" fontId="11" fillId="0" borderId="48" xfId="8" applyFont="1" applyBorder="1" applyAlignment="1">
      <alignment horizontal="center" vertical="center"/>
    </xf>
    <xf numFmtId="0" fontId="11" fillId="0" borderId="73" xfId="8" applyFont="1" applyBorder="1" applyAlignment="1" applyProtection="1">
      <alignment horizontal="center" vertical="center" wrapText="1"/>
      <protection locked="0"/>
    </xf>
    <xf numFmtId="0" fontId="11" fillId="0" borderId="74" xfId="8" applyFont="1" applyBorder="1" applyAlignment="1" applyProtection="1">
      <alignment horizontal="center" vertical="center" wrapText="1"/>
      <protection locked="0"/>
    </xf>
    <xf numFmtId="22" fontId="11" fillId="0" borderId="43" xfId="8" applyNumberFormat="1" applyFont="1" applyBorder="1" applyAlignment="1">
      <alignment horizontal="center" vertical="center"/>
    </xf>
    <xf numFmtId="17" fontId="11" fillId="0" borderId="43" xfId="8" applyNumberFormat="1" applyFont="1" applyBorder="1" applyAlignment="1">
      <alignment horizontal="center" vertical="center"/>
    </xf>
    <xf numFmtId="22" fontId="11" fillId="0" borderId="52" xfId="8" applyNumberFormat="1" applyFont="1" applyBorder="1" applyAlignment="1">
      <alignment horizontal="center" vertical="center"/>
    </xf>
    <xf numFmtId="0" fontId="11" fillId="0" borderId="76" xfId="8" applyFont="1" applyBorder="1" applyAlignment="1">
      <alignment horizontal="center" vertical="center"/>
    </xf>
    <xf numFmtId="0" fontId="11" fillId="0" borderId="42" xfId="8" applyFont="1" applyBorder="1" applyAlignment="1">
      <alignment horizontal="center" vertical="center"/>
    </xf>
    <xf numFmtId="0" fontId="11" fillId="0" borderId="77" xfId="8" applyFont="1" applyBorder="1" applyAlignment="1">
      <alignment horizontal="center" vertical="center"/>
    </xf>
    <xf numFmtId="0" fontId="11" fillId="0" borderId="78" xfId="8" applyFont="1" applyBorder="1" applyAlignment="1">
      <alignment horizontal="center" vertical="center"/>
    </xf>
    <xf numFmtId="0" fontId="11" fillId="0" borderId="80" xfId="8" applyFont="1" applyBorder="1" applyAlignment="1">
      <alignment horizontal="center" vertical="center"/>
    </xf>
    <xf numFmtId="0" fontId="11" fillId="0" borderId="66" xfId="8" applyFont="1" applyBorder="1" applyAlignment="1">
      <alignment horizontal="center" vertical="center"/>
    </xf>
    <xf numFmtId="0" fontId="11" fillId="0" borderId="65" xfId="8" applyFont="1" applyBorder="1" applyAlignment="1">
      <alignment horizontal="center" vertical="center"/>
    </xf>
    <xf numFmtId="0" fontId="11" fillId="0" borderId="81" xfId="8" applyFont="1" applyBorder="1" applyAlignment="1">
      <alignment horizontal="center" vertical="center"/>
    </xf>
    <xf numFmtId="0" fontId="13" fillId="0" borderId="0" xfId="8" applyFont="1" applyAlignment="1">
      <alignment horizontal="center" vertical="center"/>
    </xf>
    <xf numFmtId="0" fontId="13" fillId="0" borderId="67" xfId="8" applyFont="1" applyBorder="1" applyAlignment="1">
      <alignment horizontal="center" vertical="center"/>
    </xf>
    <xf numFmtId="0" fontId="13" fillId="0" borderId="11" xfId="8" applyFont="1" applyBorder="1" applyAlignment="1">
      <alignment vertical="center"/>
    </xf>
    <xf numFmtId="0" fontId="13" fillId="0" borderId="10" xfId="8" applyFont="1" applyBorder="1" applyAlignment="1">
      <alignment horizontal="center" vertical="center"/>
    </xf>
    <xf numFmtId="0" fontId="13" fillId="0" borderId="11" xfId="8" applyFont="1" applyBorder="1" applyAlignment="1">
      <alignment horizontal="center" vertical="center"/>
    </xf>
    <xf numFmtId="2" fontId="13" fillId="0" borderId="34" xfId="8" applyNumberFormat="1" applyFont="1" applyBorder="1" applyAlignment="1">
      <alignment horizontal="center" vertical="center"/>
    </xf>
    <xf numFmtId="0" fontId="13" fillId="0" borderId="8" xfId="8" applyFont="1" applyBorder="1" applyAlignment="1">
      <alignment horizontal="center" vertical="center"/>
    </xf>
    <xf numFmtId="2" fontId="13" fillId="0" borderId="8" xfId="8" applyNumberFormat="1" applyFont="1" applyBorder="1" applyAlignment="1">
      <alignment horizontal="center" vertical="center"/>
    </xf>
    <xf numFmtId="2" fontId="13" fillId="0" borderId="69" xfId="8" applyNumberFormat="1" applyFont="1" applyBorder="1" applyAlignment="1">
      <alignment horizontal="center" vertical="center"/>
    </xf>
    <xf numFmtId="165" fontId="13" fillId="0" borderId="67" xfId="8" applyNumberFormat="1" applyFont="1" applyBorder="1" applyAlignment="1">
      <alignment horizontal="center" vertical="center"/>
    </xf>
    <xf numFmtId="9" fontId="13" fillId="0" borderId="68" xfId="9" applyFont="1" applyBorder="1" applyAlignment="1">
      <alignment horizontal="center" vertical="center"/>
    </xf>
    <xf numFmtId="165" fontId="13" fillId="0" borderId="8" xfId="9" applyNumberFormat="1" applyFont="1" applyBorder="1" applyAlignment="1">
      <alignment horizontal="center" vertical="center"/>
    </xf>
    <xf numFmtId="0" fontId="13" fillId="0" borderId="51" xfId="8" applyFont="1" applyBorder="1" applyAlignment="1">
      <alignment horizontal="center" vertical="center"/>
    </xf>
    <xf numFmtId="0" fontId="13" fillId="0" borderId="15" xfId="8" applyFont="1" applyBorder="1" applyAlignment="1">
      <alignment vertical="center"/>
    </xf>
    <xf numFmtId="0" fontId="13" fillId="0" borderId="14" xfId="8" applyFont="1" applyBorder="1" applyAlignment="1">
      <alignment horizontal="center" vertical="center"/>
    </xf>
    <xf numFmtId="2" fontId="13" fillId="0" borderId="31" xfId="8" applyNumberFormat="1" applyFont="1" applyBorder="1" applyAlignment="1">
      <alignment horizontal="center" vertical="center"/>
    </xf>
    <xf numFmtId="0" fontId="13" fillId="0" borderId="12" xfId="8" applyFont="1" applyBorder="1" applyAlignment="1">
      <alignment horizontal="center" vertical="center"/>
    </xf>
    <xf numFmtId="2" fontId="13" fillId="0" borderId="12" xfId="8" applyNumberFormat="1" applyFont="1" applyBorder="1" applyAlignment="1">
      <alignment horizontal="center" vertical="center"/>
    </xf>
    <xf numFmtId="165" fontId="13" fillId="0" borderId="51" xfId="8" applyNumberFormat="1" applyFont="1" applyBorder="1" applyAlignment="1">
      <alignment horizontal="center" vertical="center"/>
    </xf>
    <xf numFmtId="2" fontId="13" fillId="0" borderId="14" xfId="8" applyNumberFormat="1" applyFont="1" applyBorder="1" applyAlignment="1">
      <alignment horizontal="center" vertical="center"/>
    </xf>
    <xf numFmtId="0" fontId="13" fillId="0" borderId="15" xfId="8" applyFont="1" applyBorder="1" applyAlignment="1">
      <alignment horizontal="center" vertical="center"/>
    </xf>
    <xf numFmtId="165" fontId="13" fillId="0" borderId="12" xfId="8" applyNumberFormat="1" applyFont="1" applyBorder="1" applyAlignment="1">
      <alignment horizontal="center" vertical="center"/>
    </xf>
    <xf numFmtId="0" fontId="13" fillId="0" borderId="12" xfId="8" quotePrefix="1" applyFont="1" applyBorder="1" applyAlignment="1">
      <alignment horizontal="center" vertical="center"/>
    </xf>
    <xf numFmtId="2" fontId="13" fillId="0" borderId="12" xfId="8" quotePrefix="1" applyNumberFormat="1" applyFont="1" applyBorder="1" applyAlignment="1">
      <alignment horizontal="center" vertical="center"/>
    </xf>
    <xf numFmtId="165" fontId="13" fillId="0" borderId="8" xfId="9" applyNumberFormat="1" applyFont="1" applyFill="1" applyBorder="1" applyAlignment="1">
      <alignment horizontal="center" vertical="center"/>
    </xf>
    <xf numFmtId="2" fontId="13" fillId="0" borderId="71" xfId="8" applyNumberFormat="1" applyFont="1" applyBorder="1" applyAlignment="1">
      <alignment horizontal="center" vertical="center"/>
    </xf>
    <xf numFmtId="0" fontId="13" fillId="0" borderId="83" xfId="8" applyFont="1" applyBorder="1" applyAlignment="1">
      <alignment horizontal="center" vertical="center"/>
    </xf>
    <xf numFmtId="0" fontId="13" fillId="0" borderId="84" xfId="8" applyFont="1" applyBorder="1" applyAlignment="1">
      <alignment vertical="center"/>
    </xf>
    <xf numFmtId="0" fontId="13" fillId="0" borderId="85" xfId="8" applyFont="1" applyBorder="1" applyAlignment="1">
      <alignment horizontal="center" vertical="center"/>
    </xf>
    <xf numFmtId="0" fontId="4" fillId="0" borderId="24" xfId="8" applyBorder="1" applyAlignment="1">
      <alignment horizontal="center" vertical="center"/>
    </xf>
    <xf numFmtId="0" fontId="4" fillId="0" borderId="19" xfId="8" applyBorder="1" applyAlignment="1">
      <alignment vertical="center"/>
    </xf>
    <xf numFmtId="0" fontId="4" fillId="0" borderId="24" xfId="8" applyBorder="1" applyAlignment="1">
      <alignment vertical="center"/>
    </xf>
    <xf numFmtId="0" fontId="4" fillId="0" borderId="18" xfId="8" applyBorder="1" applyAlignment="1">
      <alignment vertical="center"/>
    </xf>
    <xf numFmtId="0" fontId="4" fillId="0" borderId="26" xfId="8" applyBorder="1" applyAlignment="1">
      <alignment horizontal="center" vertical="center"/>
    </xf>
    <xf numFmtId="0" fontId="4" fillId="0" borderId="86" xfId="8" applyBorder="1" applyAlignment="1">
      <alignment horizontal="center" vertical="center"/>
    </xf>
    <xf numFmtId="2" fontId="4" fillId="0" borderId="24" xfId="8" applyNumberFormat="1" applyBorder="1" applyAlignment="1">
      <alignment horizontal="center" vertical="center"/>
    </xf>
    <xf numFmtId="9" fontId="4" fillId="0" borderId="87" xfId="8" applyNumberFormat="1" applyBorder="1" applyAlignment="1">
      <alignment horizontal="center" vertical="center"/>
    </xf>
    <xf numFmtId="165" fontId="13" fillId="0" borderId="16" xfId="9" applyNumberFormat="1" applyFont="1" applyBorder="1" applyAlignment="1">
      <alignment horizontal="center" vertical="center"/>
    </xf>
    <xf numFmtId="2" fontId="13" fillId="0" borderId="44" xfId="8" applyNumberFormat="1" applyFont="1" applyBorder="1" applyAlignment="1">
      <alignment horizontal="center" vertical="center"/>
    </xf>
    <xf numFmtId="2" fontId="13" fillId="0" borderId="0" xfId="8" applyNumberFormat="1" applyFont="1" applyAlignment="1">
      <alignment horizontal="center" vertical="center"/>
    </xf>
    <xf numFmtId="0" fontId="11" fillId="0" borderId="32" xfId="8" applyFont="1" applyBorder="1" applyAlignment="1">
      <alignment horizontal="center" vertical="center"/>
    </xf>
    <xf numFmtId="0" fontId="11" fillId="0" borderId="88" xfId="8" applyFont="1" applyBorder="1" applyAlignment="1">
      <alignment horizontal="center" vertical="center"/>
    </xf>
    <xf numFmtId="2" fontId="11" fillId="0" borderId="32" xfId="8" applyNumberFormat="1" applyFont="1" applyBorder="1" applyAlignment="1">
      <alignment horizontal="center" vertical="center"/>
    </xf>
    <xf numFmtId="0" fontId="13" fillId="0" borderId="0" xfId="8" applyFont="1" applyAlignment="1">
      <alignment vertical="center"/>
    </xf>
    <xf numFmtId="0" fontId="13" fillId="0" borderId="69" xfId="8" applyFont="1" applyBorder="1" applyAlignment="1">
      <alignment horizontal="center" vertical="center"/>
    </xf>
    <xf numFmtId="0" fontId="4" fillId="0" borderId="0" xfId="8" applyAlignment="1">
      <alignment horizontal="left" vertical="center"/>
    </xf>
    <xf numFmtId="0" fontId="4" fillId="0" borderId="16" xfId="8" applyBorder="1" applyAlignment="1">
      <alignment horizontal="center" vertical="center"/>
    </xf>
    <xf numFmtId="2" fontId="4" fillId="0" borderId="16" xfId="8" applyNumberFormat="1" applyBorder="1" applyAlignment="1">
      <alignment horizontal="center" vertical="center"/>
    </xf>
    <xf numFmtId="0" fontId="5" fillId="0" borderId="0" xfId="8" applyFont="1" applyAlignment="1">
      <alignment vertical="center"/>
    </xf>
    <xf numFmtId="0" fontId="5" fillId="0" borderId="0" xfId="8" applyFont="1" applyAlignment="1">
      <alignment horizontal="center" vertical="center"/>
    </xf>
    <xf numFmtId="0" fontId="13" fillId="0" borderId="67" xfId="8" applyFont="1" applyBorder="1" applyAlignment="1">
      <alignment horizontal="left" vertical="center"/>
    </xf>
    <xf numFmtId="165" fontId="13" fillId="0" borderId="34" xfId="8" applyNumberFormat="1" applyFont="1" applyBorder="1" applyAlignment="1">
      <alignment horizontal="center" vertical="center"/>
    </xf>
    <xf numFmtId="165" fontId="13" fillId="0" borderId="10" xfId="8" applyNumberFormat="1" applyFont="1" applyBorder="1" applyAlignment="1">
      <alignment horizontal="center" vertical="center"/>
    </xf>
    <xf numFmtId="9" fontId="13" fillId="0" borderId="11" xfId="9" applyFont="1" applyBorder="1" applyAlignment="1">
      <alignment horizontal="center" vertical="center"/>
    </xf>
    <xf numFmtId="0" fontId="13" fillId="0" borderId="51" xfId="8" applyFont="1" applyBorder="1" applyAlignment="1">
      <alignment horizontal="left" vertical="center"/>
    </xf>
    <xf numFmtId="165" fontId="13" fillId="0" borderId="31" xfId="8" applyNumberFormat="1" applyFont="1" applyBorder="1" applyAlignment="1">
      <alignment horizontal="center" vertical="center"/>
    </xf>
    <xf numFmtId="165" fontId="13" fillId="0" borderId="14" xfId="8" applyNumberFormat="1" applyFont="1" applyBorder="1" applyAlignment="1">
      <alignment horizontal="center" vertical="center"/>
    </xf>
    <xf numFmtId="0" fontId="13" fillId="0" borderId="91" xfId="8" applyFont="1" applyBorder="1" applyAlignment="1">
      <alignment horizontal="center" vertical="center"/>
    </xf>
    <xf numFmtId="0" fontId="13" fillId="0" borderId="83" xfId="8" applyFont="1" applyBorder="1" applyAlignment="1">
      <alignment horizontal="left" vertical="center"/>
    </xf>
    <xf numFmtId="165" fontId="13" fillId="0" borderId="58" xfId="8" applyNumberFormat="1" applyFont="1" applyBorder="1" applyAlignment="1">
      <alignment horizontal="center" vertical="center"/>
    </xf>
    <xf numFmtId="165" fontId="4" fillId="0" borderId="19" xfId="8" applyNumberFormat="1" applyBorder="1" applyAlignment="1">
      <alignment vertical="center"/>
    </xf>
    <xf numFmtId="0" fontId="4" fillId="0" borderId="28" xfId="8" applyBorder="1" applyAlignment="1">
      <alignment horizontal="center" vertical="center"/>
    </xf>
    <xf numFmtId="0" fontId="13" fillId="0" borderId="18" xfId="8" applyFont="1" applyBorder="1" applyAlignment="1">
      <alignment horizontal="center" vertical="center"/>
    </xf>
    <xf numFmtId="165" fontId="13" fillId="0" borderId="44" xfId="9" applyNumberFormat="1" applyFont="1" applyBorder="1" applyAlignment="1">
      <alignment horizontal="center" vertical="center"/>
    </xf>
    <xf numFmtId="165" fontId="13" fillId="0" borderId="0" xfId="9" applyNumberFormat="1" applyFont="1" applyBorder="1" applyAlignment="1">
      <alignment horizontal="center" vertical="center"/>
    </xf>
    <xf numFmtId="0" fontId="14" fillId="0" borderId="0" xfId="8" applyFont="1" applyAlignment="1">
      <alignment vertical="center"/>
    </xf>
    <xf numFmtId="0" fontId="13" fillId="0" borderId="9" xfId="8" applyFont="1" applyBorder="1" applyAlignment="1">
      <alignment horizontal="center" vertical="center"/>
    </xf>
    <xf numFmtId="0" fontId="13" fillId="0" borderId="68" xfId="9" quotePrefix="1" applyNumberFormat="1" applyFont="1" applyFill="1" applyBorder="1" applyAlignment="1">
      <alignment horizontal="center" vertical="center"/>
    </xf>
    <xf numFmtId="165" fontId="13" fillId="0" borderId="11" xfId="8" applyNumberFormat="1" applyFont="1" applyBorder="1" applyAlignment="1">
      <alignment horizontal="center" vertical="center"/>
    </xf>
    <xf numFmtId="0" fontId="13" fillId="0" borderId="34" xfId="8" applyFont="1" applyBorder="1" applyAlignment="1">
      <alignment horizontal="center" vertical="center"/>
    </xf>
    <xf numFmtId="0" fontId="13" fillId="0" borderId="13" xfId="8" applyFont="1" applyBorder="1" applyAlignment="1">
      <alignment horizontal="center" vertical="center"/>
    </xf>
    <xf numFmtId="165" fontId="13" fillId="0" borderId="15" xfId="8" applyNumberFormat="1" applyFont="1" applyBorder="1" applyAlignment="1">
      <alignment horizontal="center" vertical="center"/>
    </xf>
    <xf numFmtId="0" fontId="13" fillId="0" borderId="31" xfId="8" applyFont="1" applyBorder="1" applyAlignment="1">
      <alignment horizontal="center" vertical="center"/>
    </xf>
    <xf numFmtId="0" fontId="13" fillId="0" borderId="70" xfId="8" applyFont="1" applyBorder="1" applyAlignment="1">
      <alignment horizontal="center" vertical="center"/>
    </xf>
    <xf numFmtId="0" fontId="13" fillId="0" borderId="31" xfId="8" quotePrefix="1" applyFont="1" applyBorder="1" applyAlignment="1">
      <alignment horizontal="center" vertical="center"/>
    </xf>
    <xf numFmtId="2" fontId="13" fillId="0" borderId="15" xfId="8" applyNumberFormat="1" applyFont="1" applyBorder="1" applyAlignment="1">
      <alignment horizontal="center" vertical="center"/>
    </xf>
    <xf numFmtId="165" fontId="13" fillId="0" borderId="70" xfId="8" applyNumberFormat="1" applyFont="1" applyBorder="1" applyAlignment="1">
      <alignment horizontal="center" vertical="center"/>
    </xf>
    <xf numFmtId="0" fontId="13" fillId="0" borderId="14" xfId="9" applyNumberFormat="1" applyFont="1" applyFill="1" applyBorder="1" applyAlignment="1">
      <alignment horizontal="center" vertical="center"/>
    </xf>
    <xf numFmtId="165" fontId="13" fillId="0" borderId="84" xfId="8" applyNumberFormat="1" applyFont="1" applyBorder="1" applyAlignment="1">
      <alignment horizontal="center" vertical="center"/>
    </xf>
    <xf numFmtId="0" fontId="13" fillId="0" borderId="58" xfId="8" applyFont="1" applyBorder="1" applyAlignment="1">
      <alignment horizontal="center" vertical="center"/>
    </xf>
    <xf numFmtId="0" fontId="4" fillId="0" borderId="16" xfId="8" applyBorder="1" applyAlignment="1">
      <alignment vertical="center"/>
    </xf>
    <xf numFmtId="0" fontId="4" fillId="0" borderId="86" xfId="8" applyBorder="1" applyAlignment="1">
      <alignment vertical="center"/>
    </xf>
    <xf numFmtId="0" fontId="13" fillId="0" borderId="19" xfId="8" applyFont="1" applyBorder="1" applyAlignment="1">
      <alignment vertical="center"/>
    </xf>
    <xf numFmtId="0" fontId="13" fillId="0" borderId="67" xfId="8" applyFont="1" applyBorder="1" applyAlignment="1">
      <alignment vertical="center"/>
    </xf>
    <xf numFmtId="0" fontId="13" fillId="0" borderId="51" xfId="8" applyFont="1" applyBorder="1" applyAlignment="1">
      <alignment vertical="center"/>
    </xf>
    <xf numFmtId="0" fontId="13" fillId="0" borderId="71" xfId="8" applyFont="1" applyBorder="1" applyAlignment="1">
      <alignment horizontal="center" vertical="center"/>
    </xf>
    <xf numFmtId="0" fontId="13" fillId="0" borderId="83" xfId="8" applyFont="1" applyBorder="1" applyAlignment="1">
      <alignment vertical="center"/>
    </xf>
    <xf numFmtId="0" fontId="13" fillId="0" borderId="92" xfId="8" quotePrefix="1" applyFont="1" applyBorder="1" applyAlignment="1">
      <alignment horizontal="center" vertical="center"/>
    </xf>
    <xf numFmtId="2" fontId="13" fillId="0" borderId="11" xfId="8" applyNumberFormat="1" applyFont="1" applyBorder="1" applyAlignment="1">
      <alignment horizontal="center" vertical="center"/>
    </xf>
    <xf numFmtId="16" fontId="13" fillId="0" borderId="14" xfId="8" quotePrefix="1" applyNumberFormat="1" applyFont="1" applyBorder="1" applyAlignment="1">
      <alignment horizontal="center" vertical="center"/>
    </xf>
    <xf numFmtId="0" fontId="13" fillId="0" borderId="84" xfId="8" applyFont="1" applyBorder="1" applyAlignment="1">
      <alignment horizontal="center" vertical="center"/>
    </xf>
    <xf numFmtId="0" fontId="13" fillId="0" borderId="15" xfId="8" applyFont="1" applyBorder="1" applyAlignment="1">
      <alignment horizontal="left" vertical="center"/>
    </xf>
    <xf numFmtId="0" fontId="4" fillId="0" borderId="26" xfId="8" applyBorder="1" applyAlignment="1">
      <alignment vertical="center"/>
    </xf>
    <xf numFmtId="0" fontId="13" fillId="0" borderId="19" xfId="8" applyFont="1" applyBorder="1" applyAlignment="1">
      <alignment horizontal="center" vertical="center"/>
    </xf>
    <xf numFmtId="16" fontId="13" fillId="0" borderId="14" xfId="8" applyNumberFormat="1" applyFont="1" applyBorder="1" applyAlignment="1">
      <alignment horizontal="center" vertical="center"/>
    </xf>
    <xf numFmtId="0" fontId="14" fillId="0" borderId="69" xfId="8" applyFont="1" applyBorder="1" applyAlignment="1">
      <alignment vertical="center"/>
    </xf>
    <xf numFmtId="0" fontId="14" fillId="0" borderId="41" xfId="8" applyFont="1" applyBorder="1" applyAlignment="1">
      <alignment vertical="center"/>
    </xf>
    <xf numFmtId="2" fontId="13" fillId="0" borderId="4" xfId="8" applyNumberFormat="1" applyFont="1" applyBorder="1" applyAlignment="1">
      <alignment horizontal="center" vertical="center"/>
    </xf>
    <xf numFmtId="0" fontId="11" fillId="0" borderId="4" xfId="8" applyFont="1" applyBorder="1" applyAlignment="1">
      <alignment horizontal="center" vertical="center"/>
    </xf>
    <xf numFmtId="0" fontId="0" fillId="0" borderId="0" xfId="6" applyFont="1" applyAlignment="1">
      <alignment vertical="center"/>
    </xf>
    <xf numFmtId="0" fontId="11" fillId="0" borderId="0" xfId="8" applyFont="1" applyBorder="1" applyAlignment="1">
      <alignment horizontal="center" vertical="center"/>
    </xf>
    <xf numFmtId="2" fontId="13" fillId="0" borderId="0" xfId="8" applyNumberFormat="1" applyFont="1" applyBorder="1" applyAlignment="1">
      <alignment horizontal="center"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14" fontId="0" fillId="0" borderId="0" xfId="0" applyNumberFormat="1" applyAlignment="1">
      <alignment horizontal="center" vertical="center"/>
    </xf>
    <xf numFmtId="8" fontId="0" fillId="0" borderId="0" xfId="0" applyNumberFormat="1" applyAlignment="1">
      <alignment horizontal="center" vertical="center"/>
    </xf>
    <xf numFmtId="8" fontId="0" fillId="0" borderId="10" xfId="0" applyNumberFormat="1" applyBorder="1" applyAlignment="1">
      <alignment horizontal="center" vertical="center"/>
    </xf>
    <xf numFmtId="8" fontId="0" fillId="0" borderId="11" xfId="0" applyNumberFormat="1" applyBorder="1"/>
    <xf numFmtId="8" fontId="0" fillId="0" borderId="18" xfId="0" applyNumberFormat="1" applyBorder="1" applyAlignment="1">
      <alignment horizontal="center" vertical="center"/>
    </xf>
    <xf numFmtId="8" fontId="0" fillId="0" borderId="19" xfId="0" applyNumberFormat="1" applyBorder="1"/>
    <xf numFmtId="0" fontId="11" fillId="0" borderId="8" xfId="8" applyFont="1" applyBorder="1" applyAlignment="1">
      <alignment horizontal="center" vertical="center"/>
    </xf>
    <xf numFmtId="0" fontId="11" fillId="0" borderId="69" xfId="8" applyFont="1" applyBorder="1" applyAlignment="1">
      <alignment horizontal="center" vertical="center"/>
    </xf>
    <xf numFmtId="0" fontId="11" fillId="0" borderId="34" xfId="8" applyFont="1" applyBorder="1" applyAlignment="1">
      <alignment horizontal="center" vertical="center"/>
    </xf>
    <xf numFmtId="17" fontId="11" fillId="0" borderId="52" xfId="8" applyNumberFormat="1" applyFont="1" applyBorder="1" applyAlignment="1">
      <alignment horizontal="center" vertical="center"/>
    </xf>
    <xf numFmtId="2" fontId="13" fillId="0" borderId="40" xfId="8" applyNumberFormat="1" applyFont="1" applyBorder="1" applyAlignment="1">
      <alignment horizontal="center" vertical="center"/>
    </xf>
    <xf numFmtId="22" fontId="11" fillId="0" borderId="54" xfId="8" applyNumberFormat="1" applyFont="1" applyBorder="1" applyAlignment="1">
      <alignment horizontal="center" vertical="center"/>
    </xf>
    <xf numFmtId="2" fontId="13" fillId="0" borderId="58" xfId="8" quotePrefix="1" applyNumberFormat="1" applyFont="1" applyBorder="1" applyAlignment="1">
      <alignment horizontal="center" vertical="center"/>
    </xf>
    <xf numFmtId="2" fontId="4" fillId="0" borderId="26" xfId="8" applyNumberFormat="1" applyBorder="1" applyAlignment="1">
      <alignment vertical="center"/>
    </xf>
    <xf numFmtId="2" fontId="13" fillId="0" borderId="72" xfId="8" applyNumberFormat="1" applyFont="1" applyBorder="1" applyAlignment="1">
      <alignment horizontal="center" vertical="center"/>
    </xf>
    <xf numFmtId="0" fontId="14" fillId="8" borderId="0" xfId="8" applyFont="1" applyFill="1" applyAlignment="1">
      <alignment vertical="center"/>
    </xf>
    <xf numFmtId="165" fontId="13" fillId="8" borderId="8" xfId="9" applyNumberFormat="1" applyFont="1" applyFill="1" applyBorder="1" applyAlignment="1">
      <alignment horizontal="center" vertical="center"/>
    </xf>
    <xf numFmtId="0" fontId="13" fillId="0" borderId="44" xfId="8" applyFont="1" applyBorder="1" applyAlignment="1">
      <alignment horizontal="center" vertical="center"/>
    </xf>
    <xf numFmtId="0" fontId="13" fillId="0" borderId="20" xfId="8" applyFont="1" applyBorder="1" applyAlignment="1">
      <alignment horizontal="center" vertical="center"/>
    </xf>
    <xf numFmtId="0" fontId="2" fillId="0" borderId="62" xfId="6" applyFont="1" applyBorder="1" applyAlignment="1">
      <alignment horizontal="center" vertical="center" wrapText="1"/>
    </xf>
    <xf numFmtId="165" fontId="3" fillId="0" borderId="51" xfId="6" applyNumberFormat="1" applyBorder="1" applyAlignment="1">
      <alignment horizontal="center" vertical="center"/>
    </xf>
    <xf numFmtId="165" fontId="3" fillId="0" borderId="24" xfId="6" applyNumberFormat="1" applyBorder="1" applyAlignment="1">
      <alignment horizontal="center" vertical="center"/>
    </xf>
    <xf numFmtId="165" fontId="13" fillId="8" borderId="8" xfId="8" applyNumberFormat="1" applyFont="1" applyFill="1" applyBorder="1" applyAlignment="1">
      <alignment horizontal="center" vertical="center"/>
    </xf>
    <xf numFmtId="0" fontId="5" fillId="8" borderId="0" xfId="8" applyFont="1" applyFill="1" applyAlignment="1">
      <alignment vertical="center"/>
    </xf>
    <xf numFmtId="2" fontId="13" fillId="8" borderId="33" xfId="8" applyNumberFormat="1" applyFont="1" applyFill="1" applyBorder="1" applyAlignment="1">
      <alignment horizontal="center" vertical="center"/>
    </xf>
    <xf numFmtId="0" fontId="3" fillId="0" borderId="0" xfId="6" applyAlignment="1">
      <alignment vertical="center" wrapText="1"/>
    </xf>
    <xf numFmtId="0" fontId="11" fillId="0" borderId="21" xfId="8" applyFont="1" applyBorder="1" applyAlignment="1">
      <alignment horizontal="center" vertical="center" wrapText="1"/>
    </xf>
    <xf numFmtId="0" fontId="11" fillId="0" borderId="60" xfId="8" applyFont="1" applyBorder="1" applyAlignment="1">
      <alignment horizontal="center" vertical="center"/>
    </xf>
    <xf numFmtId="0" fontId="11" fillId="0" borderId="27" xfId="8" applyFont="1" applyBorder="1" applyAlignment="1">
      <alignment horizontal="center" vertical="center" wrapText="1"/>
    </xf>
    <xf numFmtId="0" fontId="11" fillId="0" borderId="62" xfId="8" applyFont="1" applyBorder="1" applyAlignment="1">
      <alignment horizontal="center" vertical="center"/>
    </xf>
    <xf numFmtId="0" fontId="11" fillId="0" borderId="64" xfId="8" applyFont="1" applyBorder="1" applyAlignment="1">
      <alignment horizontal="center" vertical="center"/>
    </xf>
    <xf numFmtId="0" fontId="11" fillId="0" borderId="93" xfId="8" applyFont="1" applyBorder="1" applyAlignment="1">
      <alignment horizontal="center" vertical="center"/>
    </xf>
    <xf numFmtId="0" fontId="11" fillId="0" borderId="95" xfId="8" applyFont="1" applyBorder="1" applyAlignment="1">
      <alignment horizontal="center" vertical="center"/>
    </xf>
    <xf numFmtId="1" fontId="4" fillId="0" borderId="28" xfId="8" applyNumberFormat="1" applyBorder="1" applyAlignment="1">
      <alignment horizontal="center" vertical="center"/>
    </xf>
    <xf numFmtId="1" fontId="4" fillId="0" borderId="87" xfId="8" applyNumberFormat="1" applyBorder="1" applyAlignment="1">
      <alignment horizontal="center" vertical="center"/>
    </xf>
    <xf numFmtId="1" fontId="4" fillId="0" borderId="19" xfId="8" applyNumberFormat="1" applyBorder="1" applyAlignment="1">
      <alignment horizontal="center" vertical="center"/>
    </xf>
    <xf numFmtId="1" fontId="13" fillId="0" borderId="70" xfId="8" quotePrefix="1" applyNumberFormat="1" applyFont="1" applyBorder="1" applyAlignment="1">
      <alignment horizontal="center" vertical="center"/>
    </xf>
    <xf numFmtId="1" fontId="13" fillId="0" borderId="30" xfId="8" quotePrefix="1" applyNumberFormat="1" applyFont="1" applyBorder="1" applyAlignment="1">
      <alignment horizontal="center" vertical="center"/>
    </xf>
    <xf numFmtId="1" fontId="13" fillId="0" borderId="15" xfId="8" quotePrefix="1" applyNumberFormat="1" applyFont="1" applyBorder="1" applyAlignment="1">
      <alignment horizontal="center" vertical="center"/>
    </xf>
    <xf numFmtId="1" fontId="13" fillId="0" borderId="30" xfId="8" applyNumberFormat="1" applyFont="1" applyBorder="1" applyAlignment="1">
      <alignment horizontal="center" vertical="center"/>
    </xf>
    <xf numFmtId="9" fontId="13" fillId="0" borderId="12" xfId="3" applyFont="1" applyBorder="1" applyAlignment="1">
      <alignment horizontal="center" vertical="center"/>
    </xf>
    <xf numFmtId="1" fontId="13" fillId="0" borderId="70" xfId="8" applyNumberFormat="1" applyFont="1" applyBorder="1" applyAlignment="1">
      <alignment horizontal="center" vertical="center"/>
    </xf>
    <xf numFmtId="1" fontId="13" fillId="0" borderId="15" xfId="8" applyNumberFormat="1" applyFont="1" applyBorder="1" applyAlignment="1">
      <alignment horizontal="center" vertical="center"/>
    </xf>
    <xf numFmtId="0" fontId="13" fillId="0" borderId="24" xfId="8" applyFont="1" applyBorder="1" applyAlignment="1">
      <alignment horizontal="center" vertical="center"/>
    </xf>
    <xf numFmtId="1" fontId="13" fillId="0" borderId="28" xfId="8" applyNumberFormat="1" applyFont="1" applyBorder="1" applyAlignment="1">
      <alignment horizontal="center" vertical="center"/>
    </xf>
    <xf numFmtId="1" fontId="13" fillId="0" borderId="87" xfId="8" applyNumberFormat="1" applyFont="1" applyBorder="1" applyAlignment="1">
      <alignment horizontal="center" vertical="center"/>
    </xf>
    <xf numFmtId="1" fontId="13" fillId="0" borderId="19" xfId="8" applyNumberFormat="1" applyFont="1" applyBorder="1" applyAlignment="1">
      <alignment horizontal="center" vertical="center"/>
    </xf>
    <xf numFmtId="1" fontId="4" fillId="0" borderId="87" xfId="8" quotePrefix="1" applyNumberFormat="1" applyBorder="1" applyAlignment="1">
      <alignment horizontal="center" vertical="center"/>
    </xf>
    <xf numFmtId="9" fontId="4" fillId="0" borderId="16" xfId="3" applyFont="1" applyBorder="1" applyAlignment="1">
      <alignment horizontal="center" vertical="center"/>
    </xf>
    <xf numFmtId="1" fontId="4" fillId="0" borderId="0" xfId="8" applyNumberFormat="1" applyAlignment="1">
      <alignment vertical="center"/>
    </xf>
    <xf numFmtId="1" fontId="13" fillId="0" borderId="84" xfId="8" quotePrefix="1" applyNumberFormat="1" applyFont="1" applyBorder="1" applyAlignment="1">
      <alignment horizontal="center" vertical="center"/>
    </xf>
    <xf numFmtId="1" fontId="13" fillId="0" borderId="85" xfId="8" applyNumberFormat="1" applyFont="1" applyBorder="1" applyAlignment="1">
      <alignment horizontal="center" vertical="center"/>
    </xf>
    <xf numFmtId="1" fontId="13" fillId="0" borderId="84" xfId="8" applyNumberFormat="1" applyFont="1" applyBorder="1" applyAlignment="1">
      <alignment horizontal="center" vertical="center"/>
    </xf>
    <xf numFmtId="1" fontId="13" fillId="0" borderId="56" xfId="8" applyNumberFormat="1" applyFont="1" applyBorder="1" applyAlignment="1">
      <alignment horizontal="center" vertical="center"/>
    </xf>
    <xf numFmtId="1" fontId="13" fillId="0" borderId="83" xfId="8" applyNumberFormat="1" applyFont="1" applyBorder="1" applyAlignment="1">
      <alignment horizontal="center" vertical="center"/>
    </xf>
    <xf numFmtId="9" fontId="13" fillId="0" borderId="12" xfId="3" quotePrefix="1" applyFont="1" applyBorder="1" applyAlignment="1">
      <alignment horizontal="center" vertical="center"/>
    </xf>
    <xf numFmtId="165" fontId="13" fillId="0" borderId="28" xfId="9" applyNumberFormat="1" applyFont="1" applyBorder="1" applyAlignment="1">
      <alignment horizontal="center" vertical="center"/>
    </xf>
    <xf numFmtId="165" fontId="13" fillId="0" borderId="33" xfId="9" applyNumberFormat="1" applyFont="1" applyBorder="1" applyAlignment="1">
      <alignment horizontal="center" vertical="center"/>
    </xf>
    <xf numFmtId="0" fontId="11" fillId="0" borderId="23" xfId="8" applyFont="1" applyBorder="1" applyAlignment="1">
      <alignment horizontal="center" vertical="center"/>
    </xf>
    <xf numFmtId="0" fontId="11" fillId="0" borderId="94" xfId="8" applyFont="1" applyBorder="1" applyAlignment="1">
      <alignment horizontal="center" vertical="center"/>
    </xf>
    <xf numFmtId="167" fontId="13" fillId="0" borderId="98" xfId="3" quotePrefix="1" applyNumberFormat="1" applyFont="1" applyBorder="1" applyAlignment="1">
      <alignment horizontal="center" vertical="center"/>
    </xf>
    <xf numFmtId="9" fontId="13" fillId="0" borderId="58" xfId="3" quotePrefix="1" applyFont="1" applyBorder="1" applyAlignment="1">
      <alignment horizontal="center" vertical="center"/>
    </xf>
    <xf numFmtId="9" fontId="13" fillId="0" borderId="31" xfId="3" quotePrefix="1" applyFont="1" applyBorder="1" applyAlignment="1">
      <alignment horizontal="center" vertical="center"/>
    </xf>
    <xf numFmtId="0" fontId="11" fillId="0" borderId="29" xfId="8" applyFont="1" applyBorder="1" applyAlignment="1">
      <alignment horizontal="center" vertical="center" wrapText="1"/>
    </xf>
    <xf numFmtId="1" fontId="13" fillId="0" borderId="57" xfId="8" applyNumberFormat="1" applyFont="1" applyBorder="1" applyAlignment="1">
      <alignment horizontal="center" vertical="center"/>
    </xf>
    <xf numFmtId="1" fontId="13" fillId="0" borderId="12" xfId="8" applyNumberFormat="1" applyFont="1" applyBorder="1" applyAlignment="1">
      <alignment horizontal="center" vertical="center"/>
    </xf>
    <xf numFmtId="1" fontId="13" fillId="0" borderId="51" xfId="8" applyNumberFormat="1" applyFont="1" applyBorder="1" applyAlignment="1">
      <alignment horizontal="center" vertical="center"/>
    </xf>
    <xf numFmtId="1" fontId="13" fillId="0" borderId="14" xfId="8" applyNumberFormat="1" applyFont="1" applyBorder="1" applyAlignment="1">
      <alignment horizontal="center" vertical="center"/>
    </xf>
    <xf numFmtId="0" fontId="13" fillId="0" borderId="72" xfId="8" applyFont="1" applyBorder="1" applyAlignment="1">
      <alignment horizontal="center" vertical="center"/>
    </xf>
    <xf numFmtId="9" fontId="4" fillId="0" borderId="0" xfId="3" applyFont="1" applyAlignment="1">
      <alignment horizontal="center" vertical="center"/>
    </xf>
    <xf numFmtId="0" fontId="5" fillId="0" borderId="0" xfId="8" applyFont="1" applyFill="1" applyAlignment="1">
      <alignment vertical="center"/>
    </xf>
    <xf numFmtId="1" fontId="13" fillId="0" borderId="19" xfId="8" quotePrefix="1" applyNumberFormat="1" applyFont="1" applyBorder="1" applyAlignment="1">
      <alignment horizontal="center" vertical="center"/>
    </xf>
    <xf numFmtId="0" fontId="13" fillId="0" borderId="16" xfId="8" quotePrefix="1" applyFont="1" applyBorder="1" applyAlignment="1">
      <alignment horizontal="center" vertical="center"/>
    </xf>
    <xf numFmtId="1" fontId="13" fillId="0" borderId="24" xfId="8" applyNumberFormat="1" applyFont="1" applyBorder="1" applyAlignment="1">
      <alignment horizontal="center" vertical="center"/>
    </xf>
    <xf numFmtId="1" fontId="13" fillId="0" borderId="18" xfId="8" applyNumberFormat="1" applyFont="1" applyBorder="1" applyAlignment="1">
      <alignment horizontal="center" vertical="center"/>
    </xf>
    <xf numFmtId="9" fontId="13" fillId="0" borderId="16" xfId="3" quotePrefix="1" applyFont="1" applyBorder="1" applyAlignment="1">
      <alignment horizontal="center" vertical="center"/>
    </xf>
    <xf numFmtId="0" fontId="4" fillId="0" borderId="0" xfId="8" applyBorder="1" applyAlignment="1">
      <alignment vertical="center"/>
    </xf>
    <xf numFmtId="0" fontId="4" fillId="0" borderId="87" xfId="8" applyBorder="1" applyAlignment="1">
      <alignment vertical="center"/>
    </xf>
    <xf numFmtId="0" fontId="4" fillId="0" borderId="0" xfId="8" applyBorder="1" applyAlignment="1">
      <alignment vertical="center" wrapText="1"/>
    </xf>
    <xf numFmtId="0" fontId="14" fillId="0" borderId="0" xfId="8" quotePrefix="1" applyFont="1" applyAlignment="1">
      <alignment vertical="center"/>
    </xf>
    <xf numFmtId="9" fontId="13" fillId="4" borderId="12" xfId="3" applyFont="1" applyFill="1" applyBorder="1" applyAlignment="1">
      <alignment horizontal="center" vertical="center"/>
    </xf>
    <xf numFmtId="0" fontId="14" fillId="0" borderId="0" xfId="8" applyFont="1" applyBorder="1" applyAlignment="1">
      <alignment vertical="center" wrapText="1"/>
    </xf>
    <xf numFmtId="1" fontId="13" fillId="0" borderId="12" xfId="8" applyNumberFormat="1" applyFont="1" applyFill="1" applyBorder="1" applyAlignment="1">
      <alignment horizontal="center" vertical="center"/>
    </xf>
    <xf numFmtId="9" fontId="13" fillId="4" borderId="31" xfId="3" applyFont="1" applyFill="1" applyBorder="1" applyAlignment="1">
      <alignment horizontal="center" vertical="center"/>
    </xf>
    <xf numFmtId="9" fontId="13" fillId="9" borderId="12" xfId="3" applyFont="1" applyFill="1" applyBorder="1" applyAlignment="1">
      <alignment horizontal="center" vertical="center"/>
    </xf>
    <xf numFmtId="9" fontId="4" fillId="0" borderId="0" xfId="3" applyFont="1" applyAlignment="1">
      <alignment vertical="center"/>
    </xf>
    <xf numFmtId="0" fontId="14" fillId="9" borderId="0" xfId="8" applyFont="1" applyFill="1" applyAlignment="1">
      <alignment vertical="center"/>
    </xf>
    <xf numFmtId="165" fontId="13" fillId="0" borderId="8" xfId="0" applyNumberFormat="1" applyFont="1" applyBorder="1" applyAlignment="1">
      <alignment horizontal="center" vertical="center"/>
    </xf>
    <xf numFmtId="165" fontId="13" fillId="0" borderId="12" xfId="0" applyNumberFormat="1" applyFont="1" applyBorder="1" applyAlignment="1">
      <alignment horizontal="center" vertical="center"/>
    </xf>
    <xf numFmtId="1" fontId="13" fillId="0" borderId="8" xfId="0" applyNumberFormat="1" applyFont="1" applyBorder="1" applyAlignment="1">
      <alignment horizontal="center" vertical="center"/>
    </xf>
    <xf numFmtId="1" fontId="13" fillId="0" borderId="33" xfId="0" applyNumberFormat="1" applyFont="1" applyBorder="1" applyAlignment="1">
      <alignment horizontal="center" vertical="center"/>
    </xf>
    <xf numFmtId="1" fontId="13" fillId="0" borderId="30" xfId="0" applyNumberFormat="1" applyFont="1" applyBorder="1" applyAlignment="1">
      <alignment horizontal="center" vertical="center"/>
    </xf>
    <xf numFmtId="1" fontId="13" fillId="0" borderId="56" xfId="0" applyNumberFormat="1" applyFont="1" applyBorder="1" applyAlignment="1">
      <alignment horizontal="center" vertical="center"/>
    </xf>
    <xf numFmtId="0" fontId="11" fillId="0" borderId="36" xfId="8" applyFont="1" applyBorder="1" applyAlignment="1">
      <alignment horizontal="center" vertical="center"/>
    </xf>
    <xf numFmtId="0" fontId="13" fillId="0" borderId="26" xfId="8" applyFont="1" applyBorder="1" applyAlignment="1">
      <alignment vertical="center"/>
    </xf>
    <xf numFmtId="9" fontId="13" fillId="0" borderId="72" xfId="9" applyFont="1" applyBorder="1" applyAlignment="1">
      <alignment horizontal="center" vertical="center"/>
    </xf>
    <xf numFmtId="1" fontId="13" fillId="0" borderId="34" xfId="0" applyNumberFormat="1" applyFont="1" applyBorder="1" applyAlignment="1">
      <alignment horizontal="center" vertical="center"/>
    </xf>
    <xf numFmtId="9" fontId="13" fillId="0" borderId="97" xfId="9" applyFont="1" applyBorder="1" applyAlignment="1">
      <alignment horizontal="center" vertical="center"/>
    </xf>
    <xf numFmtId="9" fontId="13" fillId="0" borderId="44" xfId="9" applyFont="1" applyBorder="1" applyAlignment="1">
      <alignment horizontal="center" vertical="center"/>
    </xf>
    <xf numFmtId="9" fontId="13" fillId="0" borderId="40" xfId="9" applyFont="1" applyBorder="1" applyAlignment="1">
      <alignment horizontal="center" vertical="center"/>
    </xf>
    <xf numFmtId="2" fontId="13" fillId="0" borderId="8" xfId="0" applyNumberFormat="1" applyFont="1" applyBorder="1" applyAlignment="1">
      <alignment horizontal="center" vertical="center"/>
    </xf>
    <xf numFmtId="0" fontId="13" fillId="0" borderId="72" xfId="8" applyFont="1" applyBorder="1" applyAlignment="1">
      <alignment vertical="center"/>
    </xf>
    <xf numFmtId="1" fontId="13" fillId="0" borderId="12" xfId="0" applyNumberFormat="1" applyFont="1" applyBorder="1" applyAlignment="1">
      <alignment horizontal="center" vertical="center"/>
    </xf>
    <xf numFmtId="0" fontId="13" fillId="0" borderId="87" xfId="8" applyFont="1" applyBorder="1" applyAlignment="1">
      <alignment vertical="center"/>
    </xf>
    <xf numFmtId="1" fontId="13" fillId="0" borderId="57" xfId="0" applyNumberFormat="1" applyFont="1" applyBorder="1" applyAlignment="1">
      <alignment horizontal="center" vertical="center"/>
    </xf>
    <xf numFmtId="0" fontId="13" fillId="0" borderId="44" xfId="8" applyFont="1" applyBorder="1" applyAlignment="1">
      <alignment vertical="center"/>
    </xf>
    <xf numFmtId="0" fontId="4" fillId="8" borderId="0" xfId="8" applyFill="1" applyAlignment="1">
      <alignment vertical="center"/>
    </xf>
    <xf numFmtId="0" fontId="13" fillId="0" borderId="87" xfId="8" applyFont="1" applyBorder="1" applyAlignment="1">
      <alignment horizontal="center" vertical="center"/>
    </xf>
    <xf numFmtId="0" fontId="13" fillId="8" borderId="12" xfId="8" quotePrefix="1" applyFont="1" applyFill="1" applyBorder="1" applyAlignment="1">
      <alignment horizontal="center" vertical="center"/>
    </xf>
    <xf numFmtId="2" fontId="13" fillId="8" borderId="34" xfId="8" applyNumberFormat="1" applyFont="1" applyFill="1" applyBorder="1" applyAlignment="1">
      <alignment horizontal="center" vertical="center"/>
    </xf>
    <xf numFmtId="0" fontId="14" fillId="0" borderId="0" xfId="8" applyFont="1" applyFill="1" applyAlignment="1">
      <alignment vertical="center"/>
    </xf>
    <xf numFmtId="165" fontId="13" fillId="9" borderId="51" xfId="8" applyNumberFormat="1" applyFont="1" applyFill="1" applyBorder="1" applyAlignment="1">
      <alignment horizontal="center" vertical="center"/>
    </xf>
    <xf numFmtId="0" fontId="4" fillId="9" borderId="0" xfId="8" applyFill="1" applyAlignment="1">
      <alignment vertical="center"/>
    </xf>
    <xf numFmtId="9" fontId="3" fillId="0" borderId="0" xfId="6" applyNumberFormat="1" applyAlignment="1">
      <alignment vertical="center"/>
    </xf>
    <xf numFmtId="1" fontId="4" fillId="0" borderId="0" xfId="3" applyNumberFormat="1" applyFont="1" applyAlignment="1">
      <alignment vertical="center"/>
    </xf>
    <xf numFmtId="2" fontId="13" fillId="0" borderId="8" xfId="8" quotePrefix="1" applyNumberFormat="1" applyFont="1" applyBorder="1" applyAlignment="1">
      <alignment horizontal="center" vertical="center"/>
    </xf>
    <xf numFmtId="167" fontId="0" fillId="0" borderId="10" xfId="0" applyNumberFormat="1" applyBorder="1" applyAlignment="1">
      <alignment horizontal="center" vertical="center"/>
    </xf>
    <xf numFmtId="167" fontId="0" fillId="0" borderId="18" xfId="0" applyNumberFormat="1" applyBorder="1" applyAlignment="1">
      <alignment horizontal="center" vertical="center"/>
    </xf>
    <xf numFmtId="165" fontId="3" fillId="0" borderId="14" xfId="6" applyNumberFormat="1" applyBorder="1" applyAlignment="1">
      <alignment horizontal="center" vertical="center"/>
    </xf>
    <xf numFmtId="165" fontId="3" fillId="0" borderId="70" xfId="6" applyNumberFormat="1" applyBorder="1" applyAlignment="1">
      <alignment horizontal="center" vertical="center"/>
    </xf>
    <xf numFmtId="165" fontId="3" fillId="0" borderId="15" xfId="6" applyNumberFormat="1" applyBorder="1" applyAlignment="1">
      <alignment horizontal="center" vertical="center"/>
    </xf>
    <xf numFmtId="165" fontId="3" fillId="0" borderId="18" xfId="6" applyNumberFormat="1" applyBorder="1" applyAlignment="1">
      <alignment horizontal="center" vertical="center"/>
    </xf>
    <xf numFmtId="0" fontId="0" fillId="0" borderId="0" xfId="0" applyBorder="1" applyAlignment="1">
      <alignment vertical="center" wrapText="1"/>
    </xf>
    <xf numFmtId="0" fontId="3" fillId="0" borderId="0" xfId="6" applyBorder="1" applyAlignment="1">
      <alignment vertical="center"/>
    </xf>
    <xf numFmtId="44" fontId="0" fillId="0" borderId="0" xfId="2" applyFont="1"/>
    <xf numFmtId="0" fontId="0" fillId="0" borderId="0" xfId="0" quotePrefix="1" applyAlignment="1">
      <alignment horizontal="center" vertical="center"/>
    </xf>
    <xf numFmtId="169" fontId="0" fillId="0" borderId="0" xfId="2" applyNumberFormat="1" applyFont="1" applyAlignment="1">
      <alignment horizontal="right"/>
    </xf>
    <xf numFmtId="1" fontId="5" fillId="0" borderId="71" xfId="1" applyNumberFormat="1" applyFont="1" applyFill="1" applyBorder="1" applyAlignment="1">
      <alignment horizontal="center" vertical="center"/>
    </xf>
    <xf numFmtId="49" fontId="5" fillId="0" borderId="0" xfId="0" applyNumberFormat="1" applyFont="1" applyBorder="1" applyAlignment="1"/>
    <xf numFmtId="1" fontId="5" fillId="0" borderId="0" xfId="1" applyNumberFormat="1" applyFont="1" applyFill="1" applyBorder="1" applyAlignment="1">
      <alignment horizontal="center"/>
    </xf>
    <xf numFmtId="8" fontId="0" fillId="0" borderId="18" xfId="0" applyNumberFormat="1" applyFill="1" applyBorder="1" applyAlignment="1">
      <alignment horizontal="center" vertical="center"/>
    </xf>
    <xf numFmtId="8" fontId="0" fillId="0" borderId="67" xfId="0" applyNumberFormat="1" applyFill="1" applyBorder="1" applyAlignment="1">
      <alignment horizontal="center" vertical="center"/>
    </xf>
    <xf numFmtId="49" fontId="0" fillId="0" borderId="16" xfId="0" applyNumberFormat="1" applyBorder="1" applyAlignment="1">
      <alignment horizontal="center"/>
    </xf>
    <xf numFmtId="8" fontId="0" fillId="0" borderId="24" xfId="0" applyNumberFormat="1" applyFill="1" applyBorder="1" applyAlignment="1">
      <alignment horizontal="center" vertical="center"/>
    </xf>
    <xf numFmtId="0" fontId="0" fillId="0" borderId="3" xfId="0" applyBorder="1" applyAlignment="1">
      <alignment horizontal="center" vertical="center"/>
    </xf>
    <xf numFmtId="0" fontId="2" fillId="0" borderId="8" xfId="0" applyFont="1" applyBorder="1" applyAlignment="1">
      <alignment horizontal="left"/>
    </xf>
    <xf numFmtId="49" fontId="2" fillId="0" borderId="16" xfId="0" applyNumberFormat="1" applyFont="1" applyBorder="1" applyAlignment="1">
      <alignment horizontal="left"/>
    </xf>
    <xf numFmtId="165" fontId="13" fillId="9" borderId="8" xfId="9" applyNumberFormat="1" applyFont="1" applyFill="1" applyBorder="1" applyAlignment="1">
      <alignment horizontal="center" vertical="center"/>
    </xf>
    <xf numFmtId="0" fontId="2" fillId="4" borderId="42" xfId="6" applyFont="1" applyFill="1" applyBorder="1" applyAlignment="1">
      <alignment horizontal="center" vertical="center" wrapText="1"/>
    </xf>
    <xf numFmtId="164" fontId="7" fillId="0" borderId="4" xfId="4" applyFont="1" applyBorder="1" applyAlignment="1">
      <alignment horizontal="center" vertical="center"/>
    </xf>
    <xf numFmtId="165" fontId="13" fillId="0" borderId="8" xfId="0" applyNumberFormat="1" applyFont="1" applyBorder="1" applyAlignment="1">
      <alignment horizontal="center" vertical="center"/>
    </xf>
    <xf numFmtId="1" fontId="13" fillId="0" borderId="8" xfId="0" applyNumberFormat="1" applyFont="1" applyBorder="1" applyAlignment="1">
      <alignment horizontal="center" vertical="center"/>
    </xf>
    <xf numFmtId="1" fontId="13" fillId="0" borderId="57" xfId="8" applyNumberFormat="1" applyFont="1" applyBorder="1" applyAlignment="1">
      <alignment horizontal="center" vertical="center"/>
    </xf>
    <xf numFmtId="0" fontId="13" fillId="0" borderId="83" xfId="8" applyFont="1" applyBorder="1" applyAlignment="1">
      <alignment horizontal="center" vertical="center"/>
    </xf>
    <xf numFmtId="0" fontId="13" fillId="0" borderId="67" xfId="8" applyFont="1" applyBorder="1" applyAlignment="1">
      <alignment horizontal="center" vertical="center"/>
    </xf>
    <xf numFmtId="1" fontId="13" fillId="0" borderId="82" xfId="8" applyNumberFormat="1" applyFont="1" applyBorder="1" applyAlignment="1">
      <alignment horizontal="center" vertical="center"/>
    </xf>
    <xf numFmtId="1" fontId="13" fillId="0" borderId="83" xfId="8" applyNumberFormat="1" applyFont="1" applyBorder="1" applyAlignment="1">
      <alignment horizontal="center" vertical="center"/>
    </xf>
    <xf numFmtId="1" fontId="13" fillId="0" borderId="85" xfId="8" applyNumberFormat="1" applyFont="1" applyBorder="1" applyAlignment="1">
      <alignment horizontal="center" vertical="center"/>
    </xf>
    <xf numFmtId="1" fontId="13" fillId="0" borderId="84" xfId="8" applyNumberFormat="1" applyFont="1" applyBorder="1" applyAlignment="1">
      <alignment horizontal="center" vertical="center"/>
    </xf>
    <xf numFmtId="165" fontId="13" fillId="0" borderId="8" xfId="9" applyNumberFormat="1" applyFont="1" applyBorder="1" applyAlignment="1">
      <alignment horizontal="center" vertical="center"/>
    </xf>
    <xf numFmtId="0" fontId="11" fillId="0" borderId="77" xfId="8" applyFont="1" applyBorder="1" applyAlignment="1">
      <alignment horizontal="center" vertical="center"/>
    </xf>
    <xf numFmtId="165" fontId="13" fillId="0" borderId="51" xfId="8" applyNumberFormat="1" applyFont="1" applyBorder="1" applyAlignment="1">
      <alignment horizontal="center" vertical="center"/>
    </xf>
    <xf numFmtId="1" fontId="13" fillId="0" borderId="84" xfId="8" quotePrefix="1" applyNumberFormat="1" applyFont="1" applyBorder="1" applyAlignment="1">
      <alignment horizontal="center" vertical="center"/>
    </xf>
    <xf numFmtId="0" fontId="11" fillId="0" borderId="42" xfId="8" applyFont="1" applyBorder="1" applyAlignment="1">
      <alignment horizontal="center" vertical="center"/>
    </xf>
    <xf numFmtId="165" fontId="13" fillId="0" borderId="14" xfId="8" applyNumberFormat="1" applyFont="1" applyBorder="1" applyAlignment="1">
      <alignment horizontal="center" vertical="center"/>
    </xf>
    <xf numFmtId="9" fontId="13" fillId="0" borderId="68" xfId="9" applyFont="1" applyBorder="1" applyAlignment="1">
      <alignment horizontal="center" vertical="center"/>
    </xf>
    <xf numFmtId="1" fontId="13" fillId="0" borderId="56" xfId="8" applyNumberFormat="1" applyFont="1" applyBorder="1" applyAlignment="1">
      <alignment horizontal="center" vertical="center"/>
    </xf>
    <xf numFmtId="0" fontId="11" fillId="0" borderId="78" xfId="8" applyFont="1" applyBorder="1" applyAlignment="1">
      <alignment horizontal="center" vertical="center"/>
    </xf>
    <xf numFmtId="9" fontId="13" fillId="0" borderId="57" xfId="3" quotePrefix="1" applyFont="1" applyBorder="1" applyAlignment="1">
      <alignment horizontal="center" vertical="center"/>
    </xf>
    <xf numFmtId="2" fontId="13" fillId="0" borderId="34" xfId="8" applyNumberFormat="1" applyFont="1" applyBorder="1" applyAlignment="1">
      <alignment horizontal="center" vertical="center"/>
    </xf>
    <xf numFmtId="165" fontId="13" fillId="0" borderId="10" xfId="8" applyNumberFormat="1" applyFont="1" applyBorder="1" applyAlignment="1">
      <alignment horizontal="center" vertical="center"/>
    </xf>
    <xf numFmtId="0" fontId="14" fillId="0" borderId="0" xfId="8" applyFont="1" applyFill="1" applyBorder="1" applyAlignment="1">
      <alignment horizontal="left" vertical="center"/>
    </xf>
    <xf numFmtId="165" fontId="13" fillId="0" borderId="59" xfId="0" applyNumberFormat="1" applyFont="1" applyBorder="1" applyAlignment="1">
      <alignment horizontal="center" vertical="center"/>
    </xf>
    <xf numFmtId="165" fontId="13" fillId="0" borderId="51" xfId="9" applyNumberFormat="1" applyFont="1" applyBorder="1" applyAlignment="1">
      <alignment horizontal="center" vertical="center"/>
    </xf>
    <xf numFmtId="165" fontId="13" fillId="0" borderId="13" xfId="8" applyNumberFormat="1" applyFont="1" applyBorder="1" applyAlignment="1">
      <alignment horizontal="center" vertical="center"/>
    </xf>
    <xf numFmtId="165" fontId="13" fillId="0" borderId="67" xfId="9" applyNumberFormat="1" applyFont="1" applyBorder="1" applyAlignment="1">
      <alignment horizontal="center" vertical="center"/>
    </xf>
    <xf numFmtId="165" fontId="13" fillId="0" borderId="67" xfId="9" applyNumberFormat="1" applyFont="1" applyFill="1" applyBorder="1" applyAlignment="1">
      <alignment horizontal="center" vertical="center"/>
    </xf>
    <xf numFmtId="165" fontId="13" fillId="0" borderId="24" xfId="9" applyNumberFormat="1" applyFont="1" applyBorder="1" applyAlignment="1">
      <alignment horizontal="center" vertical="center"/>
    </xf>
    <xf numFmtId="2" fontId="4" fillId="0" borderId="18" xfId="8" applyNumberFormat="1" applyBorder="1" applyAlignment="1">
      <alignment horizontal="center" vertical="center"/>
    </xf>
    <xf numFmtId="2" fontId="4" fillId="0" borderId="17" xfId="8" applyNumberFormat="1" applyBorder="1" applyAlignment="1">
      <alignment horizontal="center" vertical="center"/>
    </xf>
    <xf numFmtId="165" fontId="13" fillId="0" borderId="10" xfId="9" applyNumberFormat="1" applyFont="1" applyBorder="1" applyAlignment="1">
      <alignment horizontal="center" vertical="center"/>
    </xf>
    <xf numFmtId="165" fontId="13" fillId="0" borderId="34" xfId="9" applyNumberFormat="1" applyFont="1" applyBorder="1" applyAlignment="1">
      <alignment horizontal="center" vertical="center"/>
    </xf>
    <xf numFmtId="1" fontId="13" fillId="0" borderId="47" xfId="0" applyNumberFormat="1" applyFont="1" applyBorder="1" applyAlignment="1">
      <alignment horizontal="center" vertical="center"/>
    </xf>
    <xf numFmtId="165" fontId="13" fillId="0" borderId="47" xfId="9" applyNumberFormat="1" applyFont="1" applyBorder="1" applyAlignment="1">
      <alignment horizontal="center" vertical="center"/>
    </xf>
    <xf numFmtId="2" fontId="13" fillId="0" borderId="0" xfId="8" quotePrefix="1" applyNumberFormat="1" applyFont="1" applyBorder="1" applyAlignment="1">
      <alignment horizontal="center" vertical="center"/>
    </xf>
    <xf numFmtId="9" fontId="13" fillId="0" borderId="73" xfId="9" quotePrefix="1" applyFont="1" applyBorder="1" applyAlignment="1">
      <alignment horizontal="center" vertical="center"/>
    </xf>
    <xf numFmtId="165" fontId="13" fillId="0" borderId="103" xfId="9" applyNumberFormat="1" applyFont="1" applyBorder="1" applyAlignment="1">
      <alignment horizontal="center" vertical="center"/>
    </xf>
    <xf numFmtId="165" fontId="13" fillId="0" borderId="14" xfId="9" applyNumberFormat="1" applyFont="1" applyBorder="1" applyAlignment="1">
      <alignment horizontal="center" vertical="center"/>
    </xf>
    <xf numFmtId="1" fontId="13" fillId="0" borderId="0" xfId="8" applyNumberFormat="1" applyFont="1" applyAlignment="1">
      <alignment horizontal="center" vertical="center"/>
    </xf>
    <xf numFmtId="0" fontId="14" fillId="0" borderId="0" xfId="8" applyFont="1" applyAlignment="1">
      <alignment horizontal="center" vertical="center"/>
    </xf>
    <xf numFmtId="165" fontId="13" fillId="0" borderId="34" xfId="0" applyNumberFormat="1" applyFont="1" applyBorder="1" applyAlignment="1">
      <alignment horizontal="center" vertical="center"/>
    </xf>
    <xf numFmtId="165" fontId="13" fillId="0" borderId="72" xfId="0" applyNumberFormat="1" applyFont="1" applyBorder="1" applyAlignment="1">
      <alignment horizontal="center" vertical="center"/>
    </xf>
    <xf numFmtId="165" fontId="13" fillId="0" borderId="104" xfId="0" applyNumberFormat="1" applyFont="1" applyBorder="1" applyAlignment="1">
      <alignment horizontal="center" vertical="center"/>
    </xf>
    <xf numFmtId="165" fontId="13" fillId="0" borderId="105" xfId="0" applyNumberFormat="1" applyFont="1" applyBorder="1" applyAlignment="1">
      <alignment horizontal="center" vertical="center"/>
    </xf>
    <xf numFmtId="165" fontId="13" fillId="0" borderId="69" xfId="9" applyNumberFormat="1" applyFont="1" applyBorder="1" applyAlignment="1">
      <alignment horizontal="center" vertical="center"/>
    </xf>
    <xf numFmtId="165" fontId="13" fillId="0" borderId="58" xfId="0" applyNumberFormat="1" applyFont="1" applyBorder="1" applyAlignment="1">
      <alignment horizontal="center" vertical="center"/>
    </xf>
    <xf numFmtId="165" fontId="13" fillId="0" borderId="67" xfId="0" applyNumberFormat="1" applyFont="1" applyBorder="1" applyAlignment="1">
      <alignment horizontal="center" vertical="center"/>
    </xf>
    <xf numFmtId="0" fontId="13" fillId="0" borderId="104" xfId="8" applyFont="1" applyBorder="1" applyAlignment="1">
      <alignment vertical="center"/>
    </xf>
    <xf numFmtId="165" fontId="13" fillId="0" borderId="103" xfId="0" applyNumberFormat="1" applyFont="1" applyBorder="1" applyAlignment="1">
      <alignment horizontal="center" vertical="center"/>
    </xf>
    <xf numFmtId="165" fontId="13" fillId="0" borderId="10" xfId="0" applyNumberFormat="1" applyFont="1" applyBorder="1" applyAlignment="1">
      <alignment horizontal="center" vertical="center"/>
    </xf>
    <xf numFmtId="165" fontId="13" fillId="0" borderId="85" xfId="0" applyNumberFormat="1" applyFont="1" applyBorder="1" applyAlignment="1">
      <alignment horizontal="center" vertical="center"/>
    </xf>
    <xf numFmtId="0" fontId="13" fillId="0" borderId="105" xfId="8" applyFont="1" applyBorder="1" applyAlignment="1">
      <alignment vertical="center"/>
    </xf>
    <xf numFmtId="165" fontId="13" fillId="0" borderId="31" xfId="9" applyNumberFormat="1" applyFont="1" applyBorder="1" applyAlignment="1">
      <alignment horizontal="center" vertical="center"/>
    </xf>
    <xf numFmtId="165" fontId="13" fillId="0" borderId="71" xfId="9" applyNumberFormat="1" applyFont="1" applyBorder="1" applyAlignment="1">
      <alignment horizontal="center" vertical="center"/>
    </xf>
    <xf numFmtId="0" fontId="11" fillId="0" borderId="108" xfId="8" applyFont="1" applyBorder="1" applyAlignment="1">
      <alignment horizontal="center" vertical="center" wrapText="1"/>
    </xf>
    <xf numFmtId="0" fontId="11" fillId="0" borderId="109" xfId="8" applyFont="1" applyBorder="1" applyAlignment="1">
      <alignment horizontal="center" vertical="center"/>
    </xf>
    <xf numFmtId="0" fontId="13" fillId="0" borderId="104" xfId="8" applyFont="1" applyBorder="1" applyAlignment="1">
      <alignment horizontal="center" vertical="center"/>
    </xf>
    <xf numFmtId="0" fontId="13" fillId="0" borderId="105" xfId="8" applyFont="1" applyBorder="1" applyAlignment="1">
      <alignment horizontal="center" vertical="center"/>
    </xf>
    <xf numFmtId="0" fontId="4" fillId="0" borderId="0" xfId="8" applyFill="1" applyAlignment="1">
      <alignment vertical="center"/>
    </xf>
    <xf numFmtId="2" fontId="11" fillId="0" borderId="0" xfId="8" applyNumberFormat="1" applyFont="1" applyFill="1" applyBorder="1" applyAlignment="1">
      <alignment horizontal="center" vertical="center"/>
    </xf>
    <xf numFmtId="165" fontId="13" fillId="0" borderId="103" xfId="9" applyNumberFormat="1" applyFont="1" applyFill="1" applyBorder="1" applyAlignment="1">
      <alignment horizontal="center" vertical="center"/>
    </xf>
    <xf numFmtId="165" fontId="13" fillId="0" borderId="34" xfId="9" applyNumberFormat="1" applyFont="1" applyFill="1" applyBorder="1" applyAlignment="1">
      <alignment horizontal="center" vertical="center"/>
    </xf>
    <xf numFmtId="165" fontId="13" fillId="0" borderId="10" xfId="9" applyNumberFormat="1" applyFont="1" applyFill="1" applyBorder="1" applyAlignment="1">
      <alignment horizontal="center" vertical="center"/>
    </xf>
    <xf numFmtId="165" fontId="13" fillId="0" borderId="51" xfId="9" applyNumberFormat="1" applyFont="1" applyFill="1" applyBorder="1" applyAlignment="1">
      <alignment horizontal="center" vertical="center"/>
    </xf>
    <xf numFmtId="165" fontId="13" fillId="0" borderId="14" xfId="9" applyNumberFormat="1" applyFont="1" applyFill="1" applyBorder="1" applyAlignment="1">
      <alignment horizontal="center" vertical="center"/>
    </xf>
    <xf numFmtId="165" fontId="13" fillId="0" borderId="31" xfId="9" applyNumberFormat="1" applyFont="1" applyFill="1" applyBorder="1" applyAlignment="1">
      <alignment horizontal="center" vertical="center"/>
    </xf>
    <xf numFmtId="0" fontId="13" fillId="0" borderId="104" xfId="8" applyFont="1" applyFill="1" applyBorder="1" applyAlignment="1">
      <alignment horizontal="center" vertical="center"/>
    </xf>
    <xf numFmtId="0" fontId="13" fillId="0" borderId="105" xfId="8" applyFont="1" applyFill="1" applyBorder="1" applyAlignment="1">
      <alignment horizontal="center" vertical="center"/>
    </xf>
    <xf numFmtId="0" fontId="13" fillId="0" borderId="72" xfId="8" applyFont="1" applyFill="1" applyBorder="1" applyAlignment="1">
      <alignment horizontal="center" vertical="center"/>
    </xf>
    <xf numFmtId="0" fontId="11" fillId="0" borderId="44" xfId="8" applyFont="1" applyBorder="1" applyAlignment="1">
      <alignment horizontal="center" vertical="center"/>
    </xf>
    <xf numFmtId="1" fontId="13" fillId="0" borderId="0" xfId="9" applyNumberFormat="1" applyFont="1" applyBorder="1" applyAlignment="1">
      <alignment horizontal="center" vertical="center"/>
    </xf>
    <xf numFmtId="9" fontId="13" fillId="0" borderId="0" xfId="3" applyFont="1" applyAlignment="1">
      <alignment horizontal="center" vertical="center"/>
    </xf>
    <xf numFmtId="165" fontId="13" fillId="0" borderId="8" xfId="9" applyNumberFormat="1" applyFont="1" applyBorder="1" applyAlignment="1">
      <alignment horizontal="center" vertical="center"/>
    </xf>
    <xf numFmtId="0" fontId="3" fillId="0" borderId="0" xfId="6" applyBorder="1" applyAlignment="1">
      <alignment horizontal="center" vertical="center"/>
    </xf>
    <xf numFmtId="0" fontId="3" fillId="0" borderId="0" xfId="6" applyAlignment="1">
      <alignment horizontal="center" vertical="center" wrapText="1"/>
    </xf>
    <xf numFmtId="0" fontId="0" fillId="0" borderId="0" xfId="0" applyBorder="1" applyAlignment="1">
      <alignment horizontal="center" vertical="center" wrapText="1"/>
    </xf>
    <xf numFmtId="167" fontId="3" fillId="0" borderId="0" xfId="3" applyNumberFormat="1" applyAlignment="1">
      <alignment horizontal="center" vertical="center"/>
    </xf>
    <xf numFmtId="167" fontId="3" fillId="0" borderId="0" xfId="6" applyNumberFormat="1" applyAlignment="1">
      <alignment horizontal="center" vertical="center"/>
    </xf>
    <xf numFmtId="165" fontId="3" fillId="0" borderId="0" xfId="6" applyNumberFormat="1" applyAlignment="1">
      <alignment horizontal="center" vertical="center"/>
    </xf>
    <xf numFmtId="165" fontId="3" fillId="0" borderId="84" xfId="6" applyNumberFormat="1" applyBorder="1" applyAlignment="1">
      <alignment horizontal="center" vertical="center"/>
    </xf>
    <xf numFmtId="165" fontId="3" fillId="0" borderId="83" xfId="6" applyNumberFormat="1" applyBorder="1" applyAlignment="1">
      <alignment horizontal="center" vertical="center"/>
    </xf>
    <xf numFmtId="165" fontId="0" fillId="0" borderId="0" xfId="0" applyNumberFormat="1" applyFill="1" applyBorder="1" applyAlignment="1">
      <alignment horizontal="center" vertical="center"/>
    </xf>
    <xf numFmtId="0" fontId="2" fillId="0" borderId="4" xfId="0" applyFont="1" applyBorder="1" applyAlignment="1">
      <alignment horizontal="left"/>
    </xf>
    <xf numFmtId="170" fontId="0" fillId="0" borderId="0" xfId="0" applyNumberFormat="1" applyFill="1" applyAlignment="1">
      <alignment horizontal="center" vertical="center"/>
    </xf>
    <xf numFmtId="166" fontId="5" fillId="0" borderId="4" xfId="1" applyNumberFormat="1" applyFont="1" applyFill="1" applyBorder="1" applyAlignment="1">
      <alignment horizontal="center" vertical="center" wrapText="1"/>
    </xf>
    <xf numFmtId="2" fontId="0" fillId="10" borderId="38" xfId="0" quotePrefix="1" applyNumberFormat="1" applyFill="1" applyBorder="1" applyAlignment="1">
      <alignment horizontal="center" vertical="center"/>
    </xf>
    <xf numFmtId="8" fontId="0" fillId="0" borderId="10" xfId="0" applyNumberFormat="1" applyFill="1" applyBorder="1" applyAlignment="1">
      <alignment horizontal="center" vertical="center"/>
    </xf>
    <xf numFmtId="8" fontId="0" fillId="0" borderId="11" xfId="0" applyNumberFormat="1" applyFill="1" applyBorder="1" applyAlignment="1">
      <alignment horizontal="center" vertical="center"/>
    </xf>
    <xf numFmtId="49" fontId="0" fillId="0" borderId="16" xfId="0" applyNumberFormat="1" applyBorder="1" applyAlignment="1">
      <alignment horizontal="center" vertical="center"/>
    </xf>
    <xf numFmtId="8" fontId="0" fillId="0" borderId="19" xfId="0" applyNumberFormat="1" applyFill="1" applyBorder="1" applyAlignment="1">
      <alignment horizontal="center" vertical="center"/>
    </xf>
    <xf numFmtId="167" fontId="3" fillId="0" borderId="0" xfId="3" applyNumberFormat="1" applyFill="1" applyAlignment="1">
      <alignment horizontal="center" vertical="center"/>
    </xf>
    <xf numFmtId="165" fontId="3" fillId="0" borderId="0" xfId="6" applyNumberFormat="1" applyFill="1" applyAlignment="1">
      <alignment horizontal="center" vertical="center"/>
    </xf>
    <xf numFmtId="0" fontId="2" fillId="0" borderId="0" xfId="6" applyFont="1" applyAlignment="1">
      <alignment vertical="center"/>
    </xf>
    <xf numFmtId="0" fontId="1" fillId="0" borderId="0" xfId="10"/>
    <xf numFmtId="0" fontId="25" fillId="0" borderId="0" xfId="10" applyFont="1"/>
    <xf numFmtId="0" fontId="26" fillId="0" borderId="0" xfId="10" applyFont="1"/>
    <xf numFmtId="0" fontId="32" fillId="0" borderId="0" xfId="10" applyFont="1"/>
    <xf numFmtId="0" fontId="33" fillId="0" borderId="0" xfId="10" applyFont="1"/>
    <xf numFmtId="0" fontId="0" fillId="0" borderId="0" xfId="0" applyNumberFormat="1"/>
    <xf numFmtId="169" fontId="0" fillId="0" borderId="9" xfId="0" applyNumberFormat="1" applyBorder="1" applyAlignment="1">
      <alignment horizontal="center" vertical="center"/>
    </xf>
    <xf numFmtId="169" fontId="0" fillId="0" borderId="17" xfId="0" applyNumberFormat="1" applyBorder="1" applyAlignment="1">
      <alignment horizontal="center" vertical="center"/>
    </xf>
    <xf numFmtId="0" fontId="0" fillId="0" borderId="0" xfId="0" applyNumberFormat="1" applyAlignment="1">
      <alignment horizontal="center"/>
    </xf>
    <xf numFmtId="0" fontId="24" fillId="0" borderId="0" xfId="0" applyFont="1"/>
    <xf numFmtId="44" fontId="24" fillId="0" borderId="0" xfId="0" applyNumberFormat="1" applyFont="1"/>
    <xf numFmtId="6" fontId="24" fillId="0" borderId="0" xfId="0" applyNumberFormat="1" applyFont="1"/>
    <xf numFmtId="167" fontId="24" fillId="0" borderId="0" xfId="3" applyNumberFormat="1" applyFont="1"/>
    <xf numFmtId="165" fontId="5" fillId="0" borderId="0" xfId="1" applyNumberFormat="1" applyFont="1" applyFill="1" applyBorder="1" applyAlignment="1">
      <alignment horizontal="center"/>
    </xf>
    <xf numFmtId="169" fontId="0" fillId="0" borderId="0" xfId="2" applyNumberFormat="1" applyFont="1" applyFill="1" applyAlignment="1">
      <alignment horizontal="center" vertical="center"/>
    </xf>
    <xf numFmtId="166" fontId="5" fillId="0" borderId="2" xfId="1" applyNumberFormat="1" applyFont="1" applyFill="1" applyBorder="1" applyAlignment="1">
      <alignment horizontal="center" vertical="center" wrapText="1"/>
    </xf>
    <xf numFmtId="166" fontId="5" fillId="0" borderId="3" xfId="1" applyNumberFormat="1" applyFont="1" applyFill="1" applyBorder="1" applyAlignment="1">
      <alignment horizontal="center" vertical="center" wrapText="1"/>
    </xf>
    <xf numFmtId="0" fontId="3" fillId="0" borderId="0" xfId="6" applyFill="1" applyAlignment="1">
      <alignment horizontal="center" vertical="center"/>
    </xf>
    <xf numFmtId="1" fontId="5" fillId="11" borderId="31" xfId="1" applyNumberFormat="1" applyFont="1" applyFill="1" applyBorder="1" applyAlignment="1">
      <alignment horizontal="center"/>
    </xf>
    <xf numFmtId="1" fontId="5" fillId="11" borderId="12" xfId="0" applyNumberFormat="1" applyFont="1" applyFill="1" applyBorder="1" applyAlignment="1">
      <alignment horizontal="center" vertical="center"/>
    </xf>
    <xf numFmtId="1" fontId="35" fillId="11" borderId="44" xfId="0" applyNumberFormat="1" applyFont="1" applyFill="1" applyBorder="1" applyAlignment="1">
      <alignment horizontal="center" vertical="center"/>
    </xf>
    <xf numFmtId="1" fontId="5" fillId="11" borderId="26" xfId="1" applyNumberFormat="1" applyFont="1" applyFill="1" applyBorder="1" applyAlignment="1">
      <alignment horizontal="center"/>
    </xf>
    <xf numFmtId="1" fontId="5" fillId="0" borderId="29" xfId="1" applyNumberFormat="1" applyFont="1" applyFill="1" applyBorder="1" applyAlignment="1">
      <alignment horizontal="center" vertical="center"/>
    </xf>
    <xf numFmtId="1" fontId="5" fillId="0" borderId="12" xfId="1" applyNumberFormat="1" applyFont="1" applyFill="1" applyBorder="1" applyAlignment="1">
      <alignment horizontal="center" vertical="center"/>
    </xf>
    <xf numFmtId="49" fontId="2" fillId="0" borderId="0" xfId="0" applyNumberFormat="1" applyFont="1" applyFill="1" applyAlignment="1"/>
    <xf numFmtId="0" fontId="2" fillId="3" borderId="62" xfId="6" applyFont="1" applyFill="1" applyBorder="1" applyAlignment="1">
      <alignment horizontal="center" vertical="center" wrapText="1"/>
    </xf>
    <xf numFmtId="0" fontId="2" fillId="3" borderId="42" xfId="6" applyFont="1" applyFill="1" applyBorder="1" applyAlignment="1">
      <alignment horizontal="center" vertical="center" wrapText="1"/>
    </xf>
    <xf numFmtId="165" fontId="3" fillId="3" borderId="51" xfId="6" applyNumberFormat="1" applyFill="1" applyBorder="1" applyAlignment="1">
      <alignment horizontal="center" vertical="center"/>
    </xf>
    <xf numFmtId="10" fontId="3" fillId="0" borderId="0" xfId="6" applyNumberFormat="1" applyFill="1" applyBorder="1" applyAlignment="1">
      <alignment horizontal="center" vertical="center"/>
    </xf>
    <xf numFmtId="168" fontId="3" fillId="0" borderId="0" xfId="6" applyNumberFormat="1" applyFill="1" applyBorder="1" applyAlignment="1">
      <alignment horizontal="center" vertical="center"/>
    </xf>
    <xf numFmtId="165" fontId="3" fillId="3" borderId="24" xfId="6" applyNumberFormat="1" applyFill="1" applyBorder="1" applyAlignment="1">
      <alignment horizontal="center" vertical="center"/>
    </xf>
    <xf numFmtId="10" fontId="3" fillId="0" borderId="1" xfId="6" applyNumberFormat="1" applyBorder="1" applyAlignment="1">
      <alignment horizontal="center" vertical="center"/>
    </xf>
    <xf numFmtId="168" fontId="3" fillId="10" borderId="4" xfId="6" applyNumberFormat="1" applyFill="1" applyBorder="1" applyAlignment="1">
      <alignment horizontal="center" vertical="center"/>
    </xf>
    <xf numFmtId="165" fontId="0" fillId="8" borderId="0" xfId="0" applyNumberFormat="1" applyFill="1" applyAlignment="1">
      <alignment horizontal="center"/>
    </xf>
    <xf numFmtId="165" fontId="0" fillId="8" borderId="0" xfId="0" applyNumberFormat="1" applyFill="1" applyAlignment="1">
      <alignment horizontal="center" vertical="center"/>
    </xf>
    <xf numFmtId="0" fontId="13" fillId="0" borderId="57" xfId="8" quotePrefix="1" applyFont="1" applyBorder="1" applyAlignment="1">
      <alignment horizontal="center" vertical="center"/>
    </xf>
    <xf numFmtId="0" fontId="13" fillId="0" borderId="8" xfId="8" applyFont="1" applyBorder="1" applyAlignment="1">
      <alignment horizontal="center" vertical="center"/>
    </xf>
    <xf numFmtId="0" fontId="11" fillId="0" borderId="45" xfId="8" applyFont="1" applyBorder="1" applyAlignment="1">
      <alignment horizontal="center" vertical="center"/>
    </xf>
    <xf numFmtId="0" fontId="13" fillId="0" borderId="57" xfId="8" applyFont="1" applyBorder="1" applyAlignment="1">
      <alignment horizontal="center" vertical="center"/>
    </xf>
    <xf numFmtId="2" fontId="13" fillId="0" borderId="57" xfId="8" applyNumberFormat="1" applyFont="1" applyBorder="1" applyAlignment="1">
      <alignment horizontal="center" vertical="center"/>
    </xf>
    <xf numFmtId="2" fontId="13" fillId="0" borderId="8" xfId="8" applyNumberFormat="1" applyFont="1" applyBorder="1" applyAlignment="1">
      <alignment horizontal="center" vertical="center"/>
    </xf>
    <xf numFmtId="0" fontId="11" fillId="0" borderId="77" xfId="8" applyFont="1" applyBorder="1" applyAlignment="1">
      <alignment horizontal="center" vertical="center"/>
    </xf>
    <xf numFmtId="2" fontId="13" fillId="0" borderId="33" xfId="8" applyNumberFormat="1" applyFont="1" applyBorder="1" applyAlignment="1">
      <alignment horizontal="center" vertical="center"/>
    </xf>
    <xf numFmtId="165" fontId="13" fillId="0" borderId="31" xfId="8" applyNumberFormat="1" applyFont="1" applyBorder="1" applyAlignment="1">
      <alignment horizontal="center" vertical="center"/>
    </xf>
    <xf numFmtId="0" fontId="11" fillId="0" borderId="42" xfId="8" applyFont="1" applyBorder="1" applyAlignment="1">
      <alignment horizontal="center" vertical="center"/>
    </xf>
    <xf numFmtId="165" fontId="13" fillId="0" borderId="57" xfId="8" applyNumberFormat="1" applyFont="1" applyBorder="1" applyAlignment="1">
      <alignment horizontal="center" vertical="center"/>
    </xf>
    <xf numFmtId="2" fontId="13" fillId="0" borderId="34" xfId="8" applyNumberFormat="1" applyFont="1" applyBorder="1" applyAlignment="1">
      <alignment horizontal="center" vertical="center"/>
    </xf>
    <xf numFmtId="2" fontId="13" fillId="0" borderId="57" xfId="8" quotePrefix="1" applyNumberFormat="1" applyFont="1" applyBorder="1" applyAlignment="1">
      <alignment horizontal="center" vertical="center"/>
    </xf>
    <xf numFmtId="2" fontId="13" fillId="0" borderId="8" xfId="8" quotePrefix="1" applyNumberFormat="1" applyFont="1" applyBorder="1" applyAlignment="1">
      <alignment horizontal="center" vertical="center"/>
    </xf>
    <xf numFmtId="0" fontId="6" fillId="0" borderId="0" xfId="0" applyFont="1" applyAlignment="1">
      <alignment horizontal="center" vertical="center"/>
    </xf>
    <xf numFmtId="165" fontId="13" fillId="0" borderId="8" xfId="9" applyNumberFormat="1" applyFont="1" applyBorder="1" applyAlignment="1">
      <alignment horizontal="center" vertical="center"/>
    </xf>
    <xf numFmtId="2" fontId="13" fillId="0" borderId="59" xfId="8" quotePrefix="1" applyNumberFormat="1" applyFont="1" applyBorder="1" applyAlignment="1">
      <alignment horizontal="center" vertical="center"/>
    </xf>
    <xf numFmtId="0" fontId="4" fillId="0" borderId="28" xfId="8" applyBorder="1" applyAlignment="1">
      <alignment vertical="center"/>
    </xf>
    <xf numFmtId="0" fontId="11" fillId="0" borderId="75" xfId="8" applyFont="1" applyBorder="1" applyAlignment="1" applyProtection="1">
      <alignment horizontal="center" vertical="center" wrapText="1"/>
      <protection locked="0"/>
    </xf>
    <xf numFmtId="165" fontId="13" fillId="0" borderId="68" xfId="8" applyNumberFormat="1" applyFont="1" applyBorder="1" applyAlignment="1">
      <alignment horizontal="center" vertical="center"/>
    </xf>
    <xf numFmtId="2" fontId="13" fillId="0" borderId="70" xfId="8" applyNumberFormat="1" applyFont="1" applyBorder="1" applyAlignment="1">
      <alignment horizontal="center" vertical="center"/>
    </xf>
    <xf numFmtId="165" fontId="13" fillId="0" borderId="82" xfId="8" applyNumberFormat="1" applyFont="1" applyBorder="1" applyAlignment="1">
      <alignment horizontal="center" vertical="center"/>
    </xf>
    <xf numFmtId="165" fontId="13" fillId="8" borderId="12" xfId="8" applyNumberFormat="1" applyFont="1" applyFill="1" applyBorder="1" applyAlignment="1">
      <alignment horizontal="center" vertical="center"/>
    </xf>
    <xf numFmtId="0" fontId="0" fillId="0" borderId="0" xfId="0" applyNumberFormat="1" applyAlignment="1">
      <alignment horizontal="center" vertical="center"/>
    </xf>
    <xf numFmtId="49" fontId="0" fillId="0" borderId="0" xfId="0" applyNumberFormat="1" applyAlignment="1">
      <alignment vertical="center"/>
    </xf>
    <xf numFmtId="49" fontId="0" fillId="0" borderId="0" xfId="0" applyNumberFormat="1" applyAlignment="1">
      <alignment horizontal="center" vertical="center"/>
    </xf>
    <xf numFmtId="0" fontId="0" fillId="0" borderId="0" xfId="0" applyAlignment="1">
      <alignment vertical="center"/>
    </xf>
    <xf numFmtId="49" fontId="2" fillId="0" borderId="0" xfId="0" applyNumberFormat="1" applyFont="1" applyAlignment="1">
      <alignment horizontal="center" vertical="center"/>
    </xf>
    <xf numFmtId="8" fontId="0" fillId="0" borderId="0" xfId="0" applyNumberFormat="1" applyAlignment="1">
      <alignment vertical="center"/>
    </xf>
    <xf numFmtId="43" fontId="0" fillId="0" borderId="0" xfId="1" applyFont="1" applyAlignment="1">
      <alignment vertical="center"/>
    </xf>
    <xf numFmtId="43" fontId="2" fillId="0" borderId="0" xfId="1" applyFont="1" applyAlignment="1">
      <alignment horizontal="center" vertical="center" wrapText="1"/>
    </xf>
    <xf numFmtId="43" fontId="0" fillId="13" borderId="0" xfId="1" applyFont="1" applyFill="1" applyAlignment="1">
      <alignment horizontal="center" vertical="center"/>
    </xf>
    <xf numFmtId="0" fontId="24" fillId="0" borderId="0" xfId="0" applyNumberFormat="1" applyFont="1" applyAlignment="1">
      <alignment horizontal="center" vertical="center"/>
    </xf>
    <xf numFmtId="0" fontId="34" fillId="0" borderId="0" xfId="0" applyNumberFormat="1" applyFont="1" applyAlignment="1">
      <alignment horizontal="center" vertical="center"/>
    </xf>
    <xf numFmtId="0" fontId="13" fillId="8" borderId="12" xfId="8" applyFont="1" applyFill="1" applyBorder="1" applyAlignment="1">
      <alignment horizontal="center" vertical="center"/>
    </xf>
    <xf numFmtId="165" fontId="13" fillId="0" borderId="33" xfId="9" applyNumberFormat="1" applyFont="1" applyFill="1" applyBorder="1" applyAlignment="1">
      <alignment horizontal="center" vertical="center"/>
    </xf>
    <xf numFmtId="2" fontId="13" fillId="0" borderId="34" xfId="8" applyNumberFormat="1" applyFont="1" applyFill="1" applyBorder="1" applyAlignment="1">
      <alignment horizontal="center" vertical="center"/>
    </xf>
    <xf numFmtId="1" fontId="13" fillId="0" borderId="8" xfId="0" applyNumberFormat="1" applyFont="1" applyFill="1" applyBorder="1" applyAlignment="1">
      <alignment horizontal="center" vertical="center"/>
    </xf>
    <xf numFmtId="165" fontId="13" fillId="0" borderId="8" xfId="0" applyNumberFormat="1" applyFont="1" applyFill="1" applyBorder="1" applyAlignment="1">
      <alignment horizontal="center" vertical="center"/>
    </xf>
    <xf numFmtId="2" fontId="13" fillId="8" borderId="8" xfId="8" applyNumberFormat="1" applyFont="1" applyFill="1" applyBorder="1" applyAlignment="1">
      <alignment horizontal="center" vertical="center"/>
    </xf>
    <xf numFmtId="1" fontId="5" fillId="11" borderId="8" xfId="0" applyNumberFormat="1" applyFont="1" applyFill="1" applyBorder="1" applyAlignment="1">
      <alignment horizontal="center" vertical="center"/>
    </xf>
    <xf numFmtId="1" fontId="5" fillId="0" borderId="8" xfId="1" applyNumberFormat="1" applyFont="1" applyFill="1" applyBorder="1" applyAlignment="1">
      <alignment horizontal="center" vertical="center"/>
    </xf>
    <xf numFmtId="1" fontId="5" fillId="0" borderId="4" xfId="0" applyNumberFormat="1" applyFont="1" applyFill="1" applyBorder="1" applyAlignment="1">
      <alignment horizontal="center" vertical="center"/>
    </xf>
    <xf numFmtId="1" fontId="5" fillId="0" borderId="4" xfId="1" applyNumberFormat="1" applyFont="1" applyFill="1" applyBorder="1" applyAlignment="1">
      <alignment horizontal="center" vertical="center"/>
    </xf>
    <xf numFmtId="1" fontId="5" fillId="0" borderId="2" xfId="1" applyNumberFormat="1" applyFont="1" applyFill="1" applyBorder="1" applyAlignment="1">
      <alignment horizontal="center" vertical="center"/>
    </xf>
    <xf numFmtId="1" fontId="5" fillId="0" borderId="3" xfId="1" applyNumberFormat="1" applyFont="1" applyFill="1" applyBorder="1" applyAlignment="1">
      <alignment horizontal="center"/>
    </xf>
    <xf numFmtId="1" fontId="5" fillId="0" borderId="30" xfId="1" applyNumberFormat="1" applyFont="1" applyFill="1" applyBorder="1" applyAlignment="1">
      <alignment horizontal="center" vertical="center"/>
    </xf>
    <xf numFmtId="1" fontId="5" fillId="0" borderId="28" xfId="1" applyNumberFormat="1" applyFont="1" applyFill="1" applyBorder="1" applyAlignment="1">
      <alignment horizontal="center" vertical="center"/>
    </xf>
    <xf numFmtId="1" fontId="5" fillId="0" borderId="28" xfId="0" applyNumberFormat="1" applyFont="1" applyFill="1" applyBorder="1" applyAlignment="1">
      <alignment horizontal="center" vertical="center"/>
    </xf>
    <xf numFmtId="1" fontId="5" fillId="0" borderId="33" xfId="0" applyNumberFormat="1" applyFont="1" applyFill="1" applyBorder="1" applyAlignment="1">
      <alignment horizontal="center" vertical="center"/>
    </xf>
    <xf numFmtId="1" fontId="5" fillId="0" borderId="30" xfId="0" applyNumberFormat="1" applyFont="1" applyFill="1" applyBorder="1" applyAlignment="1">
      <alignment horizontal="center" vertical="center"/>
    </xf>
    <xf numFmtId="0" fontId="0" fillId="0" borderId="16" xfId="0" applyBorder="1" applyAlignment="1">
      <alignment horizontal="center" vertical="center"/>
    </xf>
    <xf numFmtId="1" fontId="5" fillId="0" borderId="29" xfId="1" applyNumberFormat="1" applyFont="1" applyFill="1" applyBorder="1" applyAlignment="1">
      <alignment horizontal="center"/>
    </xf>
    <xf numFmtId="1" fontId="5" fillId="0" borderId="12" xfId="1" applyNumberFormat="1" applyFont="1" applyFill="1" applyBorder="1" applyAlignment="1">
      <alignment horizontal="center"/>
    </xf>
    <xf numFmtId="1" fontId="5" fillId="0" borderId="29" xfId="0" applyNumberFormat="1" applyFont="1" applyFill="1" applyBorder="1" applyAlignment="1">
      <alignment horizontal="center" vertical="center"/>
    </xf>
    <xf numFmtId="0" fontId="0" fillId="0" borderId="16" xfId="0" applyBorder="1" applyAlignment="1">
      <alignment horizontal="center"/>
    </xf>
    <xf numFmtId="49" fontId="2" fillId="7" borderId="110" xfId="0" applyNumberFormat="1" applyFont="1" applyFill="1" applyBorder="1"/>
    <xf numFmtId="49" fontId="1" fillId="0" borderId="0" xfId="10" applyNumberFormat="1"/>
    <xf numFmtId="49" fontId="1" fillId="0" borderId="0" xfId="10" applyNumberFormat="1" applyAlignment="1">
      <alignment horizontal="center"/>
    </xf>
    <xf numFmtId="43" fontId="0" fillId="0" borderId="0" xfId="0" applyNumberFormat="1" applyFont="1" applyAlignment="1">
      <alignment vertical="center"/>
    </xf>
    <xf numFmtId="43" fontId="2" fillId="0" borderId="110" xfId="0" applyNumberFormat="1" applyFont="1" applyBorder="1" applyAlignment="1">
      <alignment vertical="center"/>
    </xf>
    <xf numFmtId="0" fontId="3" fillId="0" borderId="0" xfId="6" applyFill="1" applyAlignment="1">
      <alignment vertical="center"/>
    </xf>
    <xf numFmtId="8" fontId="0" fillId="0" borderId="8" xfId="0" applyNumberFormat="1" applyFill="1" applyBorder="1" applyAlignment="1">
      <alignment horizontal="center" vertical="center"/>
    </xf>
    <xf numFmtId="8" fontId="0" fillId="0" borderId="44" xfId="0" applyNumberFormat="1" applyFill="1" applyBorder="1" applyAlignment="1">
      <alignment horizontal="center" vertical="center"/>
    </xf>
    <xf numFmtId="0" fontId="0" fillId="0" borderId="0" xfId="0" applyNumberFormat="1" applyAlignment="1">
      <alignment horizontal="left" vertical="center"/>
    </xf>
    <xf numFmtId="0" fontId="24" fillId="0" borderId="0" xfId="0" applyNumberFormat="1" applyFont="1" applyAlignment="1">
      <alignment horizontal="left" vertical="center"/>
    </xf>
    <xf numFmtId="0" fontId="34" fillId="0" borderId="0" xfId="0" applyNumberFormat="1" applyFont="1" applyAlignment="1">
      <alignment horizontal="left" vertical="center"/>
    </xf>
    <xf numFmtId="49" fontId="0" fillId="3" borderId="44" xfId="0" applyNumberFormat="1" applyFont="1" applyFill="1" applyBorder="1" applyAlignment="1">
      <alignment vertical="center"/>
    </xf>
    <xf numFmtId="49" fontId="0" fillId="3" borderId="29" xfId="0" applyNumberFormat="1" applyFont="1" applyFill="1" applyBorder="1" applyAlignment="1">
      <alignment vertical="center"/>
    </xf>
    <xf numFmtId="8" fontId="0" fillId="0" borderId="34" xfId="0" applyNumberFormat="1" applyFill="1" applyBorder="1" applyAlignment="1">
      <alignment horizontal="center" vertical="center"/>
    </xf>
    <xf numFmtId="8" fontId="0" fillId="0" borderId="72" xfId="0" applyNumberFormat="1" applyFill="1" applyBorder="1" applyAlignment="1">
      <alignment horizontal="center" vertical="center"/>
    </xf>
    <xf numFmtId="165" fontId="0" fillId="8" borderId="16" xfId="0" applyNumberFormat="1" applyFill="1" applyBorder="1" applyAlignment="1">
      <alignment horizontal="center" vertical="center"/>
    </xf>
    <xf numFmtId="0" fontId="3" fillId="10" borderId="4" xfId="6" applyFill="1" applyBorder="1" applyAlignment="1">
      <alignment horizontal="left" vertical="center"/>
    </xf>
    <xf numFmtId="165" fontId="0" fillId="0" borderId="0" xfId="0" applyNumberFormat="1"/>
    <xf numFmtId="0" fontId="0" fillId="0" borderId="43" xfId="0" applyBorder="1"/>
    <xf numFmtId="10" fontId="0" fillId="0" borderId="41" xfId="3" applyNumberFormat="1" applyFont="1" applyBorder="1" applyAlignment="1">
      <alignment horizontal="center"/>
    </xf>
    <xf numFmtId="0" fontId="0" fillId="0" borderId="59" xfId="0" applyBorder="1"/>
    <xf numFmtId="3" fontId="4" fillId="0" borderId="0" xfId="12" applyFont="1" applyProtection="1">
      <protection locked="0"/>
    </xf>
    <xf numFmtId="165" fontId="4" fillId="0" borderId="0" xfId="12" applyNumberFormat="1" applyFont="1" applyProtection="1">
      <protection locked="0"/>
    </xf>
    <xf numFmtId="0" fontId="4" fillId="0" borderId="0" xfId="12" applyNumberFormat="1" applyFont="1" applyProtection="1">
      <protection locked="0"/>
    </xf>
    <xf numFmtId="3" fontId="4" fillId="6" borderId="0" xfId="12" applyFont="1" applyFill="1" applyProtection="1">
      <protection locked="0"/>
    </xf>
    <xf numFmtId="3" fontId="43" fillId="0" borderId="0" xfId="12" applyFont="1" applyProtection="1">
      <protection locked="0"/>
    </xf>
    <xf numFmtId="0" fontId="3" fillId="0" borderId="0" xfId="13" applyAlignment="1">
      <alignment horizontal="left"/>
    </xf>
    <xf numFmtId="49" fontId="3" fillId="0" borderId="0" xfId="13" applyNumberFormat="1" applyAlignment="1">
      <alignment horizontal="left"/>
    </xf>
    <xf numFmtId="49" fontId="4" fillId="0" borderId="0" xfId="12" applyNumberFormat="1" applyFont="1" applyProtection="1">
      <protection locked="0"/>
    </xf>
    <xf numFmtId="167" fontId="4" fillId="0" borderId="0" xfId="9" applyNumberFormat="1" applyFont="1" applyAlignment="1" applyProtection="1">
      <protection locked="0"/>
    </xf>
    <xf numFmtId="0" fontId="40" fillId="14" borderId="72" xfId="10" applyFont="1" applyFill="1" applyBorder="1" applyAlignment="1">
      <alignment horizontal="center" vertical="center"/>
    </xf>
    <xf numFmtId="0" fontId="1" fillId="0" borderId="0" xfId="10" applyAlignment="1" applyProtection="1">
      <alignment horizontal="center" vertical="center"/>
      <protection locked="0"/>
    </xf>
    <xf numFmtId="3" fontId="1" fillId="0" borderId="0" xfId="10" applyNumberFormat="1" applyProtection="1">
      <protection locked="0"/>
    </xf>
    <xf numFmtId="0" fontId="1" fillId="0" borderId="31" xfId="10" applyBorder="1" applyAlignment="1" applyProtection="1">
      <alignment horizontal="center"/>
      <protection locked="0"/>
    </xf>
    <xf numFmtId="0" fontId="1" fillId="0" borderId="34" xfId="10" applyBorder="1" applyAlignment="1" applyProtection="1">
      <alignment horizontal="center"/>
      <protection locked="0"/>
    </xf>
    <xf numFmtId="0" fontId="1" fillId="0" borderId="31" xfId="10" applyBorder="1" applyProtection="1">
      <protection locked="0"/>
    </xf>
    <xf numFmtId="0" fontId="1" fillId="0" borderId="14" xfId="10" applyBorder="1" applyAlignment="1" applyProtection="1">
      <alignment horizontal="center"/>
      <protection locked="0"/>
    </xf>
    <xf numFmtId="0" fontId="1" fillId="0" borderId="14" xfId="10" applyBorder="1" applyProtection="1">
      <protection locked="0"/>
    </xf>
    <xf numFmtId="165" fontId="1" fillId="0" borderId="14" xfId="10" applyNumberFormat="1" applyBorder="1" applyProtection="1">
      <protection locked="0"/>
    </xf>
    <xf numFmtId="165" fontId="43" fillId="0" borderId="10" xfId="10" applyNumberFormat="1" applyFont="1" applyBorder="1" applyProtection="1">
      <protection locked="0"/>
    </xf>
    <xf numFmtId="0" fontId="1" fillId="0" borderId="10" xfId="10" applyBorder="1" applyAlignment="1" applyProtection="1">
      <alignment horizontal="center"/>
      <protection locked="0"/>
    </xf>
    <xf numFmtId="0" fontId="1" fillId="0" borderId="105" xfId="10" applyBorder="1" applyAlignment="1" applyProtection="1">
      <alignment horizontal="center"/>
      <protection locked="0"/>
    </xf>
    <xf numFmtId="3" fontId="39" fillId="14" borderId="43" xfId="12" applyFont="1" applyFill="1" applyBorder="1" applyAlignment="1">
      <alignment horizontal="left" vertical="center"/>
    </xf>
    <xf numFmtId="3" fontId="41" fillId="14" borderId="44" xfId="12" applyFont="1" applyFill="1" applyBorder="1" applyAlignment="1">
      <alignment horizontal="left" vertical="center"/>
    </xf>
    <xf numFmtId="3" fontId="4" fillId="6" borderId="113" xfId="12" applyFont="1" applyFill="1" applyBorder="1" applyAlignment="1">
      <alignment horizontal="left" vertical="center"/>
    </xf>
    <xf numFmtId="3" fontId="4" fillId="6" borderId="114" xfId="12" applyFont="1" applyFill="1" applyBorder="1" applyAlignment="1">
      <alignment horizontal="left" vertical="center"/>
    </xf>
    <xf numFmtId="3" fontId="4" fillId="6" borderId="44" xfId="12" applyFont="1" applyFill="1" applyBorder="1" applyAlignment="1">
      <alignment horizontal="left" vertical="center"/>
    </xf>
    <xf numFmtId="3" fontId="40" fillId="14" borderId="43" xfId="12" applyFont="1" applyFill="1" applyBorder="1" applyAlignment="1">
      <alignment horizontal="center" vertical="center"/>
    </xf>
    <xf numFmtId="3" fontId="40" fillId="14" borderId="44" xfId="12" applyFont="1" applyFill="1" applyBorder="1" applyAlignment="1">
      <alignment horizontal="center" vertical="center"/>
    </xf>
    <xf numFmtId="3" fontId="42" fillId="0" borderId="113" xfId="12" applyFont="1" applyBorder="1"/>
    <xf numFmtId="3" fontId="5" fillId="0" borderId="12" xfId="12" applyFont="1" applyBorder="1"/>
    <xf numFmtId="3" fontId="42" fillId="0" borderId="12" xfId="12" applyFont="1" applyBorder="1"/>
    <xf numFmtId="3" fontId="42" fillId="0" borderId="12" xfId="12" applyFont="1" applyBorder="1" applyProtection="1">
      <protection locked="0" hidden="1"/>
    </xf>
    <xf numFmtId="3" fontId="5" fillId="0" borderId="12" xfId="14" applyNumberFormat="1" applyFont="1" applyBorder="1"/>
    <xf numFmtId="3" fontId="5" fillId="0" borderId="113" xfId="12" applyFont="1" applyBorder="1"/>
    <xf numFmtId="3" fontId="5" fillId="6" borderId="113" xfId="12" applyFont="1" applyFill="1" applyBorder="1"/>
    <xf numFmtId="3" fontId="5" fillId="0" borderId="114" xfId="12" applyFont="1" applyBorder="1" applyAlignment="1">
      <alignment horizontal="right"/>
    </xf>
    <xf numFmtId="0" fontId="40" fillId="14" borderId="17" xfId="10" applyFont="1" applyFill="1" applyBorder="1" applyAlignment="1">
      <alignment horizontal="center" vertical="center"/>
    </xf>
    <xf numFmtId="165" fontId="1" fillId="0" borderId="18" xfId="10" applyNumberFormat="1" applyBorder="1" applyProtection="1">
      <protection locked="0"/>
    </xf>
    <xf numFmtId="0" fontId="1" fillId="0" borderId="34" xfId="10" applyBorder="1" applyProtection="1">
      <protection locked="0"/>
    </xf>
    <xf numFmtId="0" fontId="40" fillId="14" borderId="112" xfId="10" applyFont="1" applyFill="1" applyBorder="1" applyAlignment="1">
      <alignment horizontal="center" vertical="center"/>
    </xf>
    <xf numFmtId="0" fontId="1" fillId="0" borderId="72" xfId="10" applyBorder="1" applyProtection="1">
      <protection locked="0"/>
    </xf>
    <xf numFmtId="3" fontId="5" fillId="6" borderId="4" xfId="12" applyFont="1" applyFill="1" applyBorder="1"/>
    <xf numFmtId="165" fontId="1" fillId="0" borderId="0" xfId="10" applyNumberFormat="1" applyProtection="1">
      <protection locked="0"/>
    </xf>
    <xf numFmtId="2" fontId="1" fillId="0" borderId="0" xfId="10" applyNumberFormat="1" applyProtection="1">
      <protection locked="0"/>
    </xf>
    <xf numFmtId="173" fontId="1" fillId="0" borderId="0" xfId="10" applyNumberFormat="1" applyProtection="1">
      <protection locked="0"/>
    </xf>
    <xf numFmtId="49" fontId="1" fillId="0" borderId="0" xfId="10" applyNumberFormat="1" applyProtection="1">
      <protection locked="0"/>
    </xf>
    <xf numFmtId="3" fontId="1" fillId="0" borderId="33" xfId="10" applyNumberFormat="1" applyBorder="1" applyProtection="1">
      <protection locked="0"/>
    </xf>
    <xf numFmtId="3" fontId="1" fillId="0" borderId="69" xfId="10" applyNumberFormat="1" applyBorder="1" applyProtection="1">
      <protection locked="0"/>
    </xf>
    <xf numFmtId="164" fontId="7" fillId="0" borderId="27" xfId="4" applyFont="1" applyBorder="1" applyAlignment="1">
      <alignment horizontal="center" vertical="center" wrapText="1"/>
    </xf>
    <xf numFmtId="164" fontId="7" fillId="0" borderId="28" xfId="4" applyFont="1" applyBorder="1" applyAlignment="1">
      <alignment horizontal="center" vertical="center"/>
    </xf>
    <xf numFmtId="164" fontId="4" fillId="0" borderId="21" xfId="4" applyBorder="1" applyAlignment="1">
      <alignment horizontal="left" vertical="center" wrapText="1"/>
    </xf>
    <xf numFmtId="164" fontId="4" fillId="0" borderId="23" xfId="4" applyBorder="1" applyAlignment="1">
      <alignment horizontal="left" vertical="center" wrapText="1"/>
    </xf>
    <xf numFmtId="164" fontId="4" fillId="0" borderId="24" xfId="4" applyBorder="1" applyAlignment="1">
      <alignment horizontal="left" vertical="center" wrapText="1"/>
    </xf>
    <xf numFmtId="164" fontId="4" fillId="0" borderId="19" xfId="4" applyBorder="1" applyAlignment="1">
      <alignment horizontal="left" vertical="center" wrapText="1"/>
    </xf>
    <xf numFmtId="164" fontId="4" fillId="0" borderId="50" xfId="4" applyBorder="1" applyAlignment="1">
      <alignment horizontal="left" vertical="center" wrapText="1"/>
    </xf>
    <xf numFmtId="164" fontId="4" fillId="0" borderId="7" xfId="4" applyBorder="1" applyAlignment="1">
      <alignment horizontal="left" vertical="center" wrapText="1"/>
    </xf>
    <xf numFmtId="164" fontId="4" fillId="0" borderId="1" xfId="4" applyBorder="1" applyAlignment="1">
      <alignment horizontal="left" vertical="center"/>
    </xf>
    <xf numFmtId="164" fontId="4" fillId="0" borderId="3" xfId="4" applyBorder="1" applyAlignment="1">
      <alignment horizontal="left" vertical="center"/>
    </xf>
    <xf numFmtId="164" fontId="4" fillId="0" borderId="48" xfId="4" applyBorder="1" applyAlignment="1">
      <alignment horizontal="left" vertical="center" wrapText="1"/>
    </xf>
    <xf numFmtId="164" fontId="4" fillId="0" borderId="49" xfId="4" applyBorder="1" applyAlignment="1">
      <alignment horizontal="left" vertical="center" wrapText="1"/>
    </xf>
    <xf numFmtId="164" fontId="7" fillId="0" borderId="27" xfId="4" applyFont="1" applyBorder="1" applyAlignment="1">
      <alignment horizontal="center" vertical="center"/>
    </xf>
    <xf numFmtId="164" fontId="7" fillId="0" borderId="33" xfId="4" applyFont="1" applyBorder="1" applyAlignment="1">
      <alignment horizontal="center" vertical="center"/>
    </xf>
    <xf numFmtId="164" fontId="4" fillId="0" borderId="30" xfId="4" applyBorder="1" applyAlignment="1">
      <alignment horizontal="left" vertical="center" wrapText="1"/>
    </xf>
    <xf numFmtId="164" fontId="4" fillId="0" borderId="31" xfId="4" applyBorder="1" applyAlignment="1">
      <alignment horizontal="left" vertical="center" wrapText="1"/>
    </xf>
    <xf numFmtId="1" fontId="4" fillId="0" borderId="29" xfId="4" applyNumberFormat="1" applyBorder="1" applyAlignment="1">
      <alignment horizontal="center" vertical="center" wrapText="1"/>
    </xf>
    <xf numFmtId="1" fontId="4" fillId="0" borderId="12" xfId="4" applyNumberFormat="1" applyBorder="1" applyAlignment="1">
      <alignment horizontal="center" vertical="center" wrapText="1"/>
    </xf>
    <xf numFmtId="1" fontId="4" fillId="0" borderId="57" xfId="4" applyNumberFormat="1" applyBorder="1" applyAlignment="1">
      <alignment horizontal="center" vertical="center" wrapText="1"/>
    </xf>
    <xf numFmtId="1" fontId="4" fillId="0" borderId="16" xfId="4" applyNumberFormat="1" applyBorder="1" applyAlignment="1">
      <alignment horizontal="center" vertical="center" wrapText="1"/>
    </xf>
    <xf numFmtId="1" fontId="4" fillId="0" borderId="43" xfId="4" applyNumberFormat="1" applyBorder="1" applyAlignment="1">
      <alignment horizontal="center" vertical="center" wrapText="1"/>
    </xf>
    <xf numFmtId="1" fontId="4" fillId="0" borderId="59" xfId="4" applyNumberFormat="1" applyBorder="1" applyAlignment="1">
      <alignment horizontal="center" vertical="center" wrapText="1"/>
    </xf>
    <xf numFmtId="1" fontId="4" fillId="0" borderId="44" xfId="4" applyNumberFormat="1" applyBorder="1" applyAlignment="1">
      <alignment horizontal="center" vertical="center" wrapText="1"/>
    </xf>
    <xf numFmtId="0" fontId="40" fillId="14" borderId="61" xfId="10" applyFont="1" applyFill="1" applyBorder="1" applyAlignment="1">
      <alignment horizontal="center" vertical="center"/>
    </xf>
    <xf numFmtId="0" fontId="40" fillId="14" borderId="25" xfId="10" applyFont="1" applyFill="1" applyBorder="1" applyAlignment="1">
      <alignment horizontal="center" vertical="center"/>
    </xf>
    <xf numFmtId="0" fontId="37" fillId="0" borderId="0" xfId="0" applyFont="1" applyAlignment="1">
      <alignment horizontal="left" vertical="center" wrapText="1" readingOrder="1"/>
    </xf>
    <xf numFmtId="0" fontId="36" fillId="0" borderId="0" xfId="0" applyFont="1" applyAlignment="1">
      <alignment horizontal="left" vertical="center" wrapText="1" readingOrder="1"/>
    </xf>
    <xf numFmtId="0" fontId="0" fillId="12" borderId="0" xfId="0" applyFill="1" applyAlignment="1">
      <alignment horizontal="center"/>
    </xf>
    <xf numFmtId="0" fontId="2" fillId="0" borderId="0" xfId="0" applyFont="1" applyBorder="1" applyAlignment="1">
      <alignment horizontal="center" vertical="center"/>
    </xf>
    <xf numFmtId="0" fontId="0" fillId="10" borderId="27" xfId="0" applyFill="1" applyBorder="1" applyAlignment="1">
      <alignment horizontal="left" vertical="center"/>
    </xf>
    <xf numFmtId="0" fontId="0" fillId="10" borderId="61" xfId="0" applyFill="1" applyBorder="1" applyAlignment="1">
      <alignment horizontal="left" vertical="center"/>
    </xf>
    <xf numFmtId="0" fontId="0" fillId="10" borderId="25" xfId="0" applyFill="1" applyBorder="1" applyAlignment="1">
      <alignment horizontal="left" vertical="center"/>
    </xf>
    <xf numFmtId="0" fontId="0" fillId="8" borderId="40" xfId="0" applyFill="1" applyBorder="1" applyAlignment="1">
      <alignment horizontal="left" vertical="center"/>
    </xf>
    <xf numFmtId="0" fontId="0" fillId="8" borderId="20" xfId="0" applyFill="1" applyBorder="1" applyAlignment="1">
      <alignment horizontal="left" vertical="center"/>
    </xf>
    <xf numFmtId="0" fontId="0" fillId="8" borderId="72" xfId="0" applyFill="1" applyBorder="1" applyAlignment="1">
      <alignment horizontal="left" vertical="center"/>
    </xf>
    <xf numFmtId="0" fontId="0" fillId="0" borderId="0" xfId="0" applyFill="1" applyBorder="1" applyAlignment="1">
      <alignment horizontal="center"/>
    </xf>
    <xf numFmtId="49" fontId="2"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5" fillId="0" borderId="1" xfId="0" applyNumberFormat="1" applyFont="1" applyBorder="1" applyAlignment="1">
      <alignment horizontal="center"/>
    </xf>
    <xf numFmtId="49" fontId="5" fillId="0" borderId="2" xfId="0" applyNumberFormat="1" applyFont="1" applyBorder="1" applyAlignment="1">
      <alignment horizontal="center"/>
    </xf>
    <xf numFmtId="49" fontId="5" fillId="0" borderId="3" xfId="0" applyNumberFormat="1" applyFont="1" applyBorder="1" applyAlignment="1">
      <alignment horizontal="center"/>
    </xf>
    <xf numFmtId="0" fontId="2" fillId="0" borderId="27" xfId="6" applyFont="1" applyBorder="1" applyAlignment="1">
      <alignment horizontal="center" vertical="center" wrapText="1"/>
    </xf>
    <xf numFmtId="0" fontId="2" fillId="0" borderId="25" xfId="6" applyFont="1" applyBorder="1" applyAlignment="1">
      <alignment horizontal="center" vertical="center" wrapText="1"/>
    </xf>
    <xf numFmtId="0" fontId="2" fillId="0" borderId="43" xfId="6" applyFont="1" applyBorder="1" applyAlignment="1">
      <alignment horizontal="center" vertical="center"/>
    </xf>
    <xf numFmtId="0" fontId="2" fillId="0" borderId="45" xfId="6" applyFont="1" applyBorder="1" applyAlignment="1">
      <alignment horizontal="center" vertical="center"/>
    </xf>
    <xf numFmtId="0" fontId="2" fillId="0" borderId="21" xfId="6" applyFont="1" applyBorder="1" applyAlignment="1">
      <alignment horizontal="center" vertical="center"/>
    </xf>
    <xf numFmtId="0" fontId="2" fillId="0" borderId="22" xfId="6" applyFont="1" applyBorder="1" applyAlignment="1">
      <alignment horizontal="center" vertical="center"/>
    </xf>
    <xf numFmtId="0" fontId="2" fillId="0" borderId="60" xfId="6" applyFont="1" applyBorder="1" applyAlignment="1">
      <alignment horizontal="center" vertical="center"/>
    </xf>
    <xf numFmtId="0" fontId="2" fillId="3" borderId="27" xfId="6" applyFont="1" applyFill="1" applyBorder="1" applyAlignment="1">
      <alignment horizontal="center" vertical="center" wrapText="1"/>
    </xf>
    <xf numFmtId="0" fontId="2" fillId="3" borderId="25" xfId="6" applyFont="1" applyFill="1" applyBorder="1" applyAlignment="1">
      <alignment horizontal="center" vertical="center" wrapText="1"/>
    </xf>
    <xf numFmtId="0" fontId="0" fillId="0" borderId="0" xfId="6" applyFont="1" applyAlignment="1">
      <alignment horizontal="left" vertical="center" wrapText="1"/>
    </xf>
    <xf numFmtId="0" fontId="3" fillId="0" borderId="0" xfId="6" applyAlignment="1">
      <alignment horizontal="left" vertical="center"/>
    </xf>
    <xf numFmtId="165" fontId="3" fillId="0" borderId="84" xfId="6" applyNumberFormat="1" applyFill="1" applyBorder="1" applyAlignment="1">
      <alignment horizontal="center" vertical="center"/>
    </xf>
    <xf numFmtId="165" fontId="3" fillId="0" borderId="49" xfId="6" applyNumberFormat="1" applyFill="1" applyBorder="1" applyAlignment="1">
      <alignment horizontal="center" vertical="center"/>
    </xf>
    <xf numFmtId="165" fontId="3" fillId="3" borderId="84" xfId="6" applyNumberFormat="1" applyFill="1" applyBorder="1" applyAlignment="1">
      <alignment horizontal="center" vertical="center"/>
    </xf>
    <xf numFmtId="165" fontId="3" fillId="3" borderId="49" xfId="6" applyNumberFormat="1" applyFill="1" applyBorder="1" applyAlignment="1">
      <alignment horizontal="center" vertical="center"/>
    </xf>
    <xf numFmtId="165" fontId="3" fillId="3" borderId="111" xfId="6" applyNumberFormat="1" applyFill="1" applyBorder="1" applyAlignment="1">
      <alignment horizontal="center" vertical="center"/>
    </xf>
    <xf numFmtId="0" fontId="0" fillId="0" borderId="0" xfId="0" applyBorder="1" applyAlignment="1">
      <alignment horizontal="left" vertical="center" wrapText="1"/>
    </xf>
    <xf numFmtId="0" fontId="3" fillId="0" borderId="0" xfId="6" quotePrefix="1" applyAlignment="1">
      <alignment horizontal="left" vertical="center"/>
    </xf>
    <xf numFmtId="2" fontId="11" fillId="0" borderId="55" xfId="8" applyNumberFormat="1" applyFont="1" applyBorder="1" applyAlignment="1">
      <alignment horizontal="center" vertical="center"/>
    </xf>
    <xf numFmtId="2" fontId="11" fillId="0" borderId="76" xfId="8" applyNumberFormat="1" applyFont="1" applyBorder="1" applyAlignment="1">
      <alignment horizontal="center" vertical="center"/>
    </xf>
    <xf numFmtId="0" fontId="11" fillId="0" borderId="75" xfId="8" applyFont="1" applyBorder="1" applyAlignment="1">
      <alignment horizontal="center" vertical="center"/>
    </xf>
    <xf numFmtId="0" fontId="11" fillId="0" borderId="77" xfId="8" applyFont="1" applyBorder="1" applyAlignment="1">
      <alignment horizontal="center" vertical="center"/>
    </xf>
    <xf numFmtId="2" fontId="13" fillId="0" borderId="57" xfId="8" applyNumberFormat="1" applyFont="1" applyBorder="1" applyAlignment="1">
      <alignment horizontal="center" vertical="center"/>
    </xf>
    <xf numFmtId="2" fontId="13" fillId="0" borderId="8" xfId="8" applyNumberFormat="1" applyFont="1" applyBorder="1" applyAlignment="1">
      <alignment horizontal="center" vertical="center"/>
    </xf>
    <xf numFmtId="165" fontId="13" fillId="0" borderId="51" xfId="8" applyNumberFormat="1" applyFont="1" applyBorder="1" applyAlignment="1">
      <alignment horizontal="center" vertical="center"/>
    </xf>
    <xf numFmtId="9" fontId="13" fillId="0" borderId="84" xfId="9" applyFont="1" applyBorder="1" applyAlignment="1">
      <alignment horizontal="center" vertical="center"/>
    </xf>
    <xf numFmtId="9" fontId="13" fillId="0" borderId="11" xfId="9" applyFont="1" applyBorder="1" applyAlignment="1">
      <alignment horizontal="center" vertical="center"/>
    </xf>
    <xf numFmtId="0" fontId="9" fillId="0" borderId="0" xfId="8" applyFont="1" applyAlignment="1">
      <alignment horizontal="left" vertical="center"/>
    </xf>
    <xf numFmtId="0" fontId="10" fillId="0" borderId="52" xfId="8" applyFont="1" applyBorder="1" applyAlignment="1">
      <alignment horizontal="center" vertical="center"/>
    </xf>
    <xf numFmtId="0" fontId="10" fillId="0" borderId="54" xfId="8" applyFont="1" applyBorder="1" applyAlignment="1">
      <alignment horizontal="center" vertical="center"/>
    </xf>
    <xf numFmtId="0" fontId="10" fillId="0" borderId="40" xfId="8" applyFont="1" applyBorder="1" applyAlignment="1">
      <alignment horizontal="center" vertical="center"/>
    </xf>
    <xf numFmtId="0" fontId="10" fillId="0" borderId="72" xfId="8" applyFont="1" applyBorder="1" applyAlignment="1">
      <alignment horizontal="center" vertical="center"/>
    </xf>
    <xf numFmtId="0" fontId="10" fillId="0" borderId="53" xfId="8" applyFont="1" applyBorder="1" applyAlignment="1">
      <alignment horizontal="center" vertical="center"/>
    </xf>
    <xf numFmtId="0" fontId="10" fillId="0" borderId="20" xfId="8" applyFont="1" applyBorder="1" applyAlignment="1">
      <alignment horizontal="center" vertical="center"/>
    </xf>
    <xf numFmtId="165" fontId="13" fillId="0" borderId="57" xfId="9" applyNumberFormat="1" applyFont="1" applyBorder="1" applyAlignment="1">
      <alignment horizontal="center" vertical="center"/>
    </xf>
    <xf numFmtId="165" fontId="13" fillId="0" borderId="8" xfId="9" applyNumberFormat="1" applyFont="1" applyBorder="1" applyAlignment="1">
      <alignment horizontal="center" vertical="center"/>
    </xf>
    <xf numFmtId="0" fontId="13" fillId="0" borderId="57" xfId="8" applyFont="1" applyBorder="1" applyAlignment="1">
      <alignment horizontal="center" vertical="center"/>
    </xf>
    <xf numFmtId="0" fontId="13" fillId="0" borderId="8" xfId="8" applyFont="1" applyBorder="1" applyAlignment="1">
      <alignment horizontal="center" vertical="center"/>
    </xf>
    <xf numFmtId="0" fontId="11" fillId="0" borderId="89" xfId="8" applyFont="1" applyBorder="1" applyAlignment="1">
      <alignment horizontal="center" vertical="center"/>
    </xf>
    <xf numFmtId="0" fontId="11" fillId="0" borderId="46" xfId="8" applyFont="1" applyBorder="1" applyAlignment="1">
      <alignment horizontal="center" vertical="center"/>
    </xf>
    <xf numFmtId="0" fontId="11" fillId="0" borderId="35" xfId="8" applyFont="1" applyBorder="1" applyAlignment="1">
      <alignment horizontal="center" vertical="center"/>
    </xf>
    <xf numFmtId="0" fontId="13" fillId="0" borderId="37" xfId="8" applyFont="1" applyBorder="1" applyAlignment="1">
      <alignment horizontal="left" vertical="center"/>
    </xf>
    <xf numFmtId="0" fontId="13" fillId="0" borderId="90" xfId="8" applyFont="1" applyBorder="1" applyAlignment="1">
      <alignment horizontal="left" vertical="center"/>
    </xf>
    <xf numFmtId="0" fontId="13" fillId="0" borderId="39" xfId="8" applyFont="1" applyBorder="1" applyAlignment="1">
      <alignment horizontal="left" vertical="center"/>
    </xf>
    <xf numFmtId="0" fontId="13" fillId="0" borderId="40" xfId="8" applyFont="1" applyBorder="1" applyAlignment="1">
      <alignment horizontal="left" vertical="center"/>
    </xf>
    <xf numFmtId="0" fontId="13" fillId="0" borderId="20" xfId="8" applyFont="1" applyBorder="1" applyAlignment="1">
      <alignment horizontal="left" vertical="center"/>
    </xf>
    <xf numFmtId="0" fontId="13" fillId="0" borderId="72" xfId="8" applyFont="1" applyBorder="1" applyAlignment="1">
      <alignment horizontal="left" vertical="center"/>
    </xf>
    <xf numFmtId="0" fontId="14" fillId="7" borderId="52" xfId="8" applyFont="1" applyFill="1" applyBorder="1" applyAlignment="1">
      <alignment horizontal="left" vertical="center" wrapText="1"/>
    </xf>
    <xf numFmtId="0" fontId="14" fillId="7" borderId="53" xfId="8" applyFont="1" applyFill="1" applyBorder="1" applyAlignment="1">
      <alignment horizontal="left" vertical="center"/>
    </xf>
    <xf numFmtId="0" fontId="14" fillId="7" borderId="54" xfId="8" applyFont="1" applyFill="1" applyBorder="1" applyAlignment="1">
      <alignment horizontal="left" vertical="center"/>
    </xf>
    <xf numFmtId="0" fontId="14" fillId="7" borderId="40" xfId="8" applyFont="1" applyFill="1" applyBorder="1" applyAlignment="1">
      <alignment horizontal="left" vertical="center"/>
    </xf>
    <xf numFmtId="0" fontId="14" fillId="7" borderId="20" xfId="8" applyFont="1" applyFill="1" applyBorder="1" applyAlignment="1">
      <alignment horizontal="left" vertical="center"/>
    </xf>
    <xf numFmtId="0" fontId="14" fillId="7" borderId="72" xfId="8" applyFont="1" applyFill="1" applyBorder="1" applyAlignment="1">
      <alignment horizontal="left" vertical="center"/>
    </xf>
    <xf numFmtId="165" fontId="13" fillId="0" borderId="57" xfId="0" applyNumberFormat="1" applyFont="1" applyBorder="1" applyAlignment="1">
      <alignment horizontal="center" vertical="center"/>
    </xf>
    <xf numFmtId="165" fontId="13" fillId="0" borderId="8" xfId="0" applyNumberFormat="1" applyFont="1" applyBorder="1" applyAlignment="1">
      <alignment horizontal="center" vertical="center"/>
    </xf>
    <xf numFmtId="1" fontId="13" fillId="0" borderId="57" xfId="0" applyNumberFormat="1" applyFont="1" applyBorder="1" applyAlignment="1">
      <alignment horizontal="center" vertical="center"/>
    </xf>
    <xf numFmtId="1" fontId="13" fillId="0" borderId="8" xfId="0" applyNumberFormat="1" applyFont="1" applyBorder="1" applyAlignment="1">
      <alignment horizontal="center" vertical="center"/>
    </xf>
    <xf numFmtId="1" fontId="13" fillId="0" borderId="57" xfId="8" applyNumberFormat="1" applyFont="1" applyBorder="1" applyAlignment="1">
      <alignment horizontal="center" vertical="center"/>
    </xf>
    <xf numFmtId="1" fontId="13" fillId="0" borderId="59" xfId="8" applyNumberFormat="1" applyFont="1" applyBorder="1" applyAlignment="1">
      <alignment horizontal="center" vertical="center"/>
    </xf>
    <xf numFmtId="1" fontId="13" fillId="0" borderId="8" xfId="8" applyNumberFormat="1" applyFont="1" applyBorder="1" applyAlignment="1">
      <alignment horizontal="center" vertical="center"/>
    </xf>
    <xf numFmtId="167" fontId="13" fillId="0" borderId="96" xfId="3" quotePrefix="1" applyNumberFormat="1" applyFont="1" applyBorder="1" applyAlignment="1">
      <alignment horizontal="center" vertical="center"/>
    </xf>
    <xf numFmtId="167" fontId="13" fillId="0" borderId="59" xfId="3" applyNumberFormat="1" applyFont="1" applyBorder="1" applyAlignment="1">
      <alignment horizontal="center" vertical="center"/>
    </xf>
    <xf numFmtId="167" fontId="13" fillId="0" borderId="8" xfId="3" applyNumberFormat="1" applyFont="1" applyBorder="1" applyAlignment="1">
      <alignment horizontal="center" vertical="center"/>
    </xf>
    <xf numFmtId="165" fontId="13" fillId="0" borderId="56" xfId="9" applyNumberFormat="1" applyFont="1" applyBorder="1" applyAlignment="1">
      <alignment horizontal="center" vertical="center"/>
    </xf>
    <xf numFmtId="165" fontId="13" fillId="0" borderId="33" xfId="9" applyNumberFormat="1" applyFont="1" applyBorder="1" applyAlignment="1">
      <alignment horizontal="center" vertical="center"/>
    </xf>
    <xf numFmtId="0" fontId="10" fillId="0" borderId="52" xfId="8" applyFont="1" applyBorder="1" applyAlignment="1">
      <alignment horizontal="center" vertical="center" wrapText="1"/>
    </xf>
    <xf numFmtId="0" fontId="10" fillId="0" borderId="53" xfId="8" applyFont="1" applyBorder="1" applyAlignment="1">
      <alignment horizontal="center" vertical="center" wrapText="1"/>
    </xf>
    <xf numFmtId="0" fontId="10" fillId="0" borderId="54" xfId="8" applyFont="1" applyBorder="1" applyAlignment="1">
      <alignment horizontal="center" vertical="center" wrapText="1"/>
    </xf>
    <xf numFmtId="0" fontId="10" fillId="0" borderId="40" xfId="8" applyFont="1" applyBorder="1" applyAlignment="1">
      <alignment horizontal="center" vertical="center" wrapText="1"/>
    </xf>
    <xf numFmtId="0" fontId="10" fillId="0" borderId="20" xfId="8" applyFont="1" applyBorder="1" applyAlignment="1">
      <alignment horizontal="center" vertical="center" wrapText="1"/>
    </xf>
    <xf numFmtId="0" fontId="10" fillId="0" borderId="72" xfId="8" applyFont="1" applyBorder="1" applyAlignment="1">
      <alignment horizontal="center" vertical="center" wrapText="1"/>
    </xf>
    <xf numFmtId="0" fontId="11" fillId="0" borderId="27" xfId="8" applyFont="1" applyBorder="1" applyAlignment="1">
      <alignment horizontal="center" vertical="center"/>
    </xf>
    <xf numFmtId="0" fontId="11" fillId="0" borderId="61" xfId="8" applyFont="1" applyBorder="1" applyAlignment="1">
      <alignment horizontal="center" vertical="center"/>
    </xf>
    <xf numFmtId="0" fontId="11" fillId="0" borderId="25" xfId="8" applyFont="1" applyBorder="1" applyAlignment="1">
      <alignment horizontal="center" vertical="center"/>
    </xf>
    <xf numFmtId="0" fontId="11" fillId="0" borderId="43" xfId="8" applyFont="1" applyBorder="1" applyAlignment="1">
      <alignment horizontal="center" vertical="center" wrapText="1"/>
    </xf>
    <xf numFmtId="0" fontId="11" fillId="0" borderId="45" xfId="8" applyFont="1" applyBorder="1" applyAlignment="1">
      <alignment horizontal="center" vertical="center"/>
    </xf>
    <xf numFmtId="0" fontId="13" fillId="0" borderId="83" xfId="8" applyFont="1" applyBorder="1" applyAlignment="1">
      <alignment horizontal="center" vertical="center"/>
    </xf>
    <xf numFmtId="0" fontId="13" fillId="0" borderId="48" xfId="8" applyFont="1" applyBorder="1" applyAlignment="1">
      <alignment horizontal="center" vertical="center"/>
    </xf>
    <xf numFmtId="0" fontId="13" fillId="0" borderId="67" xfId="8" applyFont="1" applyBorder="1" applyAlignment="1">
      <alignment horizontal="center" vertical="center"/>
    </xf>
    <xf numFmtId="1" fontId="13" fillId="0" borderId="82" xfId="8" applyNumberFormat="1" applyFont="1" applyBorder="1" applyAlignment="1">
      <alignment horizontal="center" vertical="center"/>
    </xf>
    <xf numFmtId="1" fontId="13" fillId="0" borderId="73" xfId="8" applyNumberFormat="1" applyFont="1" applyBorder="1" applyAlignment="1">
      <alignment horizontal="center" vertical="center"/>
    </xf>
    <xf numFmtId="1" fontId="13" fillId="0" borderId="68" xfId="8" applyNumberFormat="1" applyFont="1" applyBorder="1" applyAlignment="1">
      <alignment horizontal="center" vertical="center"/>
    </xf>
    <xf numFmtId="1" fontId="13" fillId="0" borderId="83" xfId="8" applyNumberFormat="1" applyFont="1" applyBorder="1" applyAlignment="1">
      <alignment horizontal="center" vertical="center"/>
    </xf>
    <xf numFmtId="1" fontId="13" fillId="0" borderId="48" xfId="8" applyNumberFormat="1" applyFont="1" applyBorder="1" applyAlignment="1">
      <alignment horizontal="center" vertical="center"/>
    </xf>
    <xf numFmtId="1" fontId="13" fillId="0" borderId="67" xfId="8" applyNumberFormat="1" applyFont="1" applyBorder="1" applyAlignment="1">
      <alignment horizontal="center" vertical="center"/>
    </xf>
    <xf numFmtId="1" fontId="13" fillId="0" borderId="85" xfId="8" applyNumberFormat="1" applyFont="1" applyBorder="1" applyAlignment="1">
      <alignment horizontal="center" vertical="center"/>
    </xf>
    <xf numFmtId="1" fontId="13" fillId="0" borderId="91" xfId="8" applyNumberFormat="1" applyFont="1" applyBorder="1" applyAlignment="1">
      <alignment horizontal="center" vertical="center"/>
    </xf>
    <xf numFmtId="1" fontId="13" fillId="0" borderId="10" xfId="8" applyNumberFormat="1" applyFont="1" applyBorder="1" applyAlignment="1">
      <alignment horizontal="center" vertical="center"/>
    </xf>
    <xf numFmtId="1" fontId="13" fillId="0" borderId="84" xfId="8" applyNumberFormat="1" applyFont="1" applyBorder="1" applyAlignment="1">
      <alignment horizontal="center" vertical="center"/>
    </xf>
    <xf numFmtId="1" fontId="13" fillId="0" borderId="49" xfId="8" applyNumberFormat="1" applyFont="1" applyBorder="1" applyAlignment="1">
      <alignment horizontal="center" vertical="center"/>
    </xf>
    <xf numFmtId="1" fontId="13" fillId="0" borderId="11" xfId="8" applyNumberFormat="1" applyFont="1" applyBorder="1" applyAlignment="1">
      <alignment horizontal="center" vertical="center"/>
    </xf>
    <xf numFmtId="9" fontId="13" fillId="0" borderId="57" xfId="3" applyFont="1" applyBorder="1" applyAlignment="1">
      <alignment horizontal="center" vertical="center"/>
    </xf>
    <xf numFmtId="9" fontId="13" fillId="0" borderId="8" xfId="3" applyFont="1" applyBorder="1" applyAlignment="1">
      <alignment horizontal="center" vertical="center"/>
    </xf>
    <xf numFmtId="0" fontId="11" fillId="0" borderId="5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76" xfId="0" applyFont="1" applyBorder="1" applyAlignment="1">
      <alignment horizontal="center" vertical="center" wrapText="1"/>
    </xf>
    <xf numFmtId="165" fontId="13" fillId="0" borderId="99" xfId="9" applyNumberFormat="1" applyFont="1" applyBorder="1" applyAlignment="1">
      <alignment horizontal="center" vertical="center"/>
    </xf>
    <xf numFmtId="165" fontId="13" fillId="0" borderId="48" xfId="9" applyNumberFormat="1" applyFont="1" applyBorder="1" applyAlignment="1">
      <alignment horizontal="center" vertical="center"/>
    </xf>
    <xf numFmtId="165" fontId="13" fillId="0" borderId="67" xfId="9" applyNumberFormat="1" applyFont="1" applyBorder="1" applyAlignment="1">
      <alignment horizontal="center" vertical="center"/>
    </xf>
    <xf numFmtId="165" fontId="13" fillId="0" borderId="83" xfId="9" applyNumberFormat="1"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40" xfId="0" applyFont="1" applyBorder="1" applyAlignment="1">
      <alignment horizontal="center" vertical="center"/>
    </xf>
    <xf numFmtId="0" fontId="10" fillId="0" borderId="20" xfId="0" applyFont="1" applyBorder="1" applyAlignment="1">
      <alignment horizontal="center" vertical="center"/>
    </xf>
    <xf numFmtId="0" fontId="10" fillId="0" borderId="72" xfId="0" applyFont="1" applyBorder="1" applyAlignment="1">
      <alignment horizontal="center" vertical="center"/>
    </xf>
    <xf numFmtId="0" fontId="13" fillId="0" borderId="57" xfId="8" quotePrefix="1" applyFont="1" applyBorder="1" applyAlignment="1">
      <alignment horizontal="center" vertical="center"/>
    </xf>
    <xf numFmtId="0" fontId="13" fillId="0" borderId="59" xfId="8" applyFont="1" applyBorder="1" applyAlignment="1">
      <alignment horizontal="center" vertical="center"/>
    </xf>
    <xf numFmtId="0" fontId="14" fillId="0" borderId="52" xfId="8" applyFont="1" applyBorder="1" applyAlignment="1">
      <alignment horizontal="left" vertical="center" wrapText="1"/>
    </xf>
    <xf numFmtId="0" fontId="14" fillId="0" borderId="53" xfId="8" applyFont="1" applyBorder="1" applyAlignment="1">
      <alignment horizontal="left" vertical="center" wrapText="1"/>
    </xf>
    <xf numFmtId="0" fontId="14" fillId="0" borderId="54" xfId="8" applyFont="1" applyBorder="1" applyAlignment="1">
      <alignment horizontal="left" vertical="center" wrapText="1"/>
    </xf>
    <xf numFmtId="0" fontId="14" fillId="0" borderId="40" xfId="8" applyFont="1" applyBorder="1" applyAlignment="1">
      <alignment horizontal="left" vertical="center" wrapText="1"/>
    </xf>
    <xf numFmtId="0" fontId="14" fillId="0" borderId="20" xfId="8" applyFont="1" applyBorder="1" applyAlignment="1">
      <alignment horizontal="left" vertical="center" wrapText="1"/>
    </xf>
    <xf numFmtId="0" fontId="14" fillId="0" borderId="72" xfId="8" applyFont="1" applyBorder="1" applyAlignment="1">
      <alignment horizontal="left" vertical="center" wrapText="1"/>
    </xf>
    <xf numFmtId="0" fontId="14" fillId="4" borderId="52" xfId="8" applyFont="1" applyFill="1" applyBorder="1" applyAlignment="1">
      <alignment horizontal="left" vertical="center" wrapText="1"/>
    </xf>
    <xf numFmtId="0" fontId="14" fillId="4" borderId="53" xfId="8" applyFont="1" applyFill="1" applyBorder="1" applyAlignment="1">
      <alignment horizontal="left" vertical="center"/>
    </xf>
    <xf numFmtId="0" fontId="14" fillId="4" borderId="54" xfId="8" applyFont="1" applyFill="1" applyBorder="1" applyAlignment="1">
      <alignment horizontal="left" vertical="center"/>
    </xf>
    <xf numFmtId="0" fontId="14" fillId="4" borderId="47" xfId="8" applyFont="1" applyFill="1" applyBorder="1" applyAlignment="1">
      <alignment horizontal="left" vertical="center"/>
    </xf>
    <xf numFmtId="0" fontId="14" fillId="4" borderId="0" xfId="8" applyFont="1" applyFill="1" applyBorder="1" applyAlignment="1">
      <alignment horizontal="left" vertical="center"/>
    </xf>
    <xf numFmtId="0" fontId="14" fillId="4" borderId="41" xfId="8" applyFont="1" applyFill="1" applyBorder="1" applyAlignment="1">
      <alignment horizontal="left" vertical="center"/>
    </xf>
    <xf numFmtId="0" fontId="14" fillId="4" borderId="40" xfId="8" applyFont="1" applyFill="1" applyBorder="1" applyAlignment="1">
      <alignment horizontal="left" vertical="center"/>
    </xf>
    <xf numFmtId="0" fontId="14" fillId="4" borderId="20" xfId="8" applyFont="1" applyFill="1" applyBorder="1" applyAlignment="1">
      <alignment horizontal="left" vertical="center"/>
    </xf>
    <xf numFmtId="0" fontId="14" fillId="4" borderId="72" xfId="8" applyFont="1" applyFill="1" applyBorder="1" applyAlignment="1">
      <alignment horizontal="left" vertical="center"/>
    </xf>
    <xf numFmtId="0" fontId="11" fillId="0" borderId="43"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3" xfId="0" applyFont="1" applyBorder="1" applyAlignment="1">
      <alignment horizontal="center" vertical="center"/>
    </xf>
    <xf numFmtId="0" fontId="11" fillId="0" borderId="45" xfId="0" applyFont="1" applyBorder="1" applyAlignment="1">
      <alignment horizontal="center" vertical="center"/>
    </xf>
    <xf numFmtId="1" fontId="13" fillId="0" borderId="0" xfId="9" applyNumberFormat="1" applyFont="1" applyBorder="1" applyAlignment="1">
      <alignment horizontal="center" vertical="center"/>
    </xf>
    <xf numFmtId="0" fontId="13" fillId="0" borderId="0" xfId="8" applyFont="1" applyAlignment="1">
      <alignment horizontal="center" vertical="center"/>
    </xf>
    <xf numFmtId="165" fontId="13" fillId="0" borderId="57" xfId="8" applyNumberFormat="1" applyFont="1" applyBorder="1" applyAlignment="1">
      <alignment horizontal="center" vertical="center"/>
    </xf>
    <xf numFmtId="165" fontId="13" fillId="0" borderId="8" xfId="8" applyNumberFormat="1" applyFont="1" applyBorder="1" applyAlignment="1">
      <alignment horizontal="center" vertical="center"/>
    </xf>
    <xf numFmtId="165" fontId="13" fillId="0" borderId="14" xfId="8" applyNumberFormat="1" applyFont="1" applyBorder="1" applyAlignment="1">
      <alignment horizontal="center" vertical="center"/>
    </xf>
    <xf numFmtId="9" fontId="13" fillId="0" borderId="82" xfId="9" applyFont="1" applyBorder="1" applyAlignment="1">
      <alignment horizontal="center" vertical="center"/>
    </xf>
    <xf numFmtId="9" fontId="13" fillId="0" borderId="68" xfId="9" applyFont="1" applyBorder="1" applyAlignment="1">
      <alignment horizontal="center" vertical="center"/>
    </xf>
    <xf numFmtId="2" fontId="13" fillId="0" borderId="56" xfId="8" applyNumberFormat="1" applyFont="1" applyBorder="1" applyAlignment="1">
      <alignment horizontal="center" vertical="center"/>
    </xf>
    <xf numFmtId="2" fontId="13" fillId="0" borderId="33" xfId="8" applyNumberFormat="1" applyFont="1" applyBorder="1" applyAlignment="1">
      <alignment horizontal="center" vertical="center"/>
    </xf>
    <xf numFmtId="0" fontId="11" fillId="0" borderId="54" xfId="8" applyFont="1" applyBorder="1" applyAlignment="1">
      <alignment horizontal="center" vertical="center" wrapText="1"/>
    </xf>
    <xf numFmtId="0" fontId="11" fillId="0" borderId="42" xfId="8" applyFont="1" applyBorder="1" applyAlignment="1">
      <alignment horizontal="center" vertical="center"/>
    </xf>
    <xf numFmtId="0" fontId="11" fillId="0" borderId="89" xfId="8" applyFont="1" applyFill="1" applyBorder="1" applyAlignment="1">
      <alignment horizontal="center" vertical="center"/>
    </xf>
    <xf numFmtId="0" fontId="11" fillId="0" borderId="46" xfId="8" applyFont="1" applyFill="1" applyBorder="1" applyAlignment="1">
      <alignment horizontal="center" vertical="center"/>
    </xf>
    <xf numFmtId="0" fontId="11" fillId="0" borderId="35" xfId="8" applyFont="1" applyFill="1" applyBorder="1" applyAlignment="1">
      <alignment horizontal="center" vertical="center"/>
    </xf>
    <xf numFmtId="0" fontId="11" fillId="0" borderId="52" xfId="0" applyFont="1" applyBorder="1" applyAlignment="1">
      <alignment horizontal="center" vertical="center" wrapText="1"/>
    </xf>
    <xf numFmtId="0" fontId="11" fillId="0" borderId="80" xfId="0" applyFont="1" applyBorder="1" applyAlignment="1">
      <alignment horizontal="center" vertical="center" wrapText="1"/>
    </xf>
    <xf numFmtId="0" fontId="11" fillId="0" borderId="54" xfId="0" applyFont="1" applyBorder="1" applyAlignment="1">
      <alignment horizontal="center" vertical="center"/>
    </xf>
    <xf numFmtId="0" fontId="11" fillId="0" borderId="42" xfId="0" applyFont="1" applyBorder="1" applyAlignment="1">
      <alignment horizontal="center" vertical="center"/>
    </xf>
    <xf numFmtId="9" fontId="13" fillId="0" borderId="58" xfId="3" applyFont="1" applyBorder="1" applyAlignment="1">
      <alignment horizontal="center" vertical="center"/>
    </xf>
    <xf numFmtId="9" fontId="13" fillId="0" borderId="34" xfId="3" applyFont="1" applyBorder="1" applyAlignment="1">
      <alignment horizontal="center" vertical="center"/>
    </xf>
    <xf numFmtId="165" fontId="13" fillId="0" borderId="31" xfId="8" applyNumberFormat="1" applyFont="1" applyBorder="1" applyAlignment="1">
      <alignment horizontal="center" vertical="center"/>
    </xf>
    <xf numFmtId="1" fontId="13" fillId="0" borderId="84" xfId="8" quotePrefix="1" applyNumberFormat="1" applyFont="1" applyBorder="1" applyAlignment="1">
      <alignment horizontal="center" vertical="center"/>
    </xf>
    <xf numFmtId="0" fontId="11" fillId="0" borderId="74" xfId="8" applyFont="1" applyBorder="1" applyAlignment="1">
      <alignment horizontal="center" vertical="center"/>
    </xf>
    <xf numFmtId="0" fontId="11" fillId="0" borderId="78" xfId="8" applyFont="1" applyBorder="1" applyAlignment="1">
      <alignment horizontal="center" vertical="center"/>
    </xf>
    <xf numFmtId="0" fontId="13" fillId="0" borderId="99" xfId="8" applyFont="1" applyBorder="1" applyAlignment="1">
      <alignment horizontal="center" vertical="center"/>
    </xf>
    <xf numFmtId="1" fontId="13" fillId="0" borderId="100" xfId="8" quotePrefix="1" applyNumberFormat="1" applyFont="1" applyBorder="1" applyAlignment="1">
      <alignment horizontal="center" vertical="center" wrapText="1"/>
    </xf>
    <xf numFmtId="1" fontId="13" fillId="0" borderId="49" xfId="8" applyNumberFormat="1" applyFont="1" applyBorder="1" applyAlignment="1">
      <alignment horizontal="center" vertical="center" wrapText="1"/>
    </xf>
    <xf numFmtId="1" fontId="13" fillId="0" borderId="11" xfId="8" applyNumberFormat="1" applyFont="1" applyBorder="1" applyAlignment="1">
      <alignment horizontal="center" vertical="center" wrapText="1"/>
    </xf>
    <xf numFmtId="1" fontId="13" fillId="0" borderId="99" xfId="8" applyNumberFormat="1" applyFont="1" applyBorder="1" applyAlignment="1">
      <alignment horizontal="center" vertical="center"/>
    </xf>
    <xf numFmtId="1" fontId="13" fillId="0" borderId="101" xfId="8" applyNumberFormat="1" applyFont="1" applyBorder="1" applyAlignment="1">
      <alignment horizontal="center" vertical="center"/>
    </xf>
    <xf numFmtId="1" fontId="13" fillId="0" borderId="100" xfId="8" applyNumberFormat="1" applyFont="1" applyBorder="1" applyAlignment="1">
      <alignment horizontal="center" vertical="center"/>
    </xf>
    <xf numFmtId="1" fontId="13" fillId="0" borderId="96" xfId="8" applyNumberFormat="1" applyFont="1" applyBorder="1" applyAlignment="1">
      <alignment horizontal="center" vertical="center"/>
    </xf>
    <xf numFmtId="167" fontId="13" fillId="0" borderId="59" xfId="3" quotePrefix="1" applyNumberFormat="1" applyFont="1" applyBorder="1" applyAlignment="1">
      <alignment horizontal="center" vertical="center"/>
    </xf>
    <xf numFmtId="167" fontId="13" fillId="0" borderId="8" xfId="3" quotePrefix="1" applyNumberFormat="1" applyFont="1" applyBorder="1" applyAlignment="1">
      <alignment horizontal="center" vertical="center"/>
    </xf>
    <xf numFmtId="1" fontId="13" fillId="0" borderId="49" xfId="8" quotePrefix="1" applyNumberFormat="1" applyFont="1" applyBorder="1" applyAlignment="1">
      <alignment horizontal="center" vertical="center"/>
    </xf>
    <xf numFmtId="1" fontId="13" fillId="0" borderId="11" xfId="8" quotePrefix="1" applyNumberFormat="1" applyFont="1" applyBorder="1" applyAlignment="1">
      <alignment horizontal="center" vertical="center"/>
    </xf>
    <xf numFmtId="9" fontId="13" fillId="4" borderId="57" xfId="3" applyFont="1" applyFill="1" applyBorder="1" applyAlignment="1">
      <alignment horizontal="center" vertical="center"/>
    </xf>
    <xf numFmtId="9" fontId="13" fillId="4" borderId="59" xfId="3" applyFont="1" applyFill="1" applyBorder="1" applyAlignment="1">
      <alignment horizontal="center" vertical="center"/>
    </xf>
    <xf numFmtId="9" fontId="13" fillId="4" borderId="8" xfId="3" applyFont="1" applyFill="1" applyBorder="1" applyAlignment="1">
      <alignment horizontal="center" vertical="center"/>
    </xf>
    <xf numFmtId="1" fontId="13" fillId="0" borderId="83" xfId="8" quotePrefix="1" applyNumberFormat="1" applyFont="1" applyBorder="1" applyAlignment="1">
      <alignment horizontal="center" vertical="center"/>
    </xf>
    <xf numFmtId="1" fontId="13" fillId="0" borderId="48" xfId="8" quotePrefix="1" applyNumberFormat="1" applyFont="1" applyBorder="1" applyAlignment="1">
      <alignment horizontal="center" vertical="center"/>
    </xf>
    <xf numFmtId="1" fontId="13" fillId="0" borderId="67" xfId="8" quotePrefix="1" applyNumberFormat="1" applyFont="1" applyBorder="1" applyAlignment="1">
      <alignment horizontal="center" vertical="center"/>
    </xf>
    <xf numFmtId="1" fontId="13" fillId="0" borderId="85" xfId="8" quotePrefix="1" applyNumberFormat="1" applyFont="1" applyBorder="1" applyAlignment="1">
      <alignment horizontal="center" vertical="center"/>
    </xf>
    <xf numFmtId="1" fontId="13" fillId="0" borderId="91" xfId="8" quotePrefix="1" applyNumberFormat="1" applyFont="1" applyBorder="1" applyAlignment="1">
      <alignment horizontal="center" vertical="center"/>
    </xf>
    <xf numFmtId="1" fontId="13" fillId="0" borderId="10" xfId="8" quotePrefix="1" applyNumberFormat="1" applyFont="1" applyBorder="1" applyAlignment="1">
      <alignment horizontal="center" vertical="center"/>
    </xf>
    <xf numFmtId="0" fontId="11" fillId="0" borderId="53" xfId="0" applyFont="1" applyBorder="1" applyAlignment="1">
      <alignment horizontal="center" vertical="center" wrapText="1"/>
    </xf>
    <xf numFmtId="0" fontId="11" fillId="0" borderId="79" xfId="0" applyFont="1" applyBorder="1" applyAlignment="1">
      <alignment horizontal="center" vertical="center" wrapText="1"/>
    </xf>
    <xf numFmtId="1" fontId="13" fillId="0" borderId="58" xfId="0" applyNumberFormat="1" applyFont="1" applyBorder="1" applyAlignment="1">
      <alignment horizontal="center" vertical="center"/>
    </xf>
    <xf numFmtId="1" fontId="13" fillId="0" borderId="34" xfId="0" applyNumberFormat="1" applyFont="1" applyBorder="1" applyAlignment="1">
      <alignment horizontal="center" vertical="center"/>
    </xf>
    <xf numFmtId="165" fontId="13" fillId="0" borderId="99" xfId="0" applyNumberFormat="1" applyFont="1" applyBorder="1" applyAlignment="1">
      <alignment horizontal="center" vertical="center"/>
    </xf>
    <xf numFmtId="165" fontId="13" fillId="0" borderId="48" xfId="0" applyNumberFormat="1" applyFont="1" applyBorder="1" applyAlignment="1">
      <alignment horizontal="center" vertical="center"/>
    </xf>
    <xf numFmtId="165" fontId="13" fillId="0" borderId="67" xfId="0" applyNumberFormat="1" applyFont="1" applyBorder="1" applyAlignment="1">
      <alignment horizontal="center" vertical="center"/>
    </xf>
    <xf numFmtId="165" fontId="13" fillId="0" borderId="83" xfId="0" applyNumberFormat="1" applyFont="1" applyBorder="1" applyAlignment="1">
      <alignment horizontal="center" vertical="center"/>
    </xf>
    <xf numFmtId="1" fontId="13" fillId="0" borderId="56" xfId="8" applyNumberFormat="1" applyFont="1" applyBorder="1" applyAlignment="1">
      <alignment horizontal="center" vertical="center"/>
    </xf>
    <xf numFmtId="1" fontId="13" fillId="0" borderId="33" xfId="8" applyNumberFormat="1" applyFont="1" applyBorder="1" applyAlignment="1">
      <alignment horizontal="center" vertical="center"/>
    </xf>
    <xf numFmtId="167" fontId="13" fillId="4" borderId="59" xfId="3" quotePrefix="1" applyNumberFormat="1" applyFont="1" applyFill="1" applyBorder="1" applyAlignment="1">
      <alignment horizontal="center" vertical="center"/>
    </xf>
    <xf numFmtId="167" fontId="13" fillId="4" borderId="8" xfId="3" quotePrefix="1" applyNumberFormat="1" applyFont="1" applyFill="1" applyBorder="1" applyAlignment="1">
      <alignment horizontal="center" vertical="center"/>
    </xf>
    <xf numFmtId="1" fontId="13" fillId="0" borderId="84" xfId="8" applyNumberFormat="1" applyFont="1" applyBorder="1" applyAlignment="1">
      <alignment horizontal="center" vertical="center" wrapText="1"/>
    </xf>
    <xf numFmtId="2" fontId="13" fillId="0" borderId="59" xfId="8" applyNumberFormat="1" applyFont="1" applyBorder="1" applyAlignment="1">
      <alignment horizontal="center" vertical="center"/>
    </xf>
    <xf numFmtId="2" fontId="13" fillId="0" borderId="41" xfId="8" applyNumberFormat="1" applyFont="1" applyBorder="1" applyAlignment="1">
      <alignment horizontal="center" vertical="center"/>
    </xf>
    <xf numFmtId="2" fontId="13" fillId="0" borderId="34" xfId="8" applyNumberFormat="1" applyFont="1" applyBorder="1" applyAlignment="1">
      <alignment horizontal="center" vertical="center"/>
    </xf>
    <xf numFmtId="165" fontId="13" fillId="0" borderId="85" xfId="8" applyNumberFormat="1" applyFont="1" applyBorder="1" applyAlignment="1">
      <alignment horizontal="center" vertical="center"/>
    </xf>
    <xf numFmtId="165" fontId="13" fillId="0" borderId="10" xfId="8" applyNumberFormat="1" applyFont="1" applyBorder="1" applyAlignment="1">
      <alignment horizontal="center" vertical="center"/>
    </xf>
    <xf numFmtId="0" fontId="13" fillId="0" borderId="106" xfId="8" applyFont="1" applyBorder="1" applyAlignment="1">
      <alignment horizontal="center" vertical="center"/>
    </xf>
    <xf numFmtId="0" fontId="13" fillId="0" borderId="107" xfId="8" applyFont="1" applyBorder="1" applyAlignment="1">
      <alignment horizontal="center" vertical="center"/>
    </xf>
    <xf numFmtId="0" fontId="13" fillId="0" borderId="9" xfId="8" applyFont="1" applyBorder="1" applyAlignment="1">
      <alignment horizontal="center" vertical="center"/>
    </xf>
    <xf numFmtId="1" fontId="13" fillId="0" borderId="47" xfId="8" applyNumberFormat="1" applyFont="1" applyBorder="1" applyAlignment="1">
      <alignment horizontal="center" vertical="center"/>
    </xf>
    <xf numFmtId="9" fontId="13" fillId="0" borderId="57" xfId="3" quotePrefix="1" applyFont="1" applyBorder="1" applyAlignment="1">
      <alignment horizontal="center" vertical="center"/>
    </xf>
    <xf numFmtId="9" fontId="13" fillId="4" borderId="57" xfId="3" quotePrefix="1" applyFont="1" applyFill="1" applyBorder="1" applyAlignment="1">
      <alignment horizontal="center" vertical="center"/>
    </xf>
    <xf numFmtId="0" fontId="13" fillId="0" borderId="8" xfId="8" quotePrefix="1" applyFont="1" applyBorder="1" applyAlignment="1">
      <alignment horizontal="center" vertical="center"/>
    </xf>
    <xf numFmtId="0" fontId="14" fillId="0" borderId="47" xfId="8" applyFont="1" applyBorder="1" applyAlignment="1">
      <alignment horizontal="left" vertical="center" wrapText="1"/>
    </xf>
    <xf numFmtId="0" fontId="14" fillId="0" borderId="0" xfId="8" applyFont="1" applyBorder="1" applyAlignment="1">
      <alignment horizontal="left" vertical="center" wrapText="1"/>
    </xf>
    <xf numFmtId="0" fontId="14" fillId="0" borderId="41" xfId="8" applyFont="1" applyBorder="1" applyAlignment="1">
      <alignment horizontal="left" vertical="center" wrapText="1"/>
    </xf>
    <xf numFmtId="0" fontId="10" fillId="0" borderId="52" xfId="0" applyFont="1" applyFill="1" applyBorder="1" applyAlignment="1">
      <alignment horizontal="center" vertical="center"/>
    </xf>
    <xf numFmtId="0" fontId="10" fillId="0" borderId="53" xfId="0" applyFont="1" applyFill="1" applyBorder="1" applyAlignment="1">
      <alignment horizontal="center" vertical="center"/>
    </xf>
    <xf numFmtId="0" fontId="10" fillId="0" borderId="54" xfId="0" applyFont="1" applyFill="1" applyBorder="1" applyAlignment="1">
      <alignment horizontal="center" vertical="center"/>
    </xf>
    <xf numFmtId="0" fontId="10" fillId="0" borderId="40"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72" xfId="0" applyFont="1" applyFill="1" applyBorder="1" applyAlignment="1">
      <alignment horizontal="center" vertical="center"/>
    </xf>
    <xf numFmtId="0" fontId="11" fillId="0" borderId="55"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102" xfId="0" applyFont="1" applyFill="1" applyBorder="1" applyAlignment="1">
      <alignment horizontal="center" vertical="center" wrapText="1"/>
    </xf>
    <xf numFmtId="0" fontId="11" fillId="0" borderId="93"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42" xfId="0" applyFont="1" applyFill="1" applyBorder="1" applyAlignment="1">
      <alignment horizontal="center" vertical="center" wrapText="1"/>
    </xf>
    <xf numFmtId="165" fontId="13" fillId="0" borderId="51" xfId="8" applyNumberFormat="1" applyFont="1" applyFill="1" applyBorder="1" applyAlignment="1">
      <alignment horizontal="center" vertical="center"/>
    </xf>
    <xf numFmtId="165" fontId="13" fillId="0" borderId="14" xfId="8" applyNumberFormat="1" applyFont="1" applyFill="1" applyBorder="1" applyAlignment="1">
      <alignment horizontal="center" vertical="center"/>
    </xf>
    <xf numFmtId="165" fontId="13" fillId="0" borderId="31" xfId="8" applyNumberFormat="1" applyFont="1" applyFill="1" applyBorder="1" applyAlignment="1">
      <alignment horizontal="center" vertical="center"/>
    </xf>
    <xf numFmtId="164" fontId="7" fillId="4" borderId="1" xfId="4" applyFont="1" applyFill="1" applyBorder="1" applyAlignment="1">
      <alignment horizontal="center" vertical="center"/>
    </xf>
    <xf numFmtId="164" fontId="7" fillId="4" borderId="2" xfId="4" applyFont="1" applyFill="1" applyBorder="1" applyAlignment="1">
      <alignment horizontal="center" vertical="center"/>
    </xf>
    <xf numFmtId="164" fontId="7" fillId="4" borderId="3" xfId="4" applyFont="1" applyFill="1" applyBorder="1" applyAlignment="1">
      <alignment horizontal="center" vertical="center"/>
    </xf>
    <xf numFmtId="0" fontId="2" fillId="4" borderId="4"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xf numFmtId="10" fontId="2" fillId="4" borderId="3" xfId="3" applyNumberFormat="1" applyFont="1" applyFill="1" applyBorder="1" applyAlignment="1">
      <alignment horizontal="center"/>
    </xf>
    <xf numFmtId="0" fontId="1" fillId="4" borderId="27" xfId="10" applyFill="1" applyBorder="1" applyAlignment="1" applyProtection="1">
      <alignment horizontal="left" vertical="center" wrapText="1"/>
      <protection locked="0"/>
    </xf>
    <xf numFmtId="0" fontId="1" fillId="4" borderId="61" xfId="10" applyFill="1" applyBorder="1" applyAlignment="1" applyProtection="1">
      <alignment horizontal="left" vertical="center" wrapText="1"/>
      <protection locked="0"/>
    </xf>
    <xf numFmtId="0" fontId="1" fillId="4" borderId="25" xfId="10" applyFill="1" applyBorder="1" applyAlignment="1" applyProtection="1">
      <alignment horizontal="left" vertical="center" wrapText="1"/>
      <protection locked="0"/>
    </xf>
    <xf numFmtId="0" fontId="1" fillId="4" borderId="40" xfId="10" applyFill="1" applyBorder="1" applyAlignment="1" applyProtection="1">
      <alignment horizontal="left" vertical="center" wrapText="1"/>
      <protection locked="0"/>
    </xf>
    <xf numFmtId="0" fontId="1" fillId="4" borderId="20" xfId="10" applyFill="1" applyBorder="1" applyAlignment="1" applyProtection="1">
      <alignment horizontal="left" vertical="center" wrapText="1"/>
      <protection locked="0"/>
    </xf>
    <xf numFmtId="0" fontId="1" fillId="4" borderId="72" xfId="10" applyFill="1" applyBorder="1" applyAlignment="1" applyProtection="1">
      <alignment horizontal="left" vertical="center" wrapText="1"/>
      <protection locked="0"/>
    </xf>
    <xf numFmtId="0" fontId="2" fillId="4" borderId="32"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89"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35" xfId="0" applyFont="1" applyFill="1" applyBorder="1" applyAlignment="1">
      <alignment horizontal="center" vertical="center" wrapText="1"/>
    </xf>
    <xf numFmtId="1" fontId="5" fillId="4" borderId="69" xfId="1" applyNumberFormat="1" applyFont="1" applyFill="1" applyBorder="1" applyAlignment="1">
      <alignment horizontal="center" vertical="center"/>
    </xf>
    <xf numFmtId="49" fontId="0" fillId="4" borderId="52" xfId="0" applyNumberFormat="1" applyFill="1" applyBorder="1" applyAlignment="1">
      <alignment horizontal="left"/>
    </xf>
    <xf numFmtId="49" fontId="0" fillId="4" borderId="0" xfId="0" applyNumberFormat="1" applyFill="1" applyBorder="1" applyAlignment="1">
      <alignment horizontal="left"/>
    </xf>
    <xf numFmtId="49" fontId="0" fillId="4" borderId="41" xfId="0" applyNumberFormat="1" applyFill="1" applyBorder="1" applyAlignment="1">
      <alignment horizontal="left"/>
    </xf>
    <xf numFmtId="49" fontId="0" fillId="4" borderId="47" xfId="0" applyNumberFormat="1" applyFill="1" applyBorder="1" applyAlignment="1">
      <alignment horizontal="left"/>
    </xf>
    <xf numFmtId="49" fontId="0" fillId="4" borderId="40" xfId="0" applyNumberFormat="1" applyFill="1" applyBorder="1" applyAlignment="1">
      <alignment horizontal="left"/>
    </xf>
    <xf numFmtId="49" fontId="0" fillId="4" borderId="20" xfId="0" applyNumberFormat="1" applyFill="1" applyBorder="1" applyAlignment="1">
      <alignment horizontal="left"/>
    </xf>
    <xf numFmtId="49" fontId="0" fillId="4" borderId="72" xfId="0" applyNumberFormat="1" applyFill="1" applyBorder="1" applyAlignment="1">
      <alignment horizontal="left"/>
    </xf>
    <xf numFmtId="166" fontId="5" fillId="4" borderId="4" xfId="1" applyNumberFormat="1" applyFont="1" applyFill="1" applyBorder="1" applyAlignment="1">
      <alignment horizontal="center" vertical="center" wrapText="1"/>
    </xf>
    <xf numFmtId="171" fontId="0" fillId="4" borderId="4" xfId="3" applyNumberFormat="1" applyFont="1" applyFill="1" applyBorder="1" applyAlignment="1">
      <alignment horizontal="center" vertical="center"/>
    </xf>
    <xf numFmtId="0" fontId="2" fillId="4" borderId="1" xfId="6" applyFont="1" applyFill="1" applyBorder="1" applyAlignment="1">
      <alignment horizontal="center" vertical="center"/>
    </xf>
    <xf numFmtId="0" fontId="2" fillId="4" borderId="2" xfId="6" applyFont="1" applyFill="1" applyBorder="1" applyAlignment="1">
      <alignment horizontal="center" vertical="center"/>
    </xf>
    <xf numFmtId="0" fontId="2" fillId="4" borderId="3" xfId="6" applyFont="1" applyFill="1" applyBorder="1" applyAlignment="1">
      <alignment horizontal="center" vertical="center"/>
    </xf>
    <xf numFmtId="0" fontId="3" fillId="4" borderId="4" xfId="6" applyFill="1" applyBorder="1" applyAlignment="1">
      <alignment horizontal="center" vertical="center"/>
    </xf>
    <xf numFmtId="171" fontId="3" fillId="4" borderId="3" xfId="6" applyNumberFormat="1" applyFill="1" applyBorder="1" applyAlignment="1">
      <alignment horizontal="center" vertical="center"/>
    </xf>
    <xf numFmtId="0" fontId="3" fillId="4" borderId="4" xfId="6" applyFill="1" applyBorder="1" applyAlignment="1">
      <alignment horizontal="left" vertical="center"/>
    </xf>
    <xf numFmtId="171" fontId="3" fillId="4" borderId="0" xfId="6" applyNumberFormat="1" applyFill="1" applyAlignment="1">
      <alignment horizontal="center" vertical="center"/>
    </xf>
    <xf numFmtId="0" fontId="3" fillId="4" borderId="0" xfId="6" applyFill="1" applyAlignment="1">
      <alignment horizontal="center" vertical="center"/>
    </xf>
    <xf numFmtId="167" fontId="3" fillId="4" borderId="0" xfId="3" applyNumberFormat="1" applyFill="1" applyAlignment="1">
      <alignment horizontal="center" vertical="center"/>
    </xf>
    <xf numFmtId="165" fontId="3" fillId="4" borderId="0" xfId="6" applyNumberFormat="1" applyFill="1" applyAlignment="1">
      <alignment horizontal="center" vertical="center"/>
    </xf>
    <xf numFmtId="0" fontId="10" fillId="4" borderId="52" xfId="8" applyFont="1" applyFill="1" applyBorder="1" applyAlignment="1">
      <alignment horizontal="center" vertical="center" wrapText="1"/>
    </xf>
    <xf numFmtId="0" fontId="10" fillId="4" borderId="53" xfId="8" applyFont="1" applyFill="1" applyBorder="1" applyAlignment="1">
      <alignment horizontal="center" vertical="center" wrapText="1"/>
    </xf>
    <xf numFmtId="0" fontId="10" fillId="4" borderId="40" xfId="8" applyFont="1" applyFill="1" applyBorder="1" applyAlignment="1">
      <alignment horizontal="center" vertical="center" wrapText="1"/>
    </xf>
    <xf numFmtId="0" fontId="10" fillId="4" borderId="20" xfId="8" applyFont="1" applyFill="1" applyBorder="1" applyAlignment="1">
      <alignment horizontal="center" vertical="center" wrapText="1"/>
    </xf>
    <xf numFmtId="2" fontId="13" fillId="4" borderId="4" xfId="8" applyNumberFormat="1" applyFont="1" applyFill="1" applyBorder="1" applyAlignment="1">
      <alignment horizontal="center" vertical="center"/>
    </xf>
    <xf numFmtId="2" fontId="13" fillId="4" borderId="44" xfId="8" applyNumberFormat="1" applyFont="1" applyFill="1" applyBorder="1" applyAlignment="1">
      <alignment horizontal="center" vertical="center"/>
    </xf>
    <xf numFmtId="2" fontId="11" fillId="4" borderId="4" xfId="8" applyNumberFormat="1" applyFont="1" applyFill="1" applyBorder="1" applyAlignment="1">
      <alignment horizontal="center" vertical="center"/>
    </xf>
    <xf numFmtId="0" fontId="10" fillId="4" borderId="54" xfId="8" applyFont="1" applyFill="1" applyBorder="1" applyAlignment="1">
      <alignment horizontal="center" vertical="center" wrapText="1"/>
    </xf>
    <xf numFmtId="0" fontId="10" fillId="4" borderId="72" xfId="8" applyFont="1" applyFill="1" applyBorder="1" applyAlignment="1">
      <alignment horizontal="center" vertical="center" wrapText="1"/>
    </xf>
    <xf numFmtId="2" fontId="11" fillId="4" borderId="44" xfId="8" applyNumberFormat="1" applyFont="1" applyFill="1" applyBorder="1" applyAlignment="1">
      <alignment horizontal="center" vertical="center"/>
    </xf>
  </cellXfs>
  <cellStyles count="16">
    <cellStyle name="Comma" xfId="1" builtinId="3"/>
    <cellStyle name="Comma 2" xfId="15" xr:uid="{8AAD23BC-2100-4620-B6F6-E4B8272AFD13}"/>
    <cellStyle name="Currency" xfId="2" builtinId="4"/>
    <cellStyle name="Normal" xfId="0" builtinId="0"/>
    <cellStyle name="Normal 104" xfId="4" xr:uid="{31161511-8EEC-4317-B89F-A12FD18856ED}"/>
    <cellStyle name="Normal 106" xfId="6" xr:uid="{16435A3D-9E4F-4690-8252-710EE65D21D4}"/>
    <cellStyle name="Normal 2" xfId="10" xr:uid="{8494A616-56BB-6140-84AD-ABDFE5B11499}"/>
    <cellStyle name="Normal 2 2" xfId="11" xr:uid="{5777190F-A4CE-4AB9-9FBE-9007EAD0A77F}"/>
    <cellStyle name="Normal 2 2 3" xfId="8" xr:uid="{1C96E4E1-B41E-492F-86F2-E53EF5BB4B78}"/>
    <cellStyle name="Normal 2 3" xfId="12" xr:uid="{9B73C5CB-BA41-493B-8367-4B221616B509}"/>
    <cellStyle name="Normal 3" xfId="13" xr:uid="{C2231180-6B5C-488E-908C-C902F9091351}"/>
    <cellStyle name="Normal 66 5" xfId="5" xr:uid="{49A63CCC-6D30-4ABB-87EC-C811575A15FC}"/>
    <cellStyle name="Normal_Worksheet" xfId="14" xr:uid="{9CD723A8-370F-4839-95A3-55F99FDACC78}"/>
    <cellStyle name="Percent" xfId="3" builtinId="5"/>
    <cellStyle name="Percent 2" xfId="9" xr:uid="{061BB120-E7AE-4329-94CF-ECB70FFB751D}"/>
    <cellStyle name="Percent 6" xfId="7" xr:uid="{E2AFEED3-C4D2-46CD-8C0D-ACC90969B30A}"/>
  </cellStyles>
  <dxfs count="93">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auto="1"/>
      </font>
      <fill>
        <patternFill>
          <bgColor theme="7" tint="0.79998168889431442"/>
        </patternFill>
      </fill>
    </dxf>
    <dxf>
      <fill>
        <patternFill>
          <bgColor theme="7" tint="0.79998168889431442"/>
        </patternFill>
      </fill>
    </dxf>
    <dxf>
      <fill>
        <patternFill>
          <bgColor rgb="FFFFFF99"/>
        </patternFill>
      </fill>
    </dxf>
    <dxf>
      <fill>
        <patternFill>
          <bgColor rgb="FFFFFF99"/>
        </patternFill>
      </fill>
    </dxf>
    <dxf>
      <fill>
        <patternFill>
          <bgColor rgb="FFFFFF99"/>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7"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7" tint="0.79998168889431442"/>
        </patternFill>
      </fill>
    </dxf>
    <dxf>
      <fill>
        <patternFill>
          <bgColor theme="7" tint="0.79998168889431442"/>
        </patternFill>
      </fill>
    </dxf>
    <dxf>
      <numFmt numFmtId="19" formatCode="m/d/yyyy"/>
      <alignment horizontal="center" vertical="center" textRotation="0" wrapText="0" indent="0" justifyLastLine="0" shrinkToFit="0" readingOrder="0"/>
    </dxf>
    <dxf>
      <numFmt numFmtId="19" formatCode="m/d/yyyy"/>
      <alignment horizontal="center" vertical="center" textRotation="0" wrapText="0" indent="0" justifyLastLine="0" shrinkToFit="0" readingOrder="0"/>
    </dxf>
    <dxf>
      <alignment horizontal="general"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5" formatCode="_(* #,##0.00_);_(* \(#,##0.00\);_(* &quot;-&quot;??_);_(@_)"/>
      <alignment horizontal="general" vertical="center" textRotation="0" wrapText="0" indent="0" justifyLastLine="0" shrinkToFit="0" readingOrder="0"/>
    </dxf>
    <dxf>
      <alignmen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left"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30" formatCode="@"/>
      <alignment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vertical="center" textRotation="0" wrapText="0" indent="0" justifyLastLine="0" shrinkToFit="0" readingOrder="0"/>
    </dxf>
    <dxf>
      <alignmen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2011-2020 Co-incident Peak</a:t>
            </a:r>
            <a:r>
              <a:rPr lang="en-CA" baseline="0"/>
              <a:t> Load Growth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1"/>
            <c:trendlineLbl>
              <c:layout>
                <c:manualLayout>
                  <c:x val="-0.12013157716614359"/>
                  <c:y val="-5.7986195204650037E-2"/>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val>
            <c:numRef>
              <c:f>'2011-2020'!$L$1108:$L$1118</c:f>
              <c:numCache>
                <c:formatCode>0</c:formatCode>
                <c:ptCount val="11"/>
                <c:pt idx="0">
                  <c:v>2044</c:v>
                </c:pt>
                <c:pt idx="1">
                  <c:v>1881</c:v>
                </c:pt>
                <c:pt idx="2">
                  <c:v>2033</c:v>
                </c:pt>
                <c:pt idx="3">
                  <c:v>2119</c:v>
                </c:pt>
                <c:pt idx="4">
                  <c:v>2015</c:v>
                </c:pt>
                <c:pt idx="5">
                  <c:v>2111</c:v>
                </c:pt>
                <c:pt idx="6">
                  <c:v>2018</c:v>
                </c:pt>
                <c:pt idx="7">
                  <c:v>2073</c:v>
                </c:pt>
                <c:pt idx="8">
                  <c:v>2060</c:v>
                </c:pt>
                <c:pt idx="9">
                  <c:v>2245</c:v>
                </c:pt>
                <c:pt idx="10">
                  <c:v>2237</c:v>
                </c:pt>
              </c:numCache>
            </c:numRef>
          </c:val>
          <c:smooth val="0"/>
          <c:extLst>
            <c:ext xmlns:c16="http://schemas.microsoft.com/office/drawing/2014/chart" uri="{C3380CC4-5D6E-409C-BE32-E72D297353CC}">
              <c16:uniqueId val="{00000000-F34F-4A0B-BEE8-16DD178C50BC}"/>
            </c:ext>
          </c:extLst>
        </c:ser>
        <c:dLbls>
          <c:showLegendKey val="0"/>
          <c:showVal val="0"/>
          <c:showCatName val="0"/>
          <c:showSerName val="0"/>
          <c:showPercent val="0"/>
          <c:showBubbleSize val="0"/>
        </c:dLbls>
        <c:smooth val="0"/>
        <c:axId val="1176256112"/>
        <c:axId val="1176247256"/>
      </c:lineChart>
      <c:catAx>
        <c:axId val="117625611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6247256"/>
        <c:crosses val="autoZero"/>
        <c:auto val="1"/>
        <c:lblAlgn val="ctr"/>
        <c:lblOffset val="100"/>
        <c:noMultiLvlLbl val="0"/>
      </c:catAx>
      <c:valAx>
        <c:axId val="11762472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6256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Firm Load Growth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1"/>
            <c:trendlineLbl>
              <c:layout>
                <c:manualLayout>
                  <c:x val="-0.12987683669752104"/>
                  <c:y val="-7.2856733240426644E-2"/>
                </c:manualLayout>
              </c:layout>
              <c:numFmt formatCode="General" sourceLinked="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rendlineLbl>
          </c:trendline>
          <c:val>
            <c:numRef>
              <c:f>'2011-2020'!$K$1108:$K$1118</c:f>
              <c:numCache>
                <c:formatCode>0</c:formatCode>
                <c:ptCount val="11"/>
                <c:pt idx="0">
                  <c:v>1903</c:v>
                </c:pt>
                <c:pt idx="1">
                  <c:v>1740</c:v>
                </c:pt>
                <c:pt idx="2">
                  <c:v>1897</c:v>
                </c:pt>
                <c:pt idx="3">
                  <c:v>2036</c:v>
                </c:pt>
                <c:pt idx="4">
                  <c:v>1874</c:v>
                </c:pt>
                <c:pt idx="5">
                  <c:v>2013</c:v>
                </c:pt>
                <c:pt idx="6">
                  <c:v>1951</c:v>
                </c:pt>
                <c:pt idx="7">
                  <c:v>1993</c:v>
                </c:pt>
                <c:pt idx="8">
                  <c:v>1949</c:v>
                </c:pt>
                <c:pt idx="9">
                  <c:v>2098</c:v>
                </c:pt>
                <c:pt idx="10">
                  <c:v>2085</c:v>
                </c:pt>
              </c:numCache>
            </c:numRef>
          </c:val>
          <c:smooth val="0"/>
          <c:extLst>
            <c:ext xmlns:c16="http://schemas.microsoft.com/office/drawing/2014/chart" uri="{C3380CC4-5D6E-409C-BE32-E72D297353CC}">
              <c16:uniqueId val="{00000000-F266-4E77-A341-16F23607F5BC}"/>
            </c:ext>
          </c:extLst>
        </c:ser>
        <c:dLbls>
          <c:showLegendKey val="0"/>
          <c:showVal val="0"/>
          <c:showCatName val="0"/>
          <c:showSerName val="0"/>
          <c:showPercent val="0"/>
          <c:showBubbleSize val="0"/>
        </c:dLbls>
        <c:smooth val="0"/>
        <c:axId val="1009176880"/>
        <c:axId val="1009177208"/>
      </c:lineChart>
      <c:catAx>
        <c:axId val="1009176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9177208"/>
        <c:crosses val="autoZero"/>
        <c:auto val="1"/>
        <c:lblAlgn val="ctr"/>
        <c:lblOffset val="100"/>
        <c:noMultiLvlLbl val="0"/>
      </c:catAx>
      <c:valAx>
        <c:axId val="1009177208"/>
        <c:scaling>
          <c:orientation val="minMax"/>
          <c:max val="2300"/>
          <c:min val="16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9176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37181</xdr:colOff>
      <xdr:row>27</xdr:row>
      <xdr:rowOff>37473</xdr:rowOff>
    </xdr:to>
    <xdr:pic>
      <xdr:nvPicPr>
        <xdr:cNvPr id="2" name="Picture 1">
          <a:extLst>
            <a:ext uri="{FF2B5EF4-FFF2-40B4-BE49-F238E27FC236}">
              <a16:creationId xmlns:a16="http://schemas.microsoft.com/office/drawing/2014/main" id="{A10E277E-B90D-4787-8A9C-C64CFEDAA2CD}"/>
            </a:ext>
          </a:extLst>
        </xdr:cNvPr>
        <xdr:cNvPicPr>
          <a:picLocks noChangeAspect="1"/>
        </xdr:cNvPicPr>
      </xdr:nvPicPr>
      <xdr:blipFill>
        <a:blip xmlns:r="http://schemas.openxmlformats.org/officeDocument/2006/relationships" r:embed="rId1"/>
        <a:stretch>
          <a:fillRect/>
        </a:stretch>
      </xdr:blipFill>
      <xdr:spPr>
        <a:xfrm>
          <a:off x="142875" y="123825"/>
          <a:ext cx="7352381" cy="47713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2456065</xdr:colOff>
      <xdr:row>1100</xdr:row>
      <xdr:rowOff>0</xdr:rowOff>
    </xdr:from>
    <xdr:to>
      <xdr:col>16</xdr:col>
      <xdr:colOff>17417</xdr:colOff>
      <xdr:row>1107</xdr:row>
      <xdr:rowOff>106952</xdr:rowOff>
    </xdr:to>
    <xdr:cxnSp macro="">
      <xdr:nvCxnSpPr>
        <xdr:cNvPr id="5" name="Straight Arrow Connector 4">
          <a:extLst>
            <a:ext uri="{FF2B5EF4-FFF2-40B4-BE49-F238E27FC236}">
              <a16:creationId xmlns:a16="http://schemas.microsoft.com/office/drawing/2014/main" id="{9BA04289-D83B-41CC-AD28-EE3052B9914C}"/>
            </a:ext>
          </a:extLst>
        </xdr:cNvPr>
        <xdr:cNvCxnSpPr/>
      </xdr:nvCxnSpPr>
      <xdr:spPr>
        <a:xfrm>
          <a:off x="18240351" y="195602679"/>
          <a:ext cx="9658102" cy="1590130"/>
        </a:xfrm>
        <a:prstGeom prst="straightConnector1">
          <a:avLst/>
        </a:prstGeom>
        <a:ln w="38100">
          <a:solidFill>
            <a:srgbClr val="00B050"/>
          </a:solidFill>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1095993</xdr:colOff>
      <xdr:row>1104</xdr:row>
      <xdr:rowOff>201683</xdr:rowOff>
    </xdr:from>
    <xdr:to>
      <xdr:col>7</xdr:col>
      <xdr:colOff>2258786</xdr:colOff>
      <xdr:row>1124</xdr:row>
      <xdr:rowOff>108857</xdr:rowOff>
    </xdr:to>
    <xdr:graphicFrame macro="">
      <xdr:nvGraphicFramePr>
        <xdr:cNvPr id="7" name="Chart 6">
          <a:extLst>
            <a:ext uri="{FF2B5EF4-FFF2-40B4-BE49-F238E27FC236}">
              <a16:creationId xmlns:a16="http://schemas.microsoft.com/office/drawing/2014/main" id="{BA113E4F-F007-4415-9262-6B13FC5EA2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1103811</xdr:colOff>
      <xdr:row>1148</xdr:row>
      <xdr:rowOff>20681</xdr:rowOff>
    </xdr:from>
    <xdr:to>
      <xdr:col>7</xdr:col>
      <xdr:colOff>2322739</xdr:colOff>
      <xdr:row>1169</xdr:row>
      <xdr:rowOff>92799</xdr:rowOff>
    </xdr:to>
    <xdr:graphicFrame macro="">
      <xdr:nvGraphicFramePr>
        <xdr:cNvPr id="2" name="Chart 1">
          <a:extLst>
            <a:ext uri="{FF2B5EF4-FFF2-40B4-BE49-F238E27FC236}">
              <a16:creationId xmlns:a16="http://schemas.microsoft.com/office/drawing/2014/main" id="{B0FF4B58-0F61-4A10-8D02-0CA9AA7331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1114425</xdr:colOff>
      <xdr:row>1126</xdr:row>
      <xdr:rowOff>9525</xdr:rowOff>
    </xdr:from>
    <xdr:to>
      <xdr:col>7</xdr:col>
      <xdr:colOff>1966952</xdr:colOff>
      <xdr:row>1145</xdr:row>
      <xdr:rowOff>96142</xdr:rowOff>
    </xdr:to>
    <xdr:pic>
      <xdr:nvPicPr>
        <xdr:cNvPr id="3" name="Picture 2">
          <a:extLst>
            <a:ext uri="{FF2B5EF4-FFF2-40B4-BE49-F238E27FC236}">
              <a16:creationId xmlns:a16="http://schemas.microsoft.com/office/drawing/2014/main" id="{BADB1235-0EC6-45F3-BFDB-68ED1202E6D8}"/>
            </a:ext>
          </a:extLst>
        </xdr:cNvPr>
        <xdr:cNvPicPr>
          <a:picLocks noChangeAspect="1"/>
        </xdr:cNvPicPr>
      </xdr:nvPicPr>
      <xdr:blipFill>
        <a:blip xmlns:r="http://schemas.openxmlformats.org/officeDocument/2006/relationships" r:embed="rId3"/>
        <a:stretch>
          <a:fillRect/>
        </a:stretch>
      </xdr:blipFill>
      <xdr:spPr>
        <a:xfrm>
          <a:off x="5133975" y="204997050"/>
          <a:ext cx="8480000" cy="3752381"/>
        </a:xfrm>
        <a:prstGeom prst="rect">
          <a:avLst/>
        </a:prstGeom>
      </xdr:spPr>
    </xdr:pic>
    <xdr:clientData/>
  </xdr:twoCellAnchor>
  <xdr:twoCellAnchor>
    <xdr:from>
      <xdr:col>4</xdr:col>
      <xdr:colOff>704850</xdr:colOff>
      <xdr:row>1126</xdr:row>
      <xdr:rowOff>9525</xdr:rowOff>
    </xdr:from>
    <xdr:to>
      <xdr:col>6</xdr:col>
      <xdr:colOff>857250</xdr:colOff>
      <xdr:row>1128</xdr:row>
      <xdr:rowOff>19050</xdr:rowOff>
    </xdr:to>
    <xdr:sp macro="" textlink="">
      <xdr:nvSpPr>
        <xdr:cNvPr id="4" name="TextBox 3">
          <a:extLst>
            <a:ext uri="{FF2B5EF4-FFF2-40B4-BE49-F238E27FC236}">
              <a16:creationId xmlns:a16="http://schemas.microsoft.com/office/drawing/2014/main" id="{26A7A014-6151-4E12-9B82-6111A7C0DC94}"/>
            </a:ext>
          </a:extLst>
        </xdr:cNvPr>
        <xdr:cNvSpPr txBox="1"/>
      </xdr:nvSpPr>
      <xdr:spPr>
        <a:xfrm>
          <a:off x="7648575" y="204997050"/>
          <a:ext cx="3571875"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2011-2020 Co-incident Peak</a:t>
          </a:r>
          <a:r>
            <a:rPr lang="en-CA" sz="1100" baseline="0"/>
            <a:t> Load Growth Inc. PHP</a:t>
          </a:r>
          <a:endParaRPr lang="en-CA" sz="1100"/>
        </a:p>
      </xdr:txBody>
    </xdr:sp>
    <xdr:clientData/>
  </xdr:twoCellAnchor>
  <xdr:twoCellAnchor>
    <xdr:from>
      <xdr:col>3</xdr:col>
      <xdr:colOff>1477462</xdr:colOff>
      <xdr:row>1128</xdr:row>
      <xdr:rowOff>106953</xdr:rowOff>
    </xdr:from>
    <xdr:to>
      <xdr:col>4</xdr:col>
      <xdr:colOff>1646463</xdr:colOff>
      <xdr:row>1130</xdr:row>
      <xdr:rowOff>136072</xdr:rowOff>
    </xdr:to>
    <xdr:sp macro="" textlink="">
      <xdr:nvSpPr>
        <xdr:cNvPr id="6" name="TextBox 5">
          <a:extLst>
            <a:ext uri="{FF2B5EF4-FFF2-40B4-BE49-F238E27FC236}">
              <a16:creationId xmlns:a16="http://schemas.microsoft.com/office/drawing/2014/main" id="{0002835D-85E1-4182-A6B0-D758BF5ACE74}"/>
            </a:ext>
          </a:extLst>
        </xdr:cNvPr>
        <xdr:cNvSpPr txBox="1"/>
      </xdr:nvSpPr>
      <xdr:spPr>
        <a:xfrm>
          <a:off x="5491569" y="200934774"/>
          <a:ext cx="3094537" cy="396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CA" sz="1600"/>
            <a:t>Set PHP 2012 load</a:t>
          </a:r>
          <a:r>
            <a:rPr lang="en-CA" sz="1600" baseline="0"/>
            <a:t> at 265MW</a:t>
          </a:r>
          <a:endParaRPr lang="en-CA" sz="16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e827\AppData\Local\Microsoft\Windows\INetCache\Content.Outlook\RQKE9QQ8\TD%20Final%20Cost%20Projects%202020%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mp;D FINs"/>
      <sheetName val="Actuals"/>
      <sheetName val="Approval"/>
    </sheetNames>
    <sheetDataSet>
      <sheetData sheetId="0"/>
      <sheetData sheetId="1"/>
      <sheetData sheetId="2">
        <row r="2">
          <cell r="A2" t="str">
            <v>Funding Project</v>
          </cell>
          <cell r="B2" t="str">
            <v>Description</v>
          </cell>
          <cell r="C2" t="str">
            <v>Appr Type</v>
          </cell>
          <cell r="D2" t="str">
            <v>Revision</v>
          </cell>
          <cell r="E2" t="str">
            <v>Revision Status</v>
          </cell>
          <cell r="F2" t="str">
            <v>Estimated In Service</v>
          </cell>
          <cell r="G2" t="str">
            <v>Estimated Complete</v>
          </cell>
          <cell r="H2" t="str">
            <v>Amount</v>
          </cell>
          <cell r="I2" t="str">
            <v>Budget Version</v>
          </cell>
          <cell r="J2" t="str">
            <v>Date Approved</v>
          </cell>
        </row>
        <row r="3">
          <cell r="A3" t="str">
            <v>49795-T941</v>
          </cell>
          <cell r="B3" t="str">
            <v>100C Cape Porcupine Switch Addition</v>
          </cell>
          <cell r="C3" t="str">
            <v>FIN Approval - Internal</v>
          </cell>
          <cell r="D3">
            <v>60</v>
          </cell>
          <cell r="E3" t="str">
            <v>APPROVED</v>
          </cell>
          <cell r="F3">
            <v>43251</v>
          </cell>
          <cell r="G3">
            <v>43830</v>
          </cell>
          <cell r="H3">
            <v>248377.98</v>
          </cell>
          <cell r="I3" t="str">
            <v>FIN Submission</v>
          </cell>
          <cell r="J3">
            <v>44105</v>
          </cell>
        </row>
        <row r="4">
          <cell r="A4" t="str">
            <v>C0009598</v>
          </cell>
          <cell r="B4" t="str">
            <v>100C-T61 Transformer Repair</v>
          </cell>
          <cell r="C4" t="str">
            <v>FIN Approval - Internal</v>
          </cell>
          <cell r="D4">
            <v>14</v>
          </cell>
          <cell r="E4" t="str">
            <v>APPROVED</v>
          </cell>
          <cell r="F4">
            <v>43281</v>
          </cell>
          <cell r="G4">
            <v>44135</v>
          </cell>
          <cell r="H4">
            <v>84789.32</v>
          </cell>
          <cell r="I4" t="str">
            <v>FIN Submission</v>
          </cell>
          <cell r="J4">
            <v>44105</v>
          </cell>
        </row>
        <row r="5">
          <cell r="A5" t="str">
            <v>43177-D570</v>
          </cell>
          <cell r="B5" t="str">
            <v>103W-311 Gold River Reconductor Ph3</v>
          </cell>
          <cell r="C5" t="str">
            <v>FIN Approval - Internal</v>
          </cell>
          <cell r="D5">
            <v>121</v>
          </cell>
          <cell r="E5" t="str">
            <v>APPROVED</v>
          </cell>
          <cell r="F5">
            <v>42384</v>
          </cell>
          <cell r="G5">
            <v>44135</v>
          </cell>
          <cell r="H5">
            <v>572007.71</v>
          </cell>
          <cell r="I5" t="str">
            <v>FIN Submission</v>
          </cell>
          <cell r="J5">
            <v>44126</v>
          </cell>
        </row>
        <row r="6">
          <cell r="A6" t="str">
            <v>52241</v>
          </cell>
          <cell r="B6" t="str">
            <v>16V-T2 Weymouth Hydro Transformer R</v>
          </cell>
          <cell r="C6" t="str">
            <v>FIN Approval - Internal</v>
          </cell>
          <cell r="D6">
            <v>40</v>
          </cell>
          <cell r="E6" t="str">
            <v>APPROVED</v>
          </cell>
          <cell r="F6">
            <v>43434</v>
          </cell>
          <cell r="G6">
            <v>44104</v>
          </cell>
          <cell r="H6">
            <v>674829.15</v>
          </cell>
          <cell r="I6" t="str">
            <v>FIN Submission</v>
          </cell>
          <cell r="J6">
            <v>44105</v>
          </cell>
        </row>
        <row r="7">
          <cell r="A7" t="str">
            <v>49041-D738</v>
          </cell>
          <cell r="B7" t="str">
            <v>16W-301 Sandford Reconductor</v>
          </cell>
          <cell r="C7" t="str">
            <v>FIN Approval - Internal</v>
          </cell>
          <cell r="D7">
            <v>63</v>
          </cell>
          <cell r="E7" t="str">
            <v>APPROVED</v>
          </cell>
          <cell r="F7">
            <v>43546</v>
          </cell>
          <cell r="G7">
            <v>44074</v>
          </cell>
          <cell r="H7">
            <v>544424.15</v>
          </cell>
          <cell r="I7" t="str">
            <v>FIN Submission</v>
          </cell>
          <cell r="J7">
            <v>44105</v>
          </cell>
        </row>
        <row r="8">
          <cell r="A8" t="str">
            <v>C0011738</v>
          </cell>
          <cell r="B8" t="str">
            <v>1H Firewall Construction</v>
          </cell>
          <cell r="C8" t="str">
            <v>FIN Approval - Internal</v>
          </cell>
          <cell r="D8">
            <v>29</v>
          </cell>
          <cell r="E8" t="str">
            <v>APPROVED</v>
          </cell>
          <cell r="F8">
            <v>43524</v>
          </cell>
          <cell r="G8">
            <v>43738</v>
          </cell>
          <cell r="H8">
            <v>819061.49</v>
          </cell>
          <cell r="I8" t="str">
            <v>FIN Submission</v>
          </cell>
          <cell r="J8">
            <v>44126</v>
          </cell>
        </row>
        <row r="9">
          <cell r="A9" t="str">
            <v>44826-D562</v>
          </cell>
          <cell r="B9" t="str">
            <v>2014 Build-to-Roadside</v>
          </cell>
          <cell r="C9" t="str">
            <v>FIN Approval - Internal</v>
          </cell>
          <cell r="D9">
            <v>105</v>
          </cell>
          <cell r="E9" t="str">
            <v>APPROVED</v>
          </cell>
          <cell r="F9">
            <v>42460</v>
          </cell>
          <cell r="G9">
            <v>44135</v>
          </cell>
          <cell r="H9">
            <v>806353.47</v>
          </cell>
          <cell r="I9" t="str">
            <v>FIN Submission</v>
          </cell>
          <cell r="J9">
            <v>44126</v>
          </cell>
        </row>
        <row r="10">
          <cell r="A10" t="str">
            <v>49902-P135</v>
          </cell>
          <cell r="B10" t="str">
            <v>2017Telecom Bldg Rplmnt Wittenburg</v>
          </cell>
          <cell r="C10" t="str">
            <v>FIN Approval - Internal</v>
          </cell>
          <cell r="D10">
            <v>56</v>
          </cell>
          <cell r="E10" t="str">
            <v>APPROVED</v>
          </cell>
          <cell r="F10">
            <v>43251</v>
          </cell>
          <cell r="G10">
            <v>44135</v>
          </cell>
          <cell r="H10">
            <v>301948.07</v>
          </cell>
          <cell r="I10" t="str">
            <v>FIN Submission</v>
          </cell>
          <cell r="J10">
            <v>44126</v>
          </cell>
        </row>
        <row r="11">
          <cell r="A11" t="str">
            <v>51863</v>
          </cell>
          <cell r="B11" t="str">
            <v>2018 Tap Changer Replacements</v>
          </cell>
          <cell r="C11" t="str">
            <v>FIN Approval - Internal</v>
          </cell>
          <cell r="D11">
            <v>42</v>
          </cell>
          <cell r="E11" t="str">
            <v>APPROVED</v>
          </cell>
          <cell r="F11">
            <v>43373</v>
          </cell>
          <cell r="G11">
            <v>44134</v>
          </cell>
          <cell r="H11">
            <v>417340.61</v>
          </cell>
          <cell r="I11" t="str">
            <v>FIN Submission</v>
          </cell>
          <cell r="J11">
            <v>44105</v>
          </cell>
        </row>
        <row r="12">
          <cell r="A12" t="str">
            <v>51969</v>
          </cell>
          <cell r="B12" t="str">
            <v>2018 Transmission ROW Widening 69kV</v>
          </cell>
          <cell r="C12" t="str">
            <v>FIN Approval - Internal</v>
          </cell>
          <cell r="D12">
            <v>40</v>
          </cell>
          <cell r="E12" t="str">
            <v>APPROVED</v>
          </cell>
          <cell r="F12">
            <v>43190</v>
          </cell>
          <cell r="G12">
            <v>44104</v>
          </cell>
          <cell r="H12">
            <v>5542106.3300000001</v>
          </cell>
          <cell r="I12" t="str">
            <v>FIN Submission</v>
          </cell>
          <cell r="J12">
            <v>44126</v>
          </cell>
        </row>
        <row r="13">
          <cell r="A13" t="str">
            <v>C0003979</v>
          </cell>
          <cell r="B13" t="str">
            <v>2018 Vault Upgrade</v>
          </cell>
          <cell r="C13" t="str">
            <v>FIN Approval - Internal</v>
          </cell>
          <cell r="D13">
            <v>39</v>
          </cell>
          <cell r="E13" t="str">
            <v>APPROVED</v>
          </cell>
          <cell r="F13">
            <v>43159</v>
          </cell>
          <cell r="G13">
            <v>44135</v>
          </cell>
          <cell r="H13">
            <v>157956.29</v>
          </cell>
          <cell r="I13" t="str">
            <v>FIN Submission</v>
          </cell>
          <cell r="J13">
            <v>44151</v>
          </cell>
        </row>
        <row r="14">
          <cell r="A14" t="str">
            <v>51404-T970</v>
          </cell>
          <cell r="B14" t="str">
            <v>2018/2019 Steel Tower Life Extensio</v>
          </cell>
          <cell r="C14" t="str">
            <v>FIN Approval - Internal</v>
          </cell>
          <cell r="D14">
            <v>44</v>
          </cell>
          <cell r="E14" t="str">
            <v>APPROVED</v>
          </cell>
          <cell r="F14">
            <v>42926</v>
          </cell>
          <cell r="G14">
            <v>43982</v>
          </cell>
          <cell r="H14">
            <v>2992783.11</v>
          </cell>
          <cell r="I14" t="str">
            <v>FIN Submission</v>
          </cell>
          <cell r="J14">
            <v>44105</v>
          </cell>
        </row>
        <row r="15">
          <cell r="A15" t="str">
            <v>C0010040</v>
          </cell>
          <cell r="B15" t="str">
            <v>2019 New Distribution ROW Widening</v>
          </cell>
          <cell r="C15" t="str">
            <v>FIN Approval - Internal</v>
          </cell>
          <cell r="D15">
            <v>33</v>
          </cell>
          <cell r="E15" t="str">
            <v>APPROVED</v>
          </cell>
          <cell r="F15">
            <v>43466</v>
          </cell>
          <cell r="G15">
            <v>44165</v>
          </cell>
          <cell r="H15">
            <v>10356561.25</v>
          </cell>
          <cell r="I15" t="str">
            <v>FIN Submission</v>
          </cell>
          <cell r="J15">
            <v>44161</v>
          </cell>
        </row>
        <row r="16">
          <cell r="A16" t="str">
            <v>C0013920</v>
          </cell>
          <cell r="B16" t="str">
            <v>2019 Substation Storm Replacements</v>
          </cell>
          <cell r="C16" t="str">
            <v>FIN Approval - Internal</v>
          </cell>
          <cell r="D16">
            <v>21</v>
          </cell>
          <cell r="E16" t="str">
            <v>APPROVED</v>
          </cell>
          <cell r="F16">
            <v>43417</v>
          </cell>
          <cell r="G16">
            <v>44135</v>
          </cell>
          <cell r="H16">
            <v>8963.64</v>
          </cell>
          <cell r="I16" t="str">
            <v>FIN Submission</v>
          </cell>
          <cell r="J16">
            <v>44105</v>
          </cell>
        </row>
        <row r="17">
          <cell r="A17" t="str">
            <v>48441-D856</v>
          </cell>
          <cell r="B17" t="str">
            <v>23W-301 Clyde River Line Relocation</v>
          </cell>
          <cell r="C17" t="str">
            <v>FIN Approval - Internal</v>
          </cell>
          <cell r="D17">
            <v>65</v>
          </cell>
          <cell r="E17" t="str">
            <v>APPROVED</v>
          </cell>
          <cell r="F17">
            <v>43585</v>
          </cell>
          <cell r="G17">
            <v>44165</v>
          </cell>
          <cell r="H17">
            <v>57978.13</v>
          </cell>
          <cell r="I17" t="str">
            <v>FIN Submission</v>
          </cell>
          <cell r="J17">
            <v>44161</v>
          </cell>
        </row>
        <row r="18">
          <cell r="A18" t="str">
            <v>48117-P134</v>
          </cell>
          <cell r="B18" t="str">
            <v>2H Armdale RTU Replacement</v>
          </cell>
          <cell r="C18" t="str">
            <v>FIN Approval - Internal</v>
          </cell>
          <cell r="D18">
            <v>72</v>
          </cell>
          <cell r="E18" t="str">
            <v>APPROVED</v>
          </cell>
          <cell r="F18">
            <v>43465</v>
          </cell>
          <cell r="G18">
            <v>44104</v>
          </cell>
          <cell r="H18">
            <v>177340.01</v>
          </cell>
          <cell r="I18" t="str">
            <v>FIN Submission</v>
          </cell>
          <cell r="J18">
            <v>44126</v>
          </cell>
        </row>
        <row r="19">
          <cell r="A19" t="str">
            <v>49791-D783</v>
          </cell>
          <cell r="B19" t="str">
            <v>3N Oxford Conversion Phase 3</v>
          </cell>
          <cell r="C19" t="str">
            <v>FIN Approval - Internal</v>
          </cell>
          <cell r="D19">
            <v>50</v>
          </cell>
          <cell r="E19" t="str">
            <v>APPROVED</v>
          </cell>
          <cell r="F19">
            <v>42916</v>
          </cell>
          <cell r="G19">
            <v>43921</v>
          </cell>
          <cell r="H19">
            <v>604785.22</v>
          </cell>
          <cell r="I19" t="str">
            <v>FIN Submission</v>
          </cell>
          <cell r="J19">
            <v>44105</v>
          </cell>
        </row>
        <row r="20">
          <cell r="A20" t="str">
            <v>51897-D871</v>
          </cell>
          <cell r="B20" t="str">
            <v>544W-311 Mt Pleasant Stepdown Repl</v>
          </cell>
          <cell r="C20" t="str">
            <v>FIN Approval - Internal</v>
          </cell>
          <cell r="D20">
            <v>43</v>
          </cell>
          <cell r="E20" t="str">
            <v>APPROVED</v>
          </cell>
          <cell r="F20">
            <v>43738</v>
          </cell>
          <cell r="G20">
            <v>44135</v>
          </cell>
          <cell r="H20">
            <v>65404.19</v>
          </cell>
          <cell r="I20" t="str">
            <v>FIN Submission</v>
          </cell>
          <cell r="J20">
            <v>44151</v>
          </cell>
        </row>
        <row r="21">
          <cell r="A21" t="str">
            <v>52192</v>
          </cell>
          <cell r="B21" t="str">
            <v>54H-303 UG Rep Phase 2</v>
          </cell>
          <cell r="C21" t="str">
            <v>FIN Approval - Internal</v>
          </cell>
          <cell r="D21">
            <v>42</v>
          </cell>
          <cell r="E21" t="str">
            <v>APPROVED</v>
          </cell>
          <cell r="F21">
            <v>43251</v>
          </cell>
          <cell r="G21">
            <v>44135</v>
          </cell>
          <cell r="H21">
            <v>388517.35</v>
          </cell>
          <cell r="I21" t="str">
            <v>FIN Submission</v>
          </cell>
          <cell r="J21">
            <v>44151</v>
          </cell>
        </row>
        <row r="22">
          <cell r="A22" t="str">
            <v>41439-T712</v>
          </cell>
          <cell r="B22" t="str">
            <v>5P &amp; 6P Mobile Substation Upgrades</v>
          </cell>
          <cell r="C22" t="str">
            <v>FIN Approval - Internal</v>
          </cell>
          <cell r="D22">
            <v>150</v>
          </cell>
          <cell r="E22" t="str">
            <v>APPROVED</v>
          </cell>
          <cell r="F22">
            <v>43661</v>
          </cell>
          <cell r="G22">
            <v>44135</v>
          </cell>
          <cell r="H22">
            <v>468640.28</v>
          </cell>
          <cell r="I22" t="str">
            <v>FIN Submission</v>
          </cell>
          <cell r="J22">
            <v>44151</v>
          </cell>
        </row>
        <row r="23">
          <cell r="A23" t="str">
            <v>51501-D867</v>
          </cell>
          <cell r="B23" t="str">
            <v>77V-302 Digby to Marshalltown</v>
          </cell>
          <cell r="C23" t="str">
            <v>FIN Approval - Internal</v>
          </cell>
          <cell r="D23">
            <v>39</v>
          </cell>
          <cell r="E23" t="str">
            <v>APPROVED</v>
          </cell>
          <cell r="F23">
            <v>43220</v>
          </cell>
          <cell r="G23">
            <v>43677</v>
          </cell>
          <cell r="H23">
            <v>399871.03</v>
          </cell>
          <cell r="I23" t="str">
            <v>FIN Submission</v>
          </cell>
          <cell r="J23">
            <v>44105</v>
          </cell>
        </row>
        <row r="24">
          <cell r="A24" t="str">
            <v>C0014040</v>
          </cell>
          <cell r="B24" t="str">
            <v>89S-ST1-Neutral Grounding Resistor</v>
          </cell>
          <cell r="C24" t="str">
            <v>FIN Approval - Internal</v>
          </cell>
          <cell r="D24">
            <v>16</v>
          </cell>
          <cell r="E24" t="str">
            <v>APPROVED</v>
          </cell>
          <cell r="F24">
            <v>43709</v>
          </cell>
          <cell r="G24">
            <v>44165</v>
          </cell>
          <cell r="H24">
            <v>11151.36</v>
          </cell>
          <cell r="I24" t="str">
            <v>FIN Submission</v>
          </cell>
          <cell r="J24">
            <v>44161</v>
          </cell>
        </row>
        <row r="25">
          <cell r="A25" t="str">
            <v>C0016558</v>
          </cell>
          <cell r="B25" t="str">
            <v>August 29 2019 L3 Storm Distributio</v>
          </cell>
          <cell r="C25" t="str">
            <v>FIN Approval - Internal</v>
          </cell>
          <cell r="D25">
            <v>17</v>
          </cell>
          <cell r="E25" t="str">
            <v>APPROVED</v>
          </cell>
          <cell r="F25">
            <v>43520</v>
          </cell>
          <cell r="G25">
            <v>44135</v>
          </cell>
          <cell r="H25">
            <v>598578.15</v>
          </cell>
          <cell r="I25" t="str">
            <v>FIN Submission</v>
          </cell>
          <cell r="J25">
            <v>44151</v>
          </cell>
        </row>
        <row r="26">
          <cell r="A26" t="str">
            <v>C0014640</v>
          </cell>
          <cell r="B26" t="str">
            <v xml:space="preserve">Automated External Defibrillator </v>
          </cell>
          <cell r="C26" t="str">
            <v>FIN Approval - Internal</v>
          </cell>
          <cell r="D26">
            <v>6</v>
          </cell>
          <cell r="E26" t="str">
            <v>APPROVED</v>
          </cell>
          <cell r="F26">
            <v>43435</v>
          </cell>
          <cell r="G26">
            <v>44135</v>
          </cell>
          <cell r="H26">
            <v>115674.45</v>
          </cell>
          <cell r="I26" t="str">
            <v>FIN Submission</v>
          </cell>
          <cell r="J26">
            <v>44105</v>
          </cell>
        </row>
        <row r="27">
          <cell r="A27" t="str">
            <v>52106</v>
          </cell>
          <cell r="B27" t="str">
            <v>CT BGT Fuel Level Monitoring Upgrad</v>
          </cell>
          <cell r="C27" t="str">
            <v>FIN Approval - Internal</v>
          </cell>
          <cell r="D27">
            <v>43</v>
          </cell>
          <cell r="E27" t="str">
            <v>APPROVED</v>
          </cell>
          <cell r="F27">
            <v>43738</v>
          </cell>
          <cell r="G27">
            <v>43920</v>
          </cell>
          <cell r="H27">
            <v>148180.71</v>
          </cell>
          <cell r="I27" t="str">
            <v>FIN Submission</v>
          </cell>
          <cell r="J27">
            <v>44151</v>
          </cell>
        </row>
        <row r="28">
          <cell r="A28" t="str">
            <v>C0009898</v>
          </cell>
          <cell r="B28" t="str">
            <v>D - 2C-402 Reinsulate</v>
          </cell>
          <cell r="C28" t="str">
            <v>FIN Approval - Internal</v>
          </cell>
          <cell r="D28">
            <v>27</v>
          </cell>
          <cell r="E28" t="str">
            <v>APPROVED</v>
          </cell>
          <cell r="F28">
            <v>43374</v>
          </cell>
          <cell r="G28">
            <v>44074</v>
          </cell>
          <cell r="H28">
            <v>806222.05</v>
          </cell>
          <cell r="I28" t="str">
            <v>FIN Submission</v>
          </cell>
          <cell r="J28">
            <v>44084</v>
          </cell>
        </row>
        <row r="29">
          <cell r="A29" t="str">
            <v>49607</v>
          </cell>
          <cell r="B29" t="str">
            <v>D-100C-422G Reinsulate</v>
          </cell>
          <cell r="C29" t="str">
            <v>FIN Approval - Internal</v>
          </cell>
          <cell r="D29">
            <v>57</v>
          </cell>
          <cell r="E29" t="str">
            <v>APPROVED</v>
          </cell>
          <cell r="F29">
            <v>43677</v>
          </cell>
          <cell r="G29">
            <v>44135</v>
          </cell>
          <cell r="H29">
            <v>104672.29</v>
          </cell>
          <cell r="I29" t="str">
            <v>FIN Submission</v>
          </cell>
          <cell r="J29">
            <v>44151</v>
          </cell>
        </row>
        <row r="30">
          <cell r="A30" t="str">
            <v>C0008798</v>
          </cell>
          <cell r="B30" t="str">
            <v>D-11S-301K Seaview Drive Highway Sh</v>
          </cell>
          <cell r="C30" t="str">
            <v>FIN Approval - Internal</v>
          </cell>
          <cell r="D30">
            <v>25</v>
          </cell>
          <cell r="E30" t="str">
            <v>APPROVED</v>
          </cell>
          <cell r="F30">
            <v>43281</v>
          </cell>
          <cell r="G30">
            <v>44074</v>
          </cell>
          <cell r="H30">
            <v>167711.04999999999</v>
          </cell>
          <cell r="I30" t="str">
            <v>FIN Submission</v>
          </cell>
          <cell r="J30">
            <v>44105</v>
          </cell>
        </row>
        <row r="31">
          <cell r="A31" t="str">
            <v>52267</v>
          </cell>
          <cell r="B31" t="str">
            <v>D-16W-302H-Brenton Rd Rebuild</v>
          </cell>
          <cell r="C31" t="str">
            <v>FIN Approval - Internal</v>
          </cell>
          <cell r="D31">
            <v>41</v>
          </cell>
          <cell r="E31" t="str">
            <v>APPROVED</v>
          </cell>
          <cell r="F31">
            <v>43447</v>
          </cell>
          <cell r="G31">
            <v>44104</v>
          </cell>
          <cell r="H31">
            <v>344278.41</v>
          </cell>
          <cell r="I31" t="str">
            <v>FIN Submission</v>
          </cell>
          <cell r="J31">
            <v>44126</v>
          </cell>
        </row>
        <row r="32">
          <cell r="A32" t="str">
            <v>C0005358</v>
          </cell>
          <cell r="B32" t="str">
            <v>D-19W-311 Lighthouse Rte Rebuild</v>
          </cell>
          <cell r="C32" t="str">
            <v>FIN Approval - Internal</v>
          </cell>
          <cell r="D32">
            <v>33</v>
          </cell>
          <cell r="E32" t="str">
            <v>APPROVED</v>
          </cell>
          <cell r="F32">
            <v>43373</v>
          </cell>
          <cell r="G32">
            <v>44135</v>
          </cell>
          <cell r="H32">
            <v>59081.88</v>
          </cell>
          <cell r="I32" t="str">
            <v>FIN Submission</v>
          </cell>
          <cell r="J32">
            <v>44126</v>
          </cell>
        </row>
        <row r="33">
          <cell r="A33" t="str">
            <v>C0003958</v>
          </cell>
          <cell r="B33" t="str">
            <v>D-2018 Manhole Cover Replacement</v>
          </cell>
          <cell r="C33" t="str">
            <v>FIN Approval - Internal</v>
          </cell>
          <cell r="D33">
            <v>38</v>
          </cell>
          <cell r="E33" t="str">
            <v>APPROVED</v>
          </cell>
          <cell r="F33">
            <v>43160</v>
          </cell>
          <cell r="G33">
            <v>44135</v>
          </cell>
          <cell r="H33">
            <v>192528.8</v>
          </cell>
          <cell r="I33" t="str">
            <v>FIN Submission</v>
          </cell>
          <cell r="J33">
            <v>44151</v>
          </cell>
        </row>
        <row r="34">
          <cell r="A34" t="str">
            <v>C0005740</v>
          </cell>
          <cell r="B34" t="str">
            <v>D-21W-312 Lower Woods Harbour Recon</v>
          </cell>
          <cell r="C34" t="str">
            <v>FIN Approval - Internal</v>
          </cell>
          <cell r="D34">
            <v>33</v>
          </cell>
          <cell r="E34" t="str">
            <v>APPROVED</v>
          </cell>
          <cell r="F34">
            <v>43434</v>
          </cell>
          <cell r="G34">
            <v>44135</v>
          </cell>
          <cell r="H34">
            <v>208456.34</v>
          </cell>
          <cell r="I34" t="str">
            <v>FIN Submission</v>
          </cell>
          <cell r="J34">
            <v>44126</v>
          </cell>
        </row>
        <row r="35">
          <cell r="A35" t="str">
            <v>C0003738</v>
          </cell>
          <cell r="B35" t="str">
            <v xml:space="preserve">D-50V-401 Kentville River Crossing </v>
          </cell>
          <cell r="C35" t="str">
            <v>FIN Approval - Internal</v>
          </cell>
          <cell r="D35">
            <v>35</v>
          </cell>
          <cell r="E35" t="str">
            <v>APPROVED</v>
          </cell>
          <cell r="F35">
            <v>43312</v>
          </cell>
          <cell r="G35">
            <v>44135</v>
          </cell>
          <cell r="H35">
            <v>264937.87</v>
          </cell>
          <cell r="I35" t="str">
            <v>FIN Submission</v>
          </cell>
          <cell r="J35">
            <v>44151</v>
          </cell>
        </row>
        <row r="36">
          <cell r="A36" t="str">
            <v>52224</v>
          </cell>
          <cell r="B36" t="str">
            <v xml:space="preserve">D-532N Elm Street Conversion P2&amp;3 </v>
          </cell>
          <cell r="C36" t="str">
            <v>FIN Approval - Internal</v>
          </cell>
          <cell r="D36">
            <v>41</v>
          </cell>
          <cell r="E36" t="str">
            <v>APPROVED</v>
          </cell>
          <cell r="F36">
            <v>43496</v>
          </cell>
          <cell r="G36">
            <v>44165</v>
          </cell>
          <cell r="H36">
            <v>859625.08</v>
          </cell>
          <cell r="I36" t="str">
            <v>FIN Submission</v>
          </cell>
          <cell r="J36">
            <v>44161</v>
          </cell>
        </row>
        <row r="37">
          <cell r="A37" t="str">
            <v>C0005978</v>
          </cell>
          <cell r="B37" t="str">
            <v>D-57S-401 Albert Bridge Crossing</v>
          </cell>
          <cell r="C37" t="str">
            <v>FIN Approval - Internal</v>
          </cell>
          <cell r="D37">
            <v>31</v>
          </cell>
          <cell r="E37" t="str">
            <v>APPROVED</v>
          </cell>
          <cell r="F37">
            <v>43404</v>
          </cell>
          <cell r="G37">
            <v>44135</v>
          </cell>
          <cell r="H37">
            <v>191911.77</v>
          </cell>
          <cell r="I37" t="str">
            <v>FIN Submission</v>
          </cell>
          <cell r="J37">
            <v>44126</v>
          </cell>
        </row>
        <row r="38">
          <cell r="A38" t="str">
            <v>C0007502</v>
          </cell>
          <cell r="B38" t="str">
            <v>D-65V-302GA-Forest Glade Repole</v>
          </cell>
          <cell r="C38" t="str">
            <v>FIN Approval - Internal</v>
          </cell>
          <cell r="D38">
            <v>25</v>
          </cell>
          <cell r="E38" t="str">
            <v>APPROVED</v>
          </cell>
          <cell r="F38">
            <v>43434</v>
          </cell>
          <cell r="G38">
            <v>44074</v>
          </cell>
          <cell r="H38">
            <v>329089.84999999998</v>
          </cell>
          <cell r="I38" t="str">
            <v>FIN Submission</v>
          </cell>
          <cell r="J38">
            <v>44105</v>
          </cell>
        </row>
        <row r="39">
          <cell r="A39" t="str">
            <v>52207</v>
          </cell>
          <cell r="B39" t="str">
            <v>D-678H-211 McNab’s Island Replaceme</v>
          </cell>
          <cell r="C39" t="str">
            <v>FIN Approval - Internal</v>
          </cell>
          <cell r="D39">
            <v>41</v>
          </cell>
          <cell r="E39" t="str">
            <v>APPROVED</v>
          </cell>
          <cell r="F39">
            <v>43312</v>
          </cell>
          <cell r="G39">
            <v>44012</v>
          </cell>
          <cell r="H39">
            <v>263144.90000000002</v>
          </cell>
          <cell r="I39" t="str">
            <v>FIN Submission</v>
          </cell>
          <cell r="J39">
            <v>44151</v>
          </cell>
        </row>
        <row r="40">
          <cell r="A40" t="str">
            <v>C0005761</v>
          </cell>
          <cell r="B40" t="str">
            <v>D-67C-411H Reconductor Ceilidh Trai</v>
          </cell>
          <cell r="C40" t="str">
            <v>FIN Approval - Internal</v>
          </cell>
          <cell r="D40">
            <v>34</v>
          </cell>
          <cell r="E40" t="str">
            <v>APPROVED</v>
          </cell>
          <cell r="F40">
            <v>43312</v>
          </cell>
          <cell r="G40">
            <v>44135</v>
          </cell>
          <cell r="H40">
            <v>387984.12</v>
          </cell>
          <cell r="I40" t="str">
            <v>FIN Submission</v>
          </cell>
          <cell r="J40">
            <v>44126</v>
          </cell>
        </row>
        <row r="41">
          <cell r="A41" t="str">
            <v>C0007318</v>
          </cell>
          <cell r="B41" t="str">
            <v>D-85S-401GBA Cabot Trail Road shift</v>
          </cell>
          <cell r="C41" t="str">
            <v>FIN Approval - Internal</v>
          </cell>
          <cell r="D41">
            <v>29</v>
          </cell>
          <cell r="E41" t="str">
            <v>APPROVED</v>
          </cell>
          <cell r="F41">
            <v>43312</v>
          </cell>
          <cell r="G41">
            <v>44104</v>
          </cell>
          <cell r="H41">
            <v>78085.33</v>
          </cell>
          <cell r="I41" t="str">
            <v>FIN Submission</v>
          </cell>
          <cell r="J41">
            <v>44126</v>
          </cell>
        </row>
        <row r="42">
          <cell r="A42" t="str">
            <v>51512</v>
          </cell>
          <cell r="B42" t="str">
            <v>D-89W-302G Crouses Settlement Phase</v>
          </cell>
          <cell r="C42" t="str">
            <v>FIN Approval - Internal</v>
          </cell>
          <cell r="D42">
            <v>47</v>
          </cell>
          <cell r="E42" t="str">
            <v>APPROVED</v>
          </cell>
          <cell r="F42">
            <v>43312</v>
          </cell>
          <cell r="G42">
            <v>44135</v>
          </cell>
          <cell r="H42">
            <v>150938.59</v>
          </cell>
          <cell r="I42" t="str">
            <v>FIN Submission</v>
          </cell>
          <cell r="J42">
            <v>44126</v>
          </cell>
        </row>
        <row r="43">
          <cell r="A43" t="str">
            <v>34322-T597</v>
          </cell>
          <cell r="B43" t="str">
            <v>Digby Wind Farm</v>
          </cell>
          <cell r="C43" t="str">
            <v>FIN Approval - Internal</v>
          </cell>
          <cell r="D43">
            <v>187</v>
          </cell>
          <cell r="E43" t="str">
            <v>APPROVED</v>
          </cell>
          <cell r="F43">
            <v>40543</v>
          </cell>
          <cell r="G43">
            <v>44196</v>
          </cell>
          <cell r="H43">
            <v>0</v>
          </cell>
          <cell r="I43" t="str">
            <v>FIN Submission</v>
          </cell>
          <cell r="J43">
            <v>44126</v>
          </cell>
        </row>
        <row r="44">
          <cell r="A44" t="str">
            <v>C0006018</v>
          </cell>
          <cell r="B44" t="str">
            <v>D-Single Phase Recloser Replacement</v>
          </cell>
          <cell r="C44" t="str">
            <v>FIN Approval - Internal</v>
          </cell>
          <cell r="D44">
            <v>28</v>
          </cell>
          <cell r="E44" t="str">
            <v>APPROVED</v>
          </cell>
          <cell r="F44">
            <v>43677</v>
          </cell>
          <cell r="G44">
            <v>44074</v>
          </cell>
          <cell r="H44">
            <v>78044.61</v>
          </cell>
          <cell r="I44" t="str">
            <v>FIN Submission</v>
          </cell>
          <cell r="J44">
            <v>44105</v>
          </cell>
        </row>
        <row r="45">
          <cell r="A45" t="str">
            <v>51360-P148</v>
          </cell>
          <cell r="B45" t="str">
            <v>ECC Generator Fuel Storage &amp; Electr</v>
          </cell>
          <cell r="C45" t="str">
            <v>FIN Approval - Internal</v>
          </cell>
          <cell r="D45">
            <v>45</v>
          </cell>
          <cell r="E45" t="str">
            <v>APPROVED</v>
          </cell>
          <cell r="F45">
            <v>43281</v>
          </cell>
          <cell r="G45">
            <v>44135</v>
          </cell>
          <cell r="H45">
            <v>178711.22</v>
          </cell>
          <cell r="I45" t="str">
            <v>FIN Submission</v>
          </cell>
          <cell r="J45">
            <v>44105</v>
          </cell>
        </row>
        <row r="46">
          <cell r="A46" t="str">
            <v>51361-P149</v>
          </cell>
          <cell r="B46" t="str">
            <v>Energy Control Centre Roof</v>
          </cell>
          <cell r="C46" t="str">
            <v>FIN Approval - Internal</v>
          </cell>
          <cell r="D46">
            <v>46</v>
          </cell>
          <cell r="E46" t="str">
            <v>APPROVED</v>
          </cell>
          <cell r="F46">
            <v>43343</v>
          </cell>
          <cell r="G46">
            <v>44135</v>
          </cell>
          <cell r="H46">
            <v>615172.84</v>
          </cell>
          <cell r="I46" t="str">
            <v>FIN Submission</v>
          </cell>
          <cell r="J46">
            <v>44105</v>
          </cell>
        </row>
        <row r="47">
          <cell r="A47" t="str">
            <v>34282-T600</v>
          </cell>
          <cell r="B47" t="str">
            <v>Glendhu Wind Farm</v>
          </cell>
          <cell r="C47" t="str">
            <v>FIN Approval - Internal</v>
          </cell>
          <cell r="D47">
            <v>129</v>
          </cell>
          <cell r="E47" t="str">
            <v>APPROVED</v>
          </cell>
          <cell r="F47">
            <v>40481</v>
          </cell>
          <cell r="G47">
            <v>44196</v>
          </cell>
          <cell r="H47">
            <v>0</v>
          </cell>
          <cell r="I47" t="str">
            <v>FIN Submission</v>
          </cell>
          <cell r="J47">
            <v>44126</v>
          </cell>
        </row>
        <row r="48">
          <cell r="A48" t="str">
            <v>C0015658</v>
          </cell>
          <cell r="B48" t="str">
            <v>HYD - DIB2 Bearing Refurbishment</v>
          </cell>
          <cell r="C48" t="str">
            <v>FIN Approval - Internal</v>
          </cell>
          <cell r="D48">
            <v>21</v>
          </cell>
          <cell r="E48" t="str">
            <v>APPROVED</v>
          </cell>
          <cell r="F48">
            <v>43496</v>
          </cell>
          <cell r="G48">
            <v>44074</v>
          </cell>
          <cell r="H48">
            <v>99801.45</v>
          </cell>
          <cell r="I48" t="str">
            <v>FIN Submission</v>
          </cell>
          <cell r="J48">
            <v>44105</v>
          </cell>
        </row>
        <row r="49">
          <cell r="A49" t="str">
            <v>49946</v>
          </cell>
          <cell r="B49" t="str">
            <v>HYD - Fourth Lake Overhaul</v>
          </cell>
          <cell r="C49" t="str">
            <v>FIN Approval - Internal</v>
          </cell>
          <cell r="D49">
            <v>60</v>
          </cell>
          <cell r="E49" t="str">
            <v>APPROVED</v>
          </cell>
          <cell r="F49">
            <v>43434</v>
          </cell>
          <cell r="G49">
            <v>44348</v>
          </cell>
          <cell r="H49">
            <v>1145994.6100000001</v>
          </cell>
          <cell r="I49" t="str">
            <v>FIN Submission</v>
          </cell>
          <cell r="J49">
            <v>44105</v>
          </cell>
        </row>
        <row r="50">
          <cell r="A50" t="str">
            <v>52313</v>
          </cell>
          <cell r="B50" t="str">
            <v>HYD - HG1 Crane Replacement</v>
          </cell>
          <cell r="C50" t="str">
            <v>FIN Approval - Internal</v>
          </cell>
          <cell r="D50">
            <v>41</v>
          </cell>
          <cell r="E50" t="str">
            <v>APPROVED</v>
          </cell>
          <cell r="F50">
            <v>43159</v>
          </cell>
          <cell r="G50">
            <v>44104</v>
          </cell>
          <cell r="H50">
            <v>222599.4</v>
          </cell>
          <cell r="I50" t="str">
            <v>FIN Submission</v>
          </cell>
          <cell r="J50">
            <v>44105</v>
          </cell>
        </row>
        <row r="51">
          <cell r="A51" t="str">
            <v>47678-H740</v>
          </cell>
          <cell r="B51" t="str">
            <v>HYD - Prince Mine Dam Decommission</v>
          </cell>
          <cell r="C51" t="str">
            <v>FIN Approval - Internal</v>
          </cell>
          <cell r="D51">
            <v>64</v>
          </cell>
          <cell r="E51" t="str">
            <v>APPROVED</v>
          </cell>
          <cell r="F51">
            <v>42978</v>
          </cell>
          <cell r="G51">
            <v>44195</v>
          </cell>
          <cell r="H51">
            <v>625013.85</v>
          </cell>
          <cell r="I51" t="str">
            <v>FIN Submission</v>
          </cell>
          <cell r="J51">
            <v>44084</v>
          </cell>
        </row>
        <row r="52">
          <cell r="A52" t="str">
            <v>49943-H811</v>
          </cell>
          <cell r="B52" t="str">
            <v>HYD - Ruth Falls Facility Refurb</v>
          </cell>
          <cell r="C52" t="str">
            <v>FIN Approval - Internal</v>
          </cell>
          <cell r="D52">
            <v>53</v>
          </cell>
          <cell r="E52" t="str">
            <v>APPROVED</v>
          </cell>
          <cell r="F52">
            <v>43769</v>
          </cell>
          <cell r="G52">
            <v>44104</v>
          </cell>
          <cell r="H52">
            <v>1448745.2</v>
          </cell>
          <cell r="I52" t="str">
            <v>FIN Submission</v>
          </cell>
          <cell r="J52">
            <v>44084</v>
          </cell>
        </row>
        <row r="53">
          <cell r="A53" t="str">
            <v>51251-H825</v>
          </cell>
          <cell r="B53" t="str">
            <v>HYD - Sign Refurbishment</v>
          </cell>
          <cell r="C53" t="str">
            <v>FIN Approval - Internal</v>
          </cell>
          <cell r="D53">
            <v>45</v>
          </cell>
          <cell r="E53" t="str">
            <v>APPROVED</v>
          </cell>
          <cell r="F53">
            <v>43524</v>
          </cell>
          <cell r="G53">
            <v>44104</v>
          </cell>
          <cell r="H53">
            <v>138842</v>
          </cell>
          <cell r="I53" t="str">
            <v>FIN Submission</v>
          </cell>
          <cell r="J53">
            <v>44161</v>
          </cell>
        </row>
        <row r="54">
          <cell r="A54" t="str">
            <v>C0010980</v>
          </cell>
          <cell r="B54" t="str">
            <v>HYD - TUS Headgate Safety Improv.</v>
          </cell>
          <cell r="C54" t="str">
            <v>FIN Approval - Internal</v>
          </cell>
          <cell r="D54">
            <v>25</v>
          </cell>
          <cell r="E54" t="str">
            <v>APPROVED</v>
          </cell>
          <cell r="F54">
            <v>43708</v>
          </cell>
          <cell r="G54">
            <v>44226</v>
          </cell>
          <cell r="H54">
            <v>54537.38</v>
          </cell>
          <cell r="I54" t="str">
            <v>FIN Submission</v>
          </cell>
          <cell r="J54">
            <v>44084</v>
          </cell>
        </row>
        <row r="55">
          <cell r="A55" t="str">
            <v>43058-H664</v>
          </cell>
          <cell r="B55" t="str">
            <v>HYD - U&amp;U Wreck Cove Sump Pumps</v>
          </cell>
          <cell r="C55" t="str">
            <v>FIN Approval - Internal</v>
          </cell>
          <cell r="D55">
            <v>75</v>
          </cell>
          <cell r="E55" t="str">
            <v>APPROVED</v>
          </cell>
          <cell r="F55">
            <v>42004</v>
          </cell>
          <cell r="G55">
            <v>44196</v>
          </cell>
          <cell r="H55">
            <v>123955.96</v>
          </cell>
          <cell r="I55" t="str">
            <v>FIN Submission</v>
          </cell>
          <cell r="J55">
            <v>44126</v>
          </cell>
        </row>
        <row r="56">
          <cell r="A56" t="str">
            <v>C0013098</v>
          </cell>
          <cell r="B56" t="str">
            <v>HYD - UU WRC 2 Stator Re-Wedging</v>
          </cell>
          <cell r="C56" t="str">
            <v>FIN Approval - Internal</v>
          </cell>
          <cell r="D56">
            <v>23</v>
          </cell>
          <cell r="E56" t="str">
            <v>APPROVED</v>
          </cell>
          <cell r="F56">
            <v>43434</v>
          </cell>
          <cell r="G56">
            <v>44165</v>
          </cell>
          <cell r="H56">
            <v>223605.55</v>
          </cell>
          <cell r="I56" t="str">
            <v>FIN Submission</v>
          </cell>
          <cell r="J56">
            <v>44194</v>
          </cell>
        </row>
        <row r="57">
          <cell r="A57" t="str">
            <v>50712-H797</v>
          </cell>
          <cell r="B57" t="str">
            <v>HYD - WRC Doghouse ventilation</v>
          </cell>
          <cell r="C57" t="str">
            <v>FIN Approval - Internal</v>
          </cell>
          <cell r="D57">
            <v>49</v>
          </cell>
          <cell r="E57" t="str">
            <v>APPROVED</v>
          </cell>
          <cell r="F57">
            <v>43404</v>
          </cell>
          <cell r="G57">
            <v>44560</v>
          </cell>
          <cell r="H57">
            <v>52284.53</v>
          </cell>
          <cell r="I57" t="str">
            <v>FIN Submission</v>
          </cell>
          <cell r="J57">
            <v>44105</v>
          </cell>
        </row>
        <row r="58">
          <cell r="A58" t="str">
            <v>C0015444</v>
          </cell>
          <cell r="B58" t="str">
            <v>HYD - WRC U1 Stator Re-Wedging</v>
          </cell>
          <cell r="C58" t="str">
            <v>FIN Approval - Internal</v>
          </cell>
          <cell r="D58">
            <v>17</v>
          </cell>
          <cell r="E58" t="str">
            <v>APPROVED</v>
          </cell>
          <cell r="F58">
            <v>43555</v>
          </cell>
          <cell r="G58">
            <v>44104</v>
          </cell>
          <cell r="H58">
            <v>217016.92</v>
          </cell>
          <cell r="I58" t="str">
            <v>FIN Submission</v>
          </cell>
          <cell r="J58">
            <v>44084</v>
          </cell>
        </row>
        <row r="59">
          <cell r="A59" t="str">
            <v>C0007778</v>
          </cell>
          <cell r="B59" t="str">
            <v>HYD Dickie Brook 2 Rotor Rewind</v>
          </cell>
          <cell r="C59" t="str">
            <v>FIN Approval - Internal</v>
          </cell>
          <cell r="D59">
            <v>29</v>
          </cell>
          <cell r="E59" t="str">
            <v>APPROVED</v>
          </cell>
          <cell r="F59">
            <v>43413</v>
          </cell>
          <cell r="G59">
            <v>44104</v>
          </cell>
          <cell r="H59">
            <v>205232.41</v>
          </cell>
          <cell r="I59" t="str">
            <v>FIN Submission</v>
          </cell>
          <cell r="J59">
            <v>44126</v>
          </cell>
        </row>
        <row r="60">
          <cell r="A60" t="str">
            <v>C0014780</v>
          </cell>
          <cell r="B60" t="str">
            <v>HYD LEQ Water Passage Refurbishment</v>
          </cell>
          <cell r="C60" t="str">
            <v>FIN Approval - Internal</v>
          </cell>
          <cell r="D60">
            <v>19</v>
          </cell>
          <cell r="E60" t="str">
            <v>APPROVED</v>
          </cell>
          <cell r="F60">
            <v>43631</v>
          </cell>
          <cell r="G60">
            <v>44134</v>
          </cell>
          <cell r="H60">
            <v>778171.41</v>
          </cell>
          <cell r="I60" t="str">
            <v>FIN Submission</v>
          </cell>
          <cell r="J60">
            <v>44084</v>
          </cell>
        </row>
        <row r="61">
          <cell r="A61" t="str">
            <v>48533-H751</v>
          </cell>
          <cell r="B61" t="str">
            <v>HYD Lequille Headpond Refurbishment</v>
          </cell>
          <cell r="C61" t="str">
            <v>FIN Approval - Internal</v>
          </cell>
          <cell r="D61">
            <v>70</v>
          </cell>
          <cell r="E61" t="str">
            <v>APPROVED</v>
          </cell>
          <cell r="F61">
            <v>43465</v>
          </cell>
          <cell r="G61">
            <v>44012</v>
          </cell>
          <cell r="H61">
            <v>4653540.6399999997</v>
          </cell>
          <cell r="I61" t="str">
            <v>FIN Submission</v>
          </cell>
          <cell r="J61">
            <v>44105</v>
          </cell>
        </row>
        <row r="62">
          <cell r="A62" t="str">
            <v>C0011204</v>
          </cell>
          <cell r="B62" t="str">
            <v>HYD MIL Metal Fabricator</v>
          </cell>
          <cell r="C62" t="str">
            <v>FIN Approval - Internal</v>
          </cell>
          <cell r="D62">
            <v>23</v>
          </cell>
          <cell r="E62" t="str">
            <v>APPROVED</v>
          </cell>
          <cell r="F62">
            <v>43708</v>
          </cell>
          <cell r="G62">
            <v>44255</v>
          </cell>
          <cell r="H62">
            <v>56862.3</v>
          </cell>
          <cell r="I62" t="str">
            <v>FIN Submission</v>
          </cell>
          <cell r="J62">
            <v>44084</v>
          </cell>
        </row>
        <row r="63">
          <cell r="A63" t="str">
            <v>C0014798</v>
          </cell>
          <cell r="B63" t="str">
            <v>HYD RID Cooling Coil Replacement</v>
          </cell>
          <cell r="C63" t="str">
            <v>FIN Approval - Internal</v>
          </cell>
          <cell r="D63">
            <v>17</v>
          </cell>
          <cell r="E63" t="str">
            <v>APPROVED</v>
          </cell>
          <cell r="F63">
            <v>43708</v>
          </cell>
          <cell r="G63">
            <v>44347</v>
          </cell>
          <cell r="H63">
            <v>79757.88</v>
          </cell>
          <cell r="I63" t="str">
            <v>FIN Submission</v>
          </cell>
          <cell r="J63">
            <v>44084</v>
          </cell>
        </row>
        <row r="64">
          <cell r="A64" t="str">
            <v>50774-H805</v>
          </cell>
          <cell r="B64" t="str">
            <v>HYD Rut 1 ORRA</v>
          </cell>
          <cell r="C64" t="str">
            <v>FIN Approval - Internal</v>
          </cell>
          <cell r="D64">
            <v>39</v>
          </cell>
          <cell r="E64" t="str">
            <v>APPROVED</v>
          </cell>
          <cell r="F64">
            <v>43038</v>
          </cell>
          <cell r="G64">
            <v>43983</v>
          </cell>
          <cell r="H64">
            <v>94354.559999999998</v>
          </cell>
          <cell r="I64" t="str">
            <v>FIN Submission</v>
          </cell>
          <cell r="J64">
            <v>44084</v>
          </cell>
        </row>
        <row r="65">
          <cell r="A65" t="str">
            <v>C0012718</v>
          </cell>
          <cell r="B65" t="str">
            <v>HYD UU 4th Lake Turbine Hub Refurbi</v>
          </cell>
          <cell r="C65" t="str">
            <v>FIN Approval - Internal</v>
          </cell>
          <cell r="D65">
            <v>23</v>
          </cell>
          <cell r="E65" t="str">
            <v>APPROVED</v>
          </cell>
          <cell r="F65">
            <v>43434</v>
          </cell>
          <cell r="G65">
            <v>43615</v>
          </cell>
          <cell r="H65">
            <v>370587.94</v>
          </cell>
          <cell r="I65" t="str">
            <v>FIN Submission</v>
          </cell>
          <cell r="J65">
            <v>44105</v>
          </cell>
        </row>
        <row r="66">
          <cell r="A66" t="str">
            <v>C0009621</v>
          </cell>
          <cell r="B66" t="str">
            <v>HYD UU Big Falls Exciter Replacemen</v>
          </cell>
          <cell r="C66" t="str">
            <v>FIN Approval - Internal</v>
          </cell>
          <cell r="D66">
            <v>30</v>
          </cell>
          <cell r="E66" t="str">
            <v>APPROVED</v>
          </cell>
          <cell r="F66">
            <v>43570</v>
          </cell>
          <cell r="G66">
            <v>44348</v>
          </cell>
          <cell r="H66">
            <v>633110.81000000006</v>
          </cell>
          <cell r="I66" t="str">
            <v>FIN Submission</v>
          </cell>
          <cell r="J66">
            <v>44126</v>
          </cell>
        </row>
        <row r="67">
          <cell r="A67" t="str">
            <v>C0011181</v>
          </cell>
          <cell r="B67" t="str">
            <v>HYD UU LEQ Stator Refurbishment</v>
          </cell>
          <cell r="C67" t="str">
            <v>FIN Approval - Internal</v>
          </cell>
          <cell r="D67">
            <v>29</v>
          </cell>
          <cell r="E67" t="str">
            <v>APPROVED</v>
          </cell>
          <cell r="F67">
            <v>43631</v>
          </cell>
          <cell r="G67">
            <v>44104</v>
          </cell>
          <cell r="H67">
            <v>2041904.81</v>
          </cell>
          <cell r="I67" t="str">
            <v>FIN Submission</v>
          </cell>
          <cell r="J67">
            <v>44126</v>
          </cell>
        </row>
        <row r="68">
          <cell r="A68" t="str">
            <v>49033-H762</v>
          </cell>
          <cell r="B68" t="str">
            <v>HYD WRC Tunnel T-2 Intake Replaceme</v>
          </cell>
          <cell r="C68" t="str">
            <v>FIN Approval - Internal</v>
          </cell>
          <cell r="D68">
            <v>67</v>
          </cell>
          <cell r="E68" t="str">
            <v>APPROVED</v>
          </cell>
          <cell r="F68">
            <v>43465</v>
          </cell>
          <cell r="G68">
            <v>44196</v>
          </cell>
          <cell r="H68">
            <v>2759406.8</v>
          </cell>
          <cell r="I68" t="str">
            <v>FIN Submission</v>
          </cell>
          <cell r="J68">
            <v>44105</v>
          </cell>
        </row>
        <row r="69">
          <cell r="A69" t="str">
            <v>45178-SD35</v>
          </cell>
          <cell r="B69" t="str">
            <v>ICP - Rail Centre Shop Roof</v>
          </cell>
          <cell r="C69" t="str">
            <v>FIN Approval - Internal</v>
          </cell>
          <cell r="D69">
            <v>86</v>
          </cell>
          <cell r="E69" t="str">
            <v>APPROVED</v>
          </cell>
          <cell r="F69">
            <v>42581</v>
          </cell>
          <cell r="G69">
            <v>43465</v>
          </cell>
          <cell r="H69">
            <v>204776.93</v>
          </cell>
          <cell r="I69" t="str">
            <v>FIN Submission</v>
          </cell>
          <cell r="J69">
            <v>44105</v>
          </cell>
        </row>
        <row r="70">
          <cell r="A70" t="str">
            <v>50012-SI44</v>
          </cell>
          <cell r="B70" t="str">
            <v>ICP #2 Gate/Chute Refurbishment</v>
          </cell>
          <cell r="C70" t="str">
            <v>FIN Approval - Internal</v>
          </cell>
          <cell r="D70">
            <v>39</v>
          </cell>
          <cell r="E70" t="str">
            <v>APPROVED</v>
          </cell>
          <cell r="F70">
            <v>43030</v>
          </cell>
          <cell r="G70">
            <v>43456</v>
          </cell>
          <cell r="H70">
            <v>64350.9</v>
          </cell>
          <cell r="I70" t="str">
            <v>FIN Submission</v>
          </cell>
          <cell r="J70">
            <v>44105</v>
          </cell>
        </row>
        <row r="71">
          <cell r="A71" t="str">
            <v>C0012760</v>
          </cell>
          <cell r="B71" t="str">
            <v>ICP UU Conveyor Guard Refurbishment</v>
          </cell>
          <cell r="C71" t="str">
            <v>FIN Approval - Internal</v>
          </cell>
          <cell r="D71">
            <v>22</v>
          </cell>
          <cell r="E71" t="str">
            <v>APPROVED</v>
          </cell>
          <cell r="F71">
            <v>43439</v>
          </cell>
          <cell r="G71">
            <v>44180</v>
          </cell>
          <cell r="H71">
            <v>158815.47</v>
          </cell>
          <cell r="I71" t="str">
            <v>FIN Submission</v>
          </cell>
          <cell r="J71">
            <v>44194</v>
          </cell>
        </row>
        <row r="72">
          <cell r="A72" t="str">
            <v>47477-P967</v>
          </cell>
          <cell r="B72" t="str">
            <v>IT - Next Generation Firewall</v>
          </cell>
          <cell r="C72" t="str">
            <v>FIN Approval - Internal</v>
          </cell>
          <cell r="D72">
            <v>85</v>
          </cell>
          <cell r="E72" t="str">
            <v>APPROVED</v>
          </cell>
          <cell r="F72">
            <v>42766</v>
          </cell>
          <cell r="G72">
            <v>44012</v>
          </cell>
          <cell r="H72">
            <v>3965428.78</v>
          </cell>
          <cell r="I72" t="str">
            <v>FIN Submission</v>
          </cell>
          <cell r="J72">
            <v>44105</v>
          </cell>
        </row>
        <row r="73">
          <cell r="A73" t="str">
            <v>49857-P163</v>
          </cell>
          <cell r="B73" t="str">
            <v>IT - Storage Infrastructure Upgrade</v>
          </cell>
          <cell r="C73" t="str">
            <v>FIN Approval - Internal</v>
          </cell>
          <cell r="D73">
            <v>63</v>
          </cell>
          <cell r="E73" t="str">
            <v>APPROVED</v>
          </cell>
          <cell r="F73">
            <v>43251</v>
          </cell>
          <cell r="G73">
            <v>43830</v>
          </cell>
          <cell r="H73">
            <v>1954220.41</v>
          </cell>
          <cell r="I73" t="str">
            <v>FIN Submission</v>
          </cell>
          <cell r="J73">
            <v>44105</v>
          </cell>
        </row>
        <row r="74">
          <cell r="A74" t="str">
            <v>C0015479</v>
          </cell>
          <cell r="B74" t="str">
            <v>Jan 20 2019 Level 3 Storm Dx</v>
          </cell>
          <cell r="C74" t="str">
            <v>FIN Approval - Internal</v>
          </cell>
          <cell r="D74">
            <v>21</v>
          </cell>
          <cell r="E74" t="str">
            <v>APPROVED</v>
          </cell>
          <cell r="F74">
            <v>43466</v>
          </cell>
          <cell r="G74">
            <v>44135</v>
          </cell>
          <cell r="H74">
            <v>196573.31</v>
          </cell>
          <cell r="I74" t="str">
            <v>FIN Submission</v>
          </cell>
          <cell r="J74">
            <v>44151</v>
          </cell>
        </row>
        <row r="75">
          <cell r="A75" t="str">
            <v>C0015640</v>
          </cell>
          <cell r="B75" t="str">
            <v>Jan 24,2019 L3 Storm-Transmission</v>
          </cell>
          <cell r="C75" t="str">
            <v>FIN Approval - Internal</v>
          </cell>
          <cell r="D75">
            <v>21</v>
          </cell>
          <cell r="E75" t="str">
            <v>APPROVED</v>
          </cell>
          <cell r="F75">
            <v>43485</v>
          </cell>
          <cell r="G75">
            <v>44135</v>
          </cell>
          <cell r="H75">
            <v>32147.64</v>
          </cell>
          <cell r="I75" t="str">
            <v>FIN Submission</v>
          </cell>
          <cell r="J75">
            <v>44151</v>
          </cell>
        </row>
        <row r="76">
          <cell r="A76" t="str">
            <v>51916-T973</v>
          </cell>
          <cell r="B76" t="str">
            <v>L-5003 2017R Replacements and Upgr.</v>
          </cell>
          <cell r="C76" t="str">
            <v>FIN Approval - Internal</v>
          </cell>
          <cell r="D76">
            <v>43</v>
          </cell>
          <cell r="E76" t="str">
            <v>APPROVED</v>
          </cell>
          <cell r="F76">
            <v>43585</v>
          </cell>
          <cell r="G76">
            <v>44155</v>
          </cell>
          <cell r="H76">
            <v>178482.68</v>
          </cell>
          <cell r="I76" t="str">
            <v>FIN Submission</v>
          </cell>
          <cell r="J76">
            <v>44161</v>
          </cell>
        </row>
        <row r="77">
          <cell r="A77" t="str">
            <v>49782-T958</v>
          </cell>
          <cell r="B77" t="str">
            <v>L5027B Replacements and Upgrades</v>
          </cell>
          <cell r="C77" t="str">
            <v>FIN Approval - Internal</v>
          </cell>
          <cell r="D77">
            <v>62</v>
          </cell>
          <cell r="E77" t="str">
            <v>APPROVED</v>
          </cell>
          <cell r="F77">
            <v>43089</v>
          </cell>
          <cell r="G77">
            <v>44165</v>
          </cell>
          <cell r="H77">
            <v>1532095.81</v>
          </cell>
          <cell r="I77" t="str">
            <v>FIN Submission</v>
          </cell>
          <cell r="J77">
            <v>44161</v>
          </cell>
        </row>
        <row r="78">
          <cell r="A78" t="str">
            <v>51111-T950</v>
          </cell>
          <cell r="B78" t="str">
            <v>L5037 Replacements and Upgrades</v>
          </cell>
          <cell r="C78" t="str">
            <v>FIN Approval - Internal</v>
          </cell>
          <cell r="D78">
            <v>44</v>
          </cell>
          <cell r="E78" t="str">
            <v>APPROVED</v>
          </cell>
          <cell r="F78">
            <v>43115</v>
          </cell>
          <cell r="G78">
            <v>44074</v>
          </cell>
          <cell r="H78">
            <v>369170.98</v>
          </cell>
          <cell r="I78" t="str">
            <v>FIN Submission</v>
          </cell>
          <cell r="J78">
            <v>44105</v>
          </cell>
        </row>
        <row r="79">
          <cell r="A79" t="str">
            <v>52119</v>
          </cell>
          <cell r="B79" t="str">
            <v>L5054 2018 Replacements and Upgra</v>
          </cell>
          <cell r="C79" t="str">
            <v>FIN Approval - Internal</v>
          </cell>
          <cell r="D79">
            <v>42</v>
          </cell>
          <cell r="E79" t="str">
            <v>APPROVED</v>
          </cell>
          <cell r="F79">
            <v>43312</v>
          </cell>
          <cell r="G79">
            <v>44165</v>
          </cell>
          <cell r="H79">
            <v>784720.25</v>
          </cell>
          <cell r="I79" t="str">
            <v>FIN Submission</v>
          </cell>
          <cell r="J79">
            <v>44161</v>
          </cell>
        </row>
        <row r="80">
          <cell r="A80" t="str">
            <v>49774-T956</v>
          </cell>
          <cell r="B80" t="str">
            <v>L5527 Replacements and Upgrades</v>
          </cell>
          <cell r="C80" t="str">
            <v>FIN Approval - Internal</v>
          </cell>
          <cell r="D80">
            <v>58</v>
          </cell>
          <cell r="E80" t="str">
            <v>APPROVED</v>
          </cell>
          <cell r="F80">
            <v>43235</v>
          </cell>
          <cell r="G80">
            <v>44165</v>
          </cell>
          <cell r="H80">
            <v>1784759.13</v>
          </cell>
          <cell r="I80" t="str">
            <v>FIN Submission</v>
          </cell>
          <cell r="J80">
            <v>44161</v>
          </cell>
        </row>
        <row r="81">
          <cell r="A81" t="str">
            <v>51932-T975</v>
          </cell>
          <cell r="B81" t="str">
            <v>L6533 2017R Replc and Upgrades</v>
          </cell>
          <cell r="C81" t="str">
            <v>FIN Approval - Internal</v>
          </cell>
          <cell r="D81">
            <v>30</v>
          </cell>
          <cell r="E81" t="str">
            <v>APPROVED</v>
          </cell>
          <cell r="F81">
            <v>43434</v>
          </cell>
          <cell r="G81">
            <v>44165</v>
          </cell>
          <cell r="H81">
            <v>88204.479999999996</v>
          </cell>
          <cell r="I81" t="str">
            <v>FIN Submission</v>
          </cell>
          <cell r="J81">
            <v>44161</v>
          </cell>
        </row>
        <row r="82">
          <cell r="A82" t="str">
            <v>51362-P150</v>
          </cell>
          <cell r="B82" t="str">
            <v xml:space="preserve">Lakeside Office/Storeroom Building </v>
          </cell>
          <cell r="C82" t="str">
            <v>FIN Approval - Internal</v>
          </cell>
          <cell r="D82">
            <v>47</v>
          </cell>
          <cell r="E82" t="str">
            <v>APPROVED</v>
          </cell>
          <cell r="F82">
            <v>43311</v>
          </cell>
          <cell r="G82">
            <v>44135</v>
          </cell>
          <cell r="H82">
            <v>1916744.57</v>
          </cell>
          <cell r="I82" t="str">
            <v>FIN Submission</v>
          </cell>
          <cell r="J82">
            <v>44105</v>
          </cell>
        </row>
        <row r="83">
          <cell r="A83" t="str">
            <v>51839</v>
          </cell>
          <cell r="B83" t="str">
            <v>LIN  Coal Plant Structural Refurbis</v>
          </cell>
          <cell r="C83" t="str">
            <v>FIN Approval - Internal</v>
          </cell>
          <cell r="D83">
            <v>40</v>
          </cell>
          <cell r="E83" t="str">
            <v>APPROVED</v>
          </cell>
          <cell r="F83">
            <v>43333</v>
          </cell>
          <cell r="G83">
            <v>43820</v>
          </cell>
          <cell r="H83">
            <v>427548.04</v>
          </cell>
          <cell r="I83" t="str">
            <v>FIN Submission</v>
          </cell>
          <cell r="J83">
            <v>44084</v>
          </cell>
        </row>
        <row r="84">
          <cell r="A84" t="str">
            <v>C0002059</v>
          </cell>
          <cell r="B84" t="str">
            <v>LIN - Exterior Security Light Upg.</v>
          </cell>
          <cell r="C84" t="str">
            <v>FIN Approval - Internal</v>
          </cell>
          <cell r="D84">
            <v>35</v>
          </cell>
          <cell r="E84" t="str">
            <v>APPROVED</v>
          </cell>
          <cell r="F84">
            <v>43416</v>
          </cell>
          <cell r="G84">
            <v>43983</v>
          </cell>
          <cell r="H84">
            <v>204871.09</v>
          </cell>
          <cell r="I84" t="str">
            <v>FIN Submission</v>
          </cell>
          <cell r="J84">
            <v>44105</v>
          </cell>
        </row>
        <row r="85">
          <cell r="A85" t="str">
            <v>C0009081</v>
          </cell>
          <cell r="B85" t="str">
            <v>LIN 0 Grating Refurb. Phase III</v>
          </cell>
          <cell r="C85" t="str">
            <v>FIN Approval - Internal</v>
          </cell>
          <cell r="D85">
            <v>29</v>
          </cell>
          <cell r="E85" t="str">
            <v>APPROVED</v>
          </cell>
          <cell r="F85">
            <v>43647</v>
          </cell>
          <cell r="G85">
            <v>43983</v>
          </cell>
          <cell r="H85">
            <v>227424.47</v>
          </cell>
          <cell r="I85" t="str">
            <v>FIN Submission</v>
          </cell>
          <cell r="J85">
            <v>44105</v>
          </cell>
        </row>
        <row r="86">
          <cell r="A86" t="str">
            <v>52061</v>
          </cell>
          <cell r="B86" t="str">
            <v>LIN 4160  600V Breaker Refurb</v>
          </cell>
          <cell r="C86" t="str">
            <v>FIN Approval - Internal</v>
          </cell>
          <cell r="D86">
            <v>39</v>
          </cell>
          <cell r="E86" t="str">
            <v>APPROVED</v>
          </cell>
          <cell r="F86">
            <v>43340</v>
          </cell>
          <cell r="G86">
            <v>43830</v>
          </cell>
          <cell r="H86">
            <v>118133.29</v>
          </cell>
          <cell r="I86" t="str">
            <v>FIN Submission</v>
          </cell>
          <cell r="J86">
            <v>44105</v>
          </cell>
        </row>
        <row r="87">
          <cell r="A87" t="str">
            <v>C0009104</v>
          </cell>
          <cell r="B87" t="str">
            <v>LIN 4160 600V Breaker Refurb.</v>
          </cell>
          <cell r="C87" t="str">
            <v>FIN Approval - Internal</v>
          </cell>
          <cell r="D87">
            <v>25</v>
          </cell>
          <cell r="E87" t="str">
            <v>APPROVED</v>
          </cell>
          <cell r="F87">
            <v>43647</v>
          </cell>
          <cell r="G87">
            <v>44196</v>
          </cell>
          <cell r="H87">
            <v>93839.55</v>
          </cell>
          <cell r="I87" t="str">
            <v>FIN Submission</v>
          </cell>
          <cell r="J87">
            <v>44084</v>
          </cell>
        </row>
        <row r="88">
          <cell r="A88" t="str">
            <v>52043</v>
          </cell>
          <cell r="B88" t="str">
            <v>LIN A Coal Chute Replace Phase I</v>
          </cell>
          <cell r="C88" t="str">
            <v>FIN Approval - Internal</v>
          </cell>
          <cell r="D88">
            <v>39</v>
          </cell>
          <cell r="E88" t="str">
            <v>APPROVED</v>
          </cell>
          <cell r="F88">
            <v>43372</v>
          </cell>
          <cell r="G88">
            <v>43819</v>
          </cell>
          <cell r="H88">
            <v>174189.34</v>
          </cell>
          <cell r="I88" t="str">
            <v>FIN Submission</v>
          </cell>
          <cell r="J88">
            <v>44084</v>
          </cell>
        </row>
        <row r="89">
          <cell r="A89" t="str">
            <v>C0009087</v>
          </cell>
          <cell r="B89" t="str">
            <v>LIN A Coal Chute Replace. Phase II</v>
          </cell>
          <cell r="C89" t="str">
            <v>FIN Approval - Internal</v>
          </cell>
          <cell r="D89">
            <v>25</v>
          </cell>
          <cell r="E89" t="str">
            <v>APPROVED</v>
          </cell>
          <cell r="F89">
            <v>43647</v>
          </cell>
          <cell r="G89">
            <v>44012</v>
          </cell>
          <cell r="H89">
            <v>236916.85</v>
          </cell>
          <cell r="I89" t="str">
            <v>FIN Submission</v>
          </cell>
          <cell r="J89">
            <v>44084</v>
          </cell>
        </row>
        <row r="90">
          <cell r="A90" t="str">
            <v>C0010983</v>
          </cell>
          <cell r="B90" t="str">
            <v>LIN Coal Crusher Refurbishment</v>
          </cell>
          <cell r="C90" t="str">
            <v>FIN Approval - Internal</v>
          </cell>
          <cell r="D90">
            <v>25</v>
          </cell>
          <cell r="E90" t="str">
            <v>APPROVED</v>
          </cell>
          <cell r="F90">
            <v>43671</v>
          </cell>
          <cell r="G90">
            <v>43814</v>
          </cell>
          <cell r="H90">
            <v>172416.84</v>
          </cell>
          <cell r="I90" t="str">
            <v>FIN Submission</v>
          </cell>
          <cell r="J90">
            <v>44084</v>
          </cell>
        </row>
        <row r="91">
          <cell r="A91" t="str">
            <v>C0009059</v>
          </cell>
          <cell r="B91" t="str">
            <v>LIN Coal Plant Struc. Refurb. Phase</v>
          </cell>
          <cell r="C91" t="str">
            <v>FIN Approval - Internal</v>
          </cell>
          <cell r="D91">
            <v>25</v>
          </cell>
          <cell r="E91" t="str">
            <v>APPROVED</v>
          </cell>
          <cell r="F91">
            <v>43709</v>
          </cell>
          <cell r="G91">
            <v>43920</v>
          </cell>
          <cell r="H91">
            <v>470748.05</v>
          </cell>
          <cell r="I91" t="str">
            <v>FIN Submission</v>
          </cell>
          <cell r="J91">
            <v>44084</v>
          </cell>
        </row>
        <row r="92">
          <cell r="A92" t="str">
            <v>47508-SF72</v>
          </cell>
          <cell r="B92" t="str">
            <v>LIN Coal System Guard Upg. Phase 2</v>
          </cell>
          <cell r="C92" t="str">
            <v>FIN Approval - Internal</v>
          </cell>
          <cell r="D92">
            <v>75</v>
          </cell>
          <cell r="E92" t="str">
            <v>APPROVED</v>
          </cell>
          <cell r="F92">
            <v>42610</v>
          </cell>
          <cell r="G92">
            <v>43827</v>
          </cell>
          <cell r="H92">
            <v>83723.259999999995</v>
          </cell>
          <cell r="I92" t="str">
            <v>FIN Submission</v>
          </cell>
          <cell r="J92">
            <v>44105</v>
          </cell>
        </row>
        <row r="93">
          <cell r="A93" t="str">
            <v>51815</v>
          </cell>
          <cell r="B93" t="str">
            <v>LIN CW Pump Refurbishment 2018</v>
          </cell>
          <cell r="C93" t="str">
            <v>FIN Approval - Internal</v>
          </cell>
          <cell r="D93">
            <v>40</v>
          </cell>
          <cell r="E93" t="str">
            <v>APPROVED</v>
          </cell>
          <cell r="F93">
            <v>43394</v>
          </cell>
          <cell r="G93">
            <v>43983</v>
          </cell>
          <cell r="H93">
            <v>613338.68000000005</v>
          </cell>
          <cell r="I93" t="str">
            <v>FIN Submission</v>
          </cell>
          <cell r="J93">
            <v>44084</v>
          </cell>
        </row>
        <row r="94">
          <cell r="A94" t="str">
            <v>C0009079</v>
          </cell>
          <cell r="B94" t="str">
            <v>LIN CW Pump Refurbishment 2019</v>
          </cell>
          <cell r="C94" t="str">
            <v>FIN Approval - Internal</v>
          </cell>
          <cell r="D94">
            <v>26</v>
          </cell>
          <cell r="E94" t="str">
            <v>APPROVED</v>
          </cell>
          <cell r="F94">
            <v>43647</v>
          </cell>
          <cell r="G94">
            <v>43830</v>
          </cell>
          <cell r="H94">
            <v>544550.32999999996</v>
          </cell>
          <cell r="I94" t="str">
            <v>FIN Submission</v>
          </cell>
          <cell r="J94">
            <v>44105</v>
          </cell>
        </row>
        <row r="95">
          <cell r="A95" t="str">
            <v>51851</v>
          </cell>
          <cell r="B95" t="str">
            <v>LIN CW Screen Refurbishment 2018</v>
          </cell>
          <cell r="C95" t="str">
            <v>FIN Approval - Internal</v>
          </cell>
          <cell r="D95">
            <v>40</v>
          </cell>
          <cell r="E95" t="str">
            <v>APPROVED</v>
          </cell>
          <cell r="F95">
            <v>43394</v>
          </cell>
          <cell r="G95">
            <v>43820</v>
          </cell>
          <cell r="H95">
            <v>306646.43</v>
          </cell>
          <cell r="I95" t="str">
            <v>FIN Submission</v>
          </cell>
          <cell r="J95">
            <v>44084</v>
          </cell>
        </row>
        <row r="96">
          <cell r="A96" t="str">
            <v>C0009080</v>
          </cell>
          <cell r="B96" t="str">
            <v>LIN CW Screen Refurbishment 2019</v>
          </cell>
          <cell r="C96" t="str">
            <v>FIN Approval - Internal</v>
          </cell>
          <cell r="D96">
            <v>28</v>
          </cell>
          <cell r="E96" t="str">
            <v>APPROVED</v>
          </cell>
          <cell r="F96">
            <v>43709</v>
          </cell>
          <cell r="G96">
            <v>43983</v>
          </cell>
          <cell r="H96">
            <v>395891.52</v>
          </cell>
          <cell r="I96" t="str">
            <v>FIN Submission</v>
          </cell>
          <cell r="J96">
            <v>44105</v>
          </cell>
        </row>
        <row r="97">
          <cell r="A97" t="str">
            <v>C0009060</v>
          </cell>
          <cell r="B97" t="str">
            <v>LIN CW Screen Wash Pipe Up. 2019</v>
          </cell>
          <cell r="C97" t="str">
            <v>FIN Approval - Internal</v>
          </cell>
          <cell r="D97">
            <v>28</v>
          </cell>
          <cell r="E97" t="str">
            <v>APPROVED</v>
          </cell>
          <cell r="F97">
            <v>43647</v>
          </cell>
          <cell r="G97">
            <v>43983</v>
          </cell>
          <cell r="H97">
            <v>72521.11</v>
          </cell>
          <cell r="I97" t="str">
            <v>FIN Submission</v>
          </cell>
          <cell r="J97">
            <v>44161</v>
          </cell>
        </row>
        <row r="98">
          <cell r="A98" t="str">
            <v>52036</v>
          </cell>
          <cell r="B98" t="str">
            <v>LIN CW Screen Wash Piping Upgrade</v>
          </cell>
          <cell r="C98" t="str">
            <v>FIN Approval - Internal</v>
          </cell>
          <cell r="D98">
            <v>37</v>
          </cell>
          <cell r="E98" t="str">
            <v>APPROVED</v>
          </cell>
          <cell r="F98">
            <v>43416</v>
          </cell>
          <cell r="G98">
            <v>43617</v>
          </cell>
          <cell r="H98">
            <v>166880.19</v>
          </cell>
          <cell r="I98" t="str">
            <v>FIN Submission</v>
          </cell>
          <cell r="J98">
            <v>44084</v>
          </cell>
        </row>
        <row r="99">
          <cell r="A99" t="str">
            <v>52063</v>
          </cell>
          <cell r="B99" t="str">
            <v xml:space="preserve">LIN Facilities Upgrade </v>
          </cell>
          <cell r="C99" t="str">
            <v>FIN Approval - Internal</v>
          </cell>
          <cell r="D99">
            <v>37</v>
          </cell>
          <cell r="E99" t="str">
            <v>APPROVED</v>
          </cell>
          <cell r="F99">
            <v>43332</v>
          </cell>
          <cell r="G99">
            <v>43617</v>
          </cell>
          <cell r="H99">
            <v>206964.71</v>
          </cell>
          <cell r="I99" t="str">
            <v>FIN Submission</v>
          </cell>
          <cell r="J99">
            <v>44084</v>
          </cell>
        </row>
        <row r="100">
          <cell r="A100" t="str">
            <v>C0009105</v>
          </cell>
          <cell r="B100" t="str">
            <v>LIN Facilities Upgrades</v>
          </cell>
          <cell r="C100" t="str">
            <v>FIN Approval - Internal</v>
          </cell>
          <cell r="D100">
            <v>28</v>
          </cell>
          <cell r="E100" t="str">
            <v>APPROVED</v>
          </cell>
          <cell r="F100">
            <v>43647</v>
          </cell>
          <cell r="G100">
            <v>43983</v>
          </cell>
          <cell r="H100">
            <v>162036.62</v>
          </cell>
          <cell r="I100" t="str">
            <v>FIN Submission</v>
          </cell>
          <cell r="J100">
            <v>44105</v>
          </cell>
        </row>
        <row r="101">
          <cell r="A101" t="str">
            <v>52040</v>
          </cell>
          <cell r="B101" t="str">
            <v xml:space="preserve">LIN Grating Refub Phase 2 </v>
          </cell>
          <cell r="C101" t="str">
            <v>FIN Approval - Internal</v>
          </cell>
          <cell r="D101">
            <v>38</v>
          </cell>
          <cell r="E101" t="str">
            <v>APPROVED</v>
          </cell>
          <cell r="F101">
            <v>43363</v>
          </cell>
          <cell r="G101">
            <v>43819</v>
          </cell>
          <cell r="H101">
            <v>239031.47</v>
          </cell>
          <cell r="I101" t="str">
            <v>FIN Submission</v>
          </cell>
          <cell r="J101">
            <v>44084</v>
          </cell>
        </row>
        <row r="102">
          <cell r="A102" t="str">
            <v>C0009096</v>
          </cell>
          <cell r="B102" t="str">
            <v>LIN Mill Refurbishments 2019</v>
          </cell>
          <cell r="C102" t="str">
            <v>FIN Approval - Internal</v>
          </cell>
          <cell r="D102">
            <v>23</v>
          </cell>
          <cell r="E102" t="str">
            <v>APPROVED</v>
          </cell>
          <cell r="F102">
            <v>43647</v>
          </cell>
          <cell r="G102">
            <v>44104</v>
          </cell>
          <cell r="H102">
            <v>873090.9</v>
          </cell>
          <cell r="I102" t="str">
            <v>FIN Submission</v>
          </cell>
          <cell r="J102">
            <v>44105</v>
          </cell>
        </row>
        <row r="103">
          <cell r="A103" t="str">
            <v>49432-SI31</v>
          </cell>
          <cell r="B103" t="str">
            <v>LIN PF Line Refurbishment</v>
          </cell>
          <cell r="C103" t="str">
            <v>FIN Approval - Internal</v>
          </cell>
          <cell r="D103">
            <v>45</v>
          </cell>
          <cell r="E103" t="str">
            <v>APPROVED</v>
          </cell>
          <cell r="F103">
            <v>43024</v>
          </cell>
          <cell r="G103">
            <v>43450</v>
          </cell>
          <cell r="H103">
            <v>104108.88</v>
          </cell>
          <cell r="I103" t="str">
            <v>FIN Submission</v>
          </cell>
          <cell r="J103">
            <v>44105</v>
          </cell>
        </row>
        <row r="104">
          <cell r="A104" t="str">
            <v>47873-SF78</v>
          </cell>
          <cell r="B104" t="str">
            <v>LIN Plant Communications Upgrade</v>
          </cell>
          <cell r="C104" t="str">
            <v>FIN Approval - Internal</v>
          </cell>
          <cell r="D104">
            <v>70</v>
          </cell>
          <cell r="E104" t="str">
            <v>APPROVED</v>
          </cell>
          <cell r="F104">
            <v>42794</v>
          </cell>
          <cell r="G104">
            <v>43983</v>
          </cell>
          <cell r="H104">
            <v>121654.05</v>
          </cell>
          <cell r="I104" t="str">
            <v>FIN Submission</v>
          </cell>
          <cell r="J104">
            <v>44084</v>
          </cell>
        </row>
        <row r="105">
          <cell r="A105" t="str">
            <v>52046</v>
          </cell>
          <cell r="B105" t="str">
            <v>LIN Precipitator Controls Upgrade</v>
          </cell>
          <cell r="C105" t="str">
            <v>FIN Approval - Internal</v>
          </cell>
          <cell r="D105">
            <v>41</v>
          </cell>
          <cell r="E105" t="str">
            <v>APPROVED</v>
          </cell>
          <cell r="F105">
            <v>43405</v>
          </cell>
          <cell r="G105">
            <v>43617</v>
          </cell>
          <cell r="H105">
            <v>247578.04</v>
          </cell>
          <cell r="I105" t="str">
            <v>FIN Submission</v>
          </cell>
          <cell r="J105">
            <v>44161</v>
          </cell>
        </row>
        <row r="106">
          <cell r="A106" t="str">
            <v>51811</v>
          </cell>
          <cell r="B106" t="str">
            <v>LIN Reclaim Refurbishment Phase 2</v>
          </cell>
          <cell r="C106" t="str">
            <v>FIN Approval - Internal</v>
          </cell>
          <cell r="D106">
            <v>42</v>
          </cell>
          <cell r="E106" t="str">
            <v>APPROVED</v>
          </cell>
          <cell r="F106">
            <v>43637</v>
          </cell>
          <cell r="G106">
            <v>43820</v>
          </cell>
          <cell r="H106">
            <v>671695.4</v>
          </cell>
          <cell r="I106" t="str">
            <v>FIN Submission</v>
          </cell>
          <cell r="J106">
            <v>44161</v>
          </cell>
        </row>
        <row r="107">
          <cell r="A107" t="str">
            <v>C0009082</v>
          </cell>
          <cell r="B107" t="str">
            <v>LIN Reclaim Refurbishment Phase 3</v>
          </cell>
          <cell r="C107" t="str">
            <v>FIN Approval - Internal</v>
          </cell>
          <cell r="D107">
            <v>29</v>
          </cell>
          <cell r="E107" t="str">
            <v>APPROVED</v>
          </cell>
          <cell r="F107">
            <v>43709</v>
          </cell>
          <cell r="G107">
            <v>44196</v>
          </cell>
          <cell r="H107">
            <v>586459.71</v>
          </cell>
          <cell r="I107" t="str">
            <v>FIN Submission</v>
          </cell>
          <cell r="J107">
            <v>44105</v>
          </cell>
        </row>
        <row r="108">
          <cell r="A108" t="str">
            <v>C0011581</v>
          </cell>
          <cell r="B108" t="str">
            <v>LIN Replace O2 analyzers</v>
          </cell>
          <cell r="C108" t="str">
            <v>FIN Approval - Internal</v>
          </cell>
          <cell r="D108">
            <v>25</v>
          </cell>
          <cell r="E108" t="str">
            <v>APPROVED</v>
          </cell>
          <cell r="F108">
            <v>43661</v>
          </cell>
          <cell r="G108">
            <v>43784</v>
          </cell>
          <cell r="H108">
            <v>65118.55</v>
          </cell>
          <cell r="I108" t="str">
            <v>FIN Submission</v>
          </cell>
          <cell r="J108">
            <v>44084</v>
          </cell>
        </row>
        <row r="109">
          <cell r="A109" t="str">
            <v>C0009115</v>
          </cell>
          <cell r="B109" t="str">
            <v xml:space="preserve">LIN Service Air Compressor </v>
          </cell>
          <cell r="C109" t="str">
            <v>FIN Approval - Internal</v>
          </cell>
          <cell r="D109">
            <v>28</v>
          </cell>
          <cell r="E109" t="str">
            <v>APPROVED</v>
          </cell>
          <cell r="F109">
            <v>43647</v>
          </cell>
          <cell r="G109">
            <v>43983</v>
          </cell>
          <cell r="H109">
            <v>146118.56</v>
          </cell>
          <cell r="I109" t="str">
            <v>FIN Submission</v>
          </cell>
          <cell r="J109">
            <v>44105</v>
          </cell>
        </row>
        <row r="110">
          <cell r="A110" t="str">
            <v>C0009083</v>
          </cell>
          <cell r="B110" t="str">
            <v>LIN Siding Refurbishment Phase III</v>
          </cell>
          <cell r="C110" t="str">
            <v>FIN Approval - Internal</v>
          </cell>
          <cell r="D110">
            <v>28</v>
          </cell>
          <cell r="E110" t="str">
            <v>APPROVED</v>
          </cell>
          <cell r="F110">
            <v>43647</v>
          </cell>
          <cell r="G110">
            <v>43983</v>
          </cell>
          <cell r="H110">
            <v>183073.64</v>
          </cell>
          <cell r="I110" t="str">
            <v>FIN Submission</v>
          </cell>
          <cell r="J110">
            <v>44105</v>
          </cell>
        </row>
        <row r="111">
          <cell r="A111" t="str">
            <v>C0016398</v>
          </cell>
          <cell r="B111" t="str">
            <v>LIN UU C belt Drive Pulley Refurb</v>
          </cell>
          <cell r="C111" t="str">
            <v>FIN Approval - Internal</v>
          </cell>
          <cell r="D111">
            <v>17</v>
          </cell>
          <cell r="E111" t="str">
            <v>APPROVED</v>
          </cell>
          <cell r="F111">
            <v>43616</v>
          </cell>
          <cell r="G111">
            <v>43983</v>
          </cell>
          <cell r="H111">
            <v>221061.49</v>
          </cell>
          <cell r="I111" t="str">
            <v>FIN Submission</v>
          </cell>
          <cell r="J111">
            <v>44084</v>
          </cell>
        </row>
        <row r="112">
          <cell r="A112" t="str">
            <v>C0022402</v>
          </cell>
          <cell r="B112" t="str">
            <v>LIN UU D2 Conveyor Refurbishment</v>
          </cell>
          <cell r="C112" t="str">
            <v>FIN Approval - Internal</v>
          </cell>
          <cell r="D112">
            <v>12</v>
          </cell>
          <cell r="E112" t="str">
            <v>APPROVED</v>
          </cell>
          <cell r="F112">
            <v>43769</v>
          </cell>
          <cell r="G112">
            <v>43830</v>
          </cell>
          <cell r="H112">
            <v>83751.740000000005</v>
          </cell>
          <cell r="I112" t="str">
            <v>FIN Submission</v>
          </cell>
          <cell r="J112">
            <v>44084</v>
          </cell>
        </row>
        <row r="113">
          <cell r="A113" t="str">
            <v>C0007383</v>
          </cell>
          <cell r="B113" t="str">
            <v>LIN UU Flyash Cone Valves and Pipin</v>
          </cell>
          <cell r="C113" t="str">
            <v>FIN Approval - Internal</v>
          </cell>
          <cell r="D113">
            <v>13</v>
          </cell>
          <cell r="E113" t="str">
            <v>APPROVED</v>
          </cell>
          <cell r="F113">
            <v>43327</v>
          </cell>
          <cell r="G113">
            <v>43449</v>
          </cell>
          <cell r="H113">
            <v>241011.48</v>
          </cell>
          <cell r="I113" t="str">
            <v>FIN Submission</v>
          </cell>
          <cell r="J113">
            <v>44105</v>
          </cell>
        </row>
        <row r="114">
          <cell r="A114" t="str">
            <v>C0012338</v>
          </cell>
          <cell r="B114" t="str">
            <v>LIN UU HFO Suction Line Repair</v>
          </cell>
          <cell r="C114" t="str">
            <v>FIN Approval - Internal</v>
          </cell>
          <cell r="D114">
            <v>24</v>
          </cell>
          <cell r="E114" t="str">
            <v>APPROVED</v>
          </cell>
          <cell r="F114">
            <v>43348</v>
          </cell>
          <cell r="G114">
            <v>43983</v>
          </cell>
          <cell r="H114">
            <v>228588.13</v>
          </cell>
          <cell r="I114" t="str">
            <v>FIN Submission</v>
          </cell>
          <cell r="J114">
            <v>44105</v>
          </cell>
        </row>
        <row r="115">
          <cell r="A115" t="str">
            <v>C0024123</v>
          </cell>
          <cell r="B115" t="str">
            <v>LIN UU Reclaim Grizzly Grate Replac</v>
          </cell>
          <cell r="C115" t="str">
            <v>FIN Approval - Internal</v>
          </cell>
          <cell r="D115">
            <v>10</v>
          </cell>
          <cell r="E115" t="str">
            <v>APPROVED</v>
          </cell>
          <cell r="F115">
            <v>43827</v>
          </cell>
          <cell r="G115">
            <v>43889</v>
          </cell>
          <cell r="H115">
            <v>233155.11</v>
          </cell>
          <cell r="I115" t="str">
            <v>FIN Submission</v>
          </cell>
          <cell r="J115">
            <v>44084</v>
          </cell>
        </row>
        <row r="116">
          <cell r="A116" t="str">
            <v>C0023523</v>
          </cell>
          <cell r="B116" t="str">
            <v>LIN UU Sea Debris Picker Refurb.</v>
          </cell>
          <cell r="C116" t="str">
            <v>FIN Approval - Internal</v>
          </cell>
          <cell r="D116">
            <v>10</v>
          </cell>
          <cell r="E116" t="str">
            <v>APPROVED</v>
          </cell>
          <cell r="F116">
            <v>43799</v>
          </cell>
          <cell r="G116">
            <v>43830</v>
          </cell>
          <cell r="H116">
            <v>47324.02</v>
          </cell>
          <cell r="I116" t="str">
            <v>FIN Submission</v>
          </cell>
          <cell r="J116">
            <v>44084</v>
          </cell>
        </row>
        <row r="117">
          <cell r="A117" t="str">
            <v>C0017758</v>
          </cell>
          <cell r="B117" t="str">
            <v>LIN UU Sewage Lift Station Refurb.</v>
          </cell>
          <cell r="C117" t="str">
            <v>FIN Approval - Internal</v>
          </cell>
          <cell r="D117">
            <v>17</v>
          </cell>
          <cell r="E117" t="str">
            <v>APPROVED</v>
          </cell>
          <cell r="F117">
            <v>43646</v>
          </cell>
          <cell r="G117">
            <v>43983</v>
          </cell>
          <cell r="H117">
            <v>84699.32</v>
          </cell>
          <cell r="I117" t="str">
            <v>FIN Submission</v>
          </cell>
          <cell r="J117">
            <v>44084</v>
          </cell>
        </row>
        <row r="118">
          <cell r="A118" t="str">
            <v>52156</v>
          </cell>
          <cell r="B118" t="str">
            <v>LIN Vaccuum Pump Upgrades</v>
          </cell>
          <cell r="C118" t="str">
            <v>FIN Approval - Internal</v>
          </cell>
          <cell r="D118">
            <v>42</v>
          </cell>
          <cell r="E118" t="str">
            <v>APPROVED</v>
          </cell>
          <cell r="F118">
            <v>43368</v>
          </cell>
          <cell r="G118">
            <v>43824</v>
          </cell>
          <cell r="H118">
            <v>322106.93</v>
          </cell>
          <cell r="I118" t="str">
            <v>FIN Submission</v>
          </cell>
          <cell r="J118">
            <v>44105</v>
          </cell>
        </row>
        <row r="119">
          <cell r="A119" t="str">
            <v>52048</v>
          </cell>
          <cell r="B119" t="str">
            <v>LIN Washroom Trailer</v>
          </cell>
          <cell r="C119" t="str">
            <v>FIN Approval - Internal</v>
          </cell>
          <cell r="D119">
            <v>39</v>
          </cell>
          <cell r="E119" t="str">
            <v>APPROVED</v>
          </cell>
          <cell r="F119">
            <v>43636</v>
          </cell>
          <cell r="G119">
            <v>43819</v>
          </cell>
          <cell r="H119">
            <v>130253.71</v>
          </cell>
          <cell r="I119" t="str">
            <v>FIN Submission</v>
          </cell>
          <cell r="J119">
            <v>44105</v>
          </cell>
        </row>
        <row r="120">
          <cell r="A120" t="str">
            <v>C0005181</v>
          </cell>
          <cell r="B120" t="str">
            <v>LIN1 BA Refurbishment 2018</v>
          </cell>
          <cell r="C120" t="str">
            <v>FIN Approval - Internal</v>
          </cell>
          <cell r="D120">
            <v>16</v>
          </cell>
          <cell r="E120" t="str">
            <v>APPROVED</v>
          </cell>
          <cell r="F120">
            <v>43324</v>
          </cell>
          <cell r="G120">
            <v>43446</v>
          </cell>
          <cell r="H120">
            <v>431369.7</v>
          </cell>
          <cell r="I120" t="str">
            <v>FIN Submission</v>
          </cell>
          <cell r="J120">
            <v>44105</v>
          </cell>
        </row>
        <row r="121">
          <cell r="A121" t="str">
            <v>52052</v>
          </cell>
          <cell r="B121" t="str">
            <v>LIN1 Misc. Valve</v>
          </cell>
          <cell r="C121" t="str">
            <v>FIN Approval - Internal</v>
          </cell>
          <cell r="D121">
            <v>43</v>
          </cell>
          <cell r="E121" t="str">
            <v>APPROVED</v>
          </cell>
          <cell r="F121">
            <v>43404</v>
          </cell>
          <cell r="G121">
            <v>43617</v>
          </cell>
          <cell r="H121">
            <v>245614.4</v>
          </cell>
          <cell r="I121" t="str">
            <v>FIN Submission</v>
          </cell>
          <cell r="J121">
            <v>44105</v>
          </cell>
        </row>
        <row r="122">
          <cell r="A122" t="str">
            <v>C0008839</v>
          </cell>
          <cell r="B122" t="str">
            <v>LIN1 UU Air Heater Bearing Replacem</v>
          </cell>
          <cell r="C122" t="str">
            <v>FIN Approval - Internal</v>
          </cell>
          <cell r="D122">
            <v>13</v>
          </cell>
          <cell r="E122" t="str">
            <v>APPROVED</v>
          </cell>
          <cell r="F122">
            <v>43224</v>
          </cell>
          <cell r="G122">
            <v>43438</v>
          </cell>
          <cell r="H122">
            <v>53236.99</v>
          </cell>
          <cell r="I122" t="str">
            <v>FIN Submission</v>
          </cell>
          <cell r="J122">
            <v>44105</v>
          </cell>
        </row>
        <row r="123">
          <cell r="A123" t="str">
            <v>C0012319</v>
          </cell>
          <cell r="B123" t="str">
            <v>LIN1 UU HE Piping Refurbishment</v>
          </cell>
          <cell r="C123" t="str">
            <v>FIN Approval - Internal</v>
          </cell>
          <cell r="D123">
            <v>24</v>
          </cell>
          <cell r="E123" t="str">
            <v>APPROVED</v>
          </cell>
          <cell r="F123">
            <v>43353</v>
          </cell>
          <cell r="G123">
            <v>43617</v>
          </cell>
          <cell r="H123">
            <v>224505.60000000001</v>
          </cell>
          <cell r="I123" t="str">
            <v>FIN Submission</v>
          </cell>
          <cell r="J123">
            <v>44105</v>
          </cell>
        </row>
        <row r="124">
          <cell r="A124" t="str">
            <v>C0017040</v>
          </cell>
          <cell r="B124" t="str">
            <v>LIN2 UU Blowdown Tank Refurbishment</v>
          </cell>
          <cell r="C124" t="str">
            <v>FIN Approval - Internal</v>
          </cell>
          <cell r="D124">
            <v>20</v>
          </cell>
          <cell r="E124" t="str">
            <v>APPROVED</v>
          </cell>
          <cell r="F124">
            <v>43585</v>
          </cell>
          <cell r="G124">
            <v>44196</v>
          </cell>
          <cell r="H124">
            <v>80126.77</v>
          </cell>
          <cell r="I124" t="str">
            <v>FIN Submission</v>
          </cell>
          <cell r="J124">
            <v>44161</v>
          </cell>
        </row>
        <row r="125">
          <cell r="A125" t="str">
            <v>C0017025</v>
          </cell>
          <cell r="B125" t="str">
            <v>LIN2 UU Burner Front Refurbishment</v>
          </cell>
          <cell r="C125" t="str">
            <v>FIN Approval - Internal</v>
          </cell>
          <cell r="D125">
            <v>21</v>
          </cell>
          <cell r="E125" t="str">
            <v>APPROVED</v>
          </cell>
          <cell r="F125">
            <v>43585</v>
          </cell>
          <cell r="G125">
            <v>43829</v>
          </cell>
          <cell r="H125">
            <v>218930.84</v>
          </cell>
          <cell r="I125" t="str">
            <v>FIN Submission</v>
          </cell>
          <cell r="J125">
            <v>44105</v>
          </cell>
        </row>
        <row r="126">
          <cell r="A126" t="str">
            <v>C0012778</v>
          </cell>
          <cell r="B126" t="str">
            <v>LIN2 UU HE Piping Refurbishment</v>
          </cell>
          <cell r="C126" t="str">
            <v>FIN Approval - Internal</v>
          </cell>
          <cell r="D126">
            <v>23</v>
          </cell>
          <cell r="E126" t="str">
            <v>APPROVED</v>
          </cell>
          <cell r="F126">
            <v>43404</v>
          </cell>
          <cell r="G126">
            <v>43617</v>
          </cell>
          <cell r="H126">
            <v>225277.39</v>
          </cell>
          <cell r="I126" t="str">
            <v>FIN Submission</v>
          </cell>
          <cell r="J126">
            <v>44105</v>
          </cell>
        </row>
        <row r="127">
          <cell r="A127" t="str">
            <v>C0017298</v>
          </cell>
          <cell r="B127" t="str">
            <v>LIN2 UU HEP/FAC Refurbishment</v>
          </cell>
          <cell r="C127" t="str">
            <v>FIN Approval - Internal</v>
          </cell>
          <cell r="D127">
            <v>20</v>
          </cell>
          <cell r="E127" t="str">
            <v>APPROVED</v>
          </cell>
          <cell r="F127">
            <v>43616</v>
          </cell>
          <cell r="G127">
            <v>43830</v>
          </cell>
          <cell r="H127">
            <v>221581.9</v>
          </cell>
          <cell r="I127" t="str">
            <v>FIN Submission</v>
          </cell>
          <cell r="J127">
            <v>44105</v>
          </cell>
        </row>
        <row r="128">
          <cell r="A128" t="str">
            <v>C0017035</v>
          </cell>
          <cell r="B128" t="str">
            <v>LIN2 UU Misc. Valve Refurbishment</v>
          </cell>
          <cell r="C128" t="str">
            <v>FIN Approval - Internal</v>
          </cell>
          <cell r="D128">
            <v>20</v>
          </cell>
          <cell r="E128" t="str">
            <v>APPROVED</v>
          </cell>
          <cell r="F128">
            <v>43567</v>
          </cell>
          <cell r="G128">
            <v>43983</v>
          </cell>
          <cell r="H128">
            <v>156971.28</v>
          </cell>
          <cell r="I128" t="str">
            <v>FIN Submission</v>
          </cell>
          <cell r="J128">
            <v>44161</v>
          </cell>
        </row>
        <row r="129">
          <cell r="A129" t="str">
            <v>C0009099</v>
          </cell>
          <cell r="B129" t="str">
            <v xml:space="preserve">LIN3 Boiler Refurbishment </v>
          </cell>
          <cell r="C129" t="str">
            <v>FIN Approval - Internal</v>
          </cell>
          <cell r="D129">
            <v>29</v>
          </cell>
          <cell r="E129" t="str">
            <v>APPROVED</v>
          </cell>
          <cell r="F129">
            <v>43626</v>
          </cell>
          <cell r="G129">
            <v>43830</v>
          </cell>
          <cell r="H129">
            <v>865166.2</v>
          </cell>
          <cell r="I129" t="str">
            <v>FIN Submission</v>
          </cell>
          <cell r="J129">
            <v>44105</v>
          </cell>
        </row>
        <row r="130">
          <cell r="A130" t="str">
            <v>52253</v>
          </cell>
          <cell r="B130" t="str">
            <v>LIN3 Economizer Header Refurb.</v>
          </cell>
          <cell r="C130" t="str">
            <v>FIN Approval - Internal</v>
          </cell>
          <cell r="D130">
            <v>40</v>
          </cell>
          <cell r="E130" t="str">
            <v>APPROVED</v>
          </cell>
          <cell r="F130">
            <v>43186</v>
          </cell>
          <cell r="G130">
            <v>43735</v>
          </cell>
          <cell r="H130">
            <v>560686.62</v>
          </cell>
          <cell r="I130" t="str">
            <v>FIN Submission</v>
          </cell>
          <cell r="J130">
            <v>44105</v>
          </cell>
        </row>
        <row r="131">
          <cell r="A131" t="str">
            <v>49452</v>
          </cell>
          <cell r="B131" t="str">
            <v>LIN3 FW Heater Level Controls Upgr</v>
          </cell>
          <cell r="C131" t="str">
            <v>FIN Approval - Internal</v>
          </cell>
          <cell r="D131">
            <v>58</v>
          </cell>
          <cell r="E131" t="str">
            <v>APPROVED</v>
          </cell>
          <cell r="F131">
            <v>43360</v>
          </cell>
          <cell r="G131">
            <v>43983</v>
          </cell>
          <cell r="H131">
            <v>248094.88</v>
          </cell>
          <cell r="I131" t="str">
            <v>FIN Submission</v>
          </cell>
          <cell r="J131">
            <v>44084</v>
          </cell>
        </row>
        <row r="132">
          <cell r="A132" t="str">
            <v>C0009098</v>
          </cell>
          <cell r="B132" t="str">
            <v xml:space="preserve">LIN3 Misc. Valve Refurbishment </v>
          </cell>
          <cell r="C132" t="str">
            <v>FIN Approval - Internal</v>
          </cell>
          <cell r="D132">
            <v>28</v>
          </cell>
          <cell r="E132" t="str">
            <v>APPROVED</v>
          </cell>
          <cell r="F132">
            <v>43647</v>
          </cell>
          <cell r="G132">
            <v>43830</v>
          </cell>
          <cell r="H132">
            <v>192897.37</v>
          </cell>
          <cell r="I132" t="str">
            <v>FIN Submission</v>
          </cell>
          <cell r="J132">
            <v>44105</v>
          </cell>
        </row>
        <row r="133">
          <cell r="A133" t="str">
            <v>C0009092</v>
          </cell>
          <cell r="B133" t="str">
            <v>LIN3 RH Tube Replacement 2019</v>
          </cell>
          <cell r="C133" t="str">
            <v>FIN Approval - Internal</v>
          </cell>
          <cell r="D133">
            <v>28</v>
          </cell>
          <cell r="E133" t="str">
            <v>APPROVED</v>
          </cell>
          <cell r="F133">
            <v>43556</v>
          </cell>
          <cell r="G133">
            <v>43830</v>
          </cell>
          <cell r="H133">
            <v>482715.85</v>
          </cell>
          <cell r="I133" t="str">
            <v>FIN Submission</v>
          </cell>
          <cell r="J133">
            <v>44105</v>
          </cell>
        </row>
        <row r="134">
          <cell r="A134" t="str">
            <v>51853</v>
          </cell>
          <cell r="B134" t="str">
            <v>LIN3 Turbine Valve Refurb 2018</v>
          </cell>
          <cell r="C134" t="str">
            <v>FIN Approval - Internal</v>
          </cell>
          <cell r="D134">
            <v>39</v>
          </cell>
          <cell r="E134" t="str">
            <v>APPROVED</v>
          </cell>
          <cell r="F134">
            <v>43211</v>
          </cell>
          <cell r="G134">
            <v>43830</v>
          </cell>
          <cell r="H134">
            <v>351882.48</v>
          </cell>
          <cell r="I134" t="str">
            <v>FIN Submission</v>
          </cell>
          <cell r="J134">
            <v>44084</v>
          </cell>
        </row>
        <row r="135">
          <cell r="A135" t="str">
            <v>C0017058</v>
          </cell>
          <cell r="B135" t="str">
            <v>LIN3 UU 3B CE Pump Motor Refurb.</v>
          </cell>
          <cell r="C135" t="str">
            <v>FIN Approval - Internal</v>
          </cell>
          <cell r="D135">
            <v>17</v>
          </cell>
          <cell r="E135" t="str">
            <v>APPROVED</v>
          </cell>
          <cell r="F135">
            <v>43646</v>
          </cell>
          <cell r="G135">
            <v>43983</v>
          </cell>
          <cell r="H135">
            <v>41774.269999999997</v>
          </cell>
          <cell r="I135" t="str">
            <v>FIN Submission</v>
          </cell>
          <cell r="J135">
            <v>44084</v>
          </cell>
        </row>
        <row r="136">
          <cell r="A136" t="str">
            <v>C0007979</v>
          </cell>
          <cell r="B136" t="str">
            <v>LIN3 UU HE Piping Refurbishment</v>
          </cell>
          <cell r="C136" t="str">
            <v>FIN Approval - Internal</v>
          </cell>
          <cell r="D136">
            <v>13</v>
          </cell>
          <cell r="E136" t="str">
            <v>APPROVED</v>
          </cell>
          <cell r="F136">
            <v>43194</v>
          </cell>
          <cell r="G136">
            <v>43438</v>
          </cell>
          <cell r="H136">
            <v>181603.03</v>
          </cell>
          <cell r="I136" t="str">
            <v>FIN Submission</v>
          </cell>
          <cell r="J136">
            <v>44105</v>
          </cell>
        </row>
        <row r="137">
          <cell r="A137" t="str">
            <v>C0018859</v>
          </cell>
          <cell r="B137" t="str">
            <v>LIN3 UU HEP Refurbishment</v>
          </cell>
          <cell r="C137" t="str">
            <v>FIN Approval - Internal</v>
          </cell>
          <cell r="D137">
            <v>16</v>
          </cell>
          <cell r="E137" t="str">
            <v>APPROVED</v>
          </cell>
          <cell r="F137">
            <v>43677</v>
          </cell>
          <cell r="G137">
            <v>43983</v>
          </cell>
          <cell r="H137">
            <v>172618.27</v>
          </cell>
          <cell r="I137" t="str">
            <v>FIN Submission</v>
          </cell>
          <cell r="J137">
            <v>44084</v>
          </cell>
        </row>
        <row r="138">
          <cell r="A138" t="str">
            <v>C0018821</v>
          </cell>
          <cell r="B138" t="str">
            <v>LIN3 UU SH5 Tube Replacement</v>
          </cell>
          <cell r="C138" t="str">
            <v>FIN Approval - Internal</v>
          </cell>
          <cell r="D138">
            <v>16</v>
          </cell>
          <cell r="E138" t="str">
            <v>APPROVED</v>
          </cell>
          <cell r="F138">
            <v>43677</v>
          </cell>
          <cell r="G138">
            <v>43830</v>
          </cell>
          <cell r="H138">
            <v>210453.96</v>
          </cell>
          <cell r="I138" t="str">
            <v>FIN Submission</v>
          </cell>
          <cell r="J138">
            <v>44084</v>
          </cell>
        </row>
        <row r="139">
          <cell r="A139" t="str">
            <v>50020-SI14</v>
          </cell>
          <cell r="B139" t="str">
            <v>LIN3&amp;4 CEM Replacement</v>
          </cell>
          <cell r="C139" t="str">
            <v>FIN Approval - Internal</v>
          </cell>
          <cell r="D139">
            <v>55</v>
          </cell>
          <cell r="E139" t="str">
            <v>APPROVED</v>
          </cell>
          <cell r="F139">
            <v>43403</v>
          </cell>
          <cell r="G139">
            <v>43800</v>
          </cell>
          <cell r="H139">
            <v>689031.59</v>
          </cell>
          <cell r="I139" t="str">
            <v>FIN Submission</v>
          </cell>
          <cell r="J139">
            <v>44105</v>
          </cell>
        </row>
        <row r="140">
          <cell r="A140" t="str">
            <v>C0009113</v>
          </cell>
          <cell r="B140" t="str">
            <v xml:space="preserve">LIN4 Burner Front Replacement </v>
          </cell>
          <cell r="C140" t="str">
            <v>FIN Approval - Internal</v>
          </cell>
          <cell r="D140">
            <v>28</v>
          </cell>
          <cell r="E140" t="str">
            <v>APPROVED</v>
          </cell>
          <cell r="F140">
            <v>43676</v>
          </cell>
          <cell r="G140">
            <v>44196</v>
          </cell>
          <cell r="H140">
            <v>268475.38</v>
          </cell>
          <cell r="I140" t="str">
            <v>FIN Submission</v>
          </cell>
          <cell r="J140">
            <v>44161</v>
          </cell>
        </row>
        <row r="141">
          <cell r="A141" t="str">
            <v>C0009108</v>
          </cell>
          <cell r="B141" t="str">
            <v>LIN4 Economizer Header Refurb.</v>
          </cell>
          <cell r="C141" t="str">
            <v>FIN Approval - Internal</v>
          </cell>
          <cell r="D141">
            <v>29</v>
          </cell>
          <cell r="E141" t="str">
            <v>APPROVED</v>
          </cell>
          <cell r="F141">
            <v>43676</v>
          </cell>
          <cell r="G141">
            <v>43830</v>
          </cell>
          <cell r="H141">
            <v>415460.51</v>
          </cell>
          <cell r="I141" t="str">
            <v>FIN Submission</v>
          </cell>
          <cell r="J141">
            <v>44105</v>
          </cell>
        </row>
        <row r="142">
          <cell r="A142" t="str">
            <v>49458-SI04</v>
          </cell>
          <cell r="B142" t="str">
            <v>LIN4 Electric Motor Refurbishment</v>
          </cell>
          <cell r="C142" t="str">
            <v>FIN Approval - Internal</v>
          </cell>
          <cell r="D142">
            <v>54</v>
          </cell>
          <cell r="E142" t="str">
            <v>APPROVED</v>
          </cell>
          <cell r="F142">
            <v>42964</v>
          </cell>
          <cell r="G142">
            <v>44182</v>
          </cell>
          <cell r="H142">
            <v>149304.07999999999</v>
          </cell>
          <cell r="I142" t="str">
            <v>FIN Submission</v>
          </cell>
          <cell r="J142">
            <v>44105</v>
          </cell>
        </row>
        <row r="143">
          <cell r="A143" t="str">
            <v>C0009097</v>
          </cell>
          <cell r="B143" t="str">
            <v xml:space="preserve">LIN4 Misc. Valve Refurbishment </v>
          </cell>
          <cell r="C143" t="str">
            <v>FIN Approval - Internal</v>
          </cell>
          <cell r="D143">
            <v>25</v>
          </cell>
          <cell r="E143" t="str">
            <v>APPROVED</v>
          </cell>
          <cell r="F143">
            <v>43647</v>
          </cell>
          <cell r="G143">
            <v>43983</v>
          </cell>
          <cell r="H143">
            <v>244737.69</v>
          </cell>
          <cell r="I143" t="str">
            <v>FIN Submission</v>
          </cell>
          <cell r="J143">
            <v>44084</v>
          </cell>
        </row>
        <row r="144">
          <cell r="A144" t="str">
            <v>51850</v>
          </cell>
          <cell r="B144" t="str">
            <v>LIN4 RH Tube Replacement</v>
          </cell>
          <cell r="C144" t="str">
            <v>FIN Approval - Internal</v>
          </cell>
          <cell r="D144">
            <v>37</v>
          </cell>
          <cell r="E144" t="str">
            <v>APPROVED</v>
          </cell>
          <cell r="F144">
            <v>43272</v>
          </cell>
          <cell r="G144">
            <v>43800</v>
          </cell>
          <cell r="H144">
            <v>522748.77</v>
          </cell>
          <cell r="I144" t="str">
            <v>FIN Submission</v>
          </cell>
          <cell r="J144">
            <v>44084</v>
          </cell>
        </row>
        <row r="145">
          <cell r="A145" t="str">
            <v>C0009093</v>
          </cell>
          <cell r="B145" t="str">
            <v>LIN4 RH Tube Replacement 2019</v>
          </cell>
          <cell r="C145" t="str">
            <v>FIN Approval - Internal</v>
          </cell>
          <cell r="D145">
            <v>29</v>
          </cell>
          <cell r="E145" t="str">
            <v>APPROVED</v>
          </cell>
          <cell r="F145">
            <v>43647</v>
          </cell>
          <cell r="G145">
            <v>44166</v>
          </cell>
          <cell r="H145">
            <v>497094.52</v>
          </cell>
          <cell r="I145" t="str">
            <v>FIN Submission</v>
          </cell>
          <cell r="J145">
            <v>44105</v>
          </cell>
        </row>
        <row r="146">
          <cell r="A146" t="str">
            <v>C0009879</v>
          </cell>
          <cell r="B146" t="str">
            <v>LIN4 UU HE Piping Refurbishment</v>
          </cell>
          <cell r="C146" t="str">
            <v>FIN Approval - Internal</v>
          </cell>
          <cell r="D146">
            <v>29</v>
          </cell>
          <cell r="E146" t="str">
            <v>APPROVED</v>
          </cell>
          <cell r="F146">
            <v>43296</v>
          </cell>
          <cell r="G146">
            <v>43814</v>
          </cell>
          <cell r="H146">
            <v>215006.88</v>
          </cell>
          <cell r="I146" t="str">
            <v>FIN Submission</v>
          </cell>
          <cell r="J146">
            <v>44105</v>
          </cell>
        </row>
        <row r="147">
          <cell r="A147" t="str">
            <v>C0019962</v>
          </cell>
          <cell r="B147" t="str">
            <v>LIN4 UU HEP Refurbishment</v>
          </cell>
          <cell r="C147" t="str">
            <v>FIN Approval - Internal</v>
          </cell>
          <cell r="D147">
            <v>19</v>
          </cell>
          <cell r="E147" t="str">
            <v>APPROVED</v>
          </cell>
          <cell r="F147">
            <v>43677</v>
          </cell>
          <cell r="G147">
            <v>43983</v>
          </cell>
          <cell r="H147">
            <v>137527.35</v>
          </cell>
          <cell r="I147" t="str">
            <v>FIN Submission</v>
          </cell>
          <cell r="J147">
            <v>44161</v>
          </cell>
        </row>
        <row r="148">
          <cell r="A148" t="str">
            <v>C0013938</v>
          </cell>
          <cell r="B148" t="str">
            <v>Lingan SF6 Bus Refurbishment</v>
          </cell>
          <cell r="C148" t="str">
            <v>FIN Approval - Internal</v>
          </cell>
          <cell r="D148">
            <v>22</v>
          </cell>
          <cell r="E148" t="str">
            <v>APPROVED</v>
          </cell>
          <cell r="F148">
            <v>43496</v>
          </cell>
          <cell r="G148">
            <v>44165</v>
          </cell>
          <cell r="H148">
            <v>249063.89</v>
          </cell>
          <cell r="I148" t="str">
            <v>FIN Submission</v>
          </cell>
          <cell r="J148">
            <v>44161</v>
          </cell>
        </row>
        <row r="149">
          <cell r="A149" t="str">
            <v>40713-D347</v>
          </cell>
          <cell r="B149" t="str">
            <v>Little Harbour Conversion</v>
          </cell>
          <cell r="C149" t="str">
            <v>FIN Approval - Internal</v>
          </cell>
          <cell r="D149">
            <v>77</v>
          </cell>
          <cell r="E149" t="str">
            <v>APPROVED</v>
          </cell>
          <cell r="F149">
            <v>40847</v>
          </cell>
          <cell r="G149">
            <v>44074</v>
          </cell>
          <cell r="H149">
            <v>0</v>
          </cell>
          <cell r="I149" t="str">
            <v>FIN Submission</v>
          </cell>
          <cell r="J149">
            <v>44126</v>
          </cell>
        </row>
        <row r="150">
          <cell r="A150" t="str">
            <v>46671-P965</v>
          </cell>
          <cell r="B150" t="str">
            <v>NERC CIP Version 5 Implementation</v>
          </cell>
          <cell r="C150" t="str">
            <v>FIN Approval - Internal</v>
          </cell>
          <cell r="D150">
            <v>74</v>
          </cell>
          <cell r="E150" t="str">
            <v>APPROVED</v>
          </cell>
          <cell r="F150">
            <v>42581</v>
          </cell>
          <cell r="G150">
            <v>44104</v>
          </cell>
          <cell r="H150">
            <v>2563771.75</v>
          </cell>
          <cell r="I150" t="str">
            <v>FIN Submission</v>
          </cell>
          <cell r="J150">
            <v>44105</v>
          </cell>
        </row>
        <row r="151">
          <cell r="A151" t="str">
            <v>C0001950</v>
          </cell>
          <cell r="B151" t="str">
            <v>New Distribution Rights-of-Way Ph 3</v>
          </cell>
          <cell r="C151" t="str">
            <v>FIN Approval - Internal</v>
          </cell>
          <cell r="D151">
            <v>39</v>
          </cell>
          <cell r="E151" t="str">
            <v>APPROVED</v>
          </cell>
          <cell r="F151">
            <v>43132</v>
          </cell>
          <cell r="G151">
            <v>44074</v>
          </cell>
          <cell r="H151">
            <v>10288858.359999999</v>
          </cell>
          <cell r="I151" t="str">
            <v>FIN Submission</v>
          </cell>
          <cell r="J151">
            <v>44084</v>
          </cell>
        </row>
        <row r="152">
          <cell r="A152" t="str">
            <v>C0014418</v>
          </cell>
          <cell r="B152" t="str">
            <v>Nov 28, 2018 Level 3 Storm - Dist</v>
          </cell>
          <cell r="C152" t="str">
            <v>FIN Approval - Internal</v>
          </cell>
          <cell r="D152">
            <v>21</v>
          </cell>
          <cell r="E152" t="str">
            <v>APPROVED</v>
          </cell>
          <cell r="F152">
            <v>43677</v>
          </cell>
          <cell r="G152">
            <v>44135</v>
          </cell>
          <cell r="H152">
            <v>993073.09</v>
          </cell>
          <cell r="I152" t="str">
            <v>FIN Submission</v>
          </cell>
          <cell r="J152">
            <v>44126</v>
          </cell>
        </row>
        <row r="153">
          <cell r="A153" t="str">
            <v>C0023263</v>
          </cell>
          <cell r="B153" t="str">
            <v>Oct 17, 2019 L3 Storm -Distribution</v>
          </cell>
          <cell r="C153" t="str">
            <v>FIN Approval - Internal</v>
          </cell>
          <cell r="D153">
            <v>13</v>
          </cell>
          <cell r="E153" t="str">
            <v>APPROVED</v>
          </cell>
          <cell r="F153">
            <v>43755</v>
          </cell>
          <cell r="G153">
            <v>44135</v>
          </cell>
          <cell r="H153">
            <v>651368.01</v>
          </cell>
          <cell r="I153" t="str">
            <v>FIN Submission</v>
          </cell>
          <cell r="J153">
            <v>44151</v>
          </cell>
        </row>
        <row r="154">
          <cell r="A154" t="str">
            <v>46461-SD00</v>
          </cell>
          <cell r="B154" t="str">
            <v>POA - Ash Cell Capping 2015</v>
          </cell>
          <cell r="C154" t="str">
            <v>FIN Approval - Internal</v>
          </cell>
          <cell r="D154">
            <v>77</v>
          </cell>
          <cell r="E154" t="str">
            <v>APPROVED</v>
          </cell>
          <cell r="F154">
            <v>42265</v>
          </cell>
          <cell r="G154">
            <v>43465</v>
          </cell>
          <cell r="H154">
            <v>4020054.44</v>
          </cell>
          <cell r="I154" t="str">
            <v>FIN Submission</v>
          </cell>
          <cell r="J154">
            <v>44105</v>
          </cell>
        </row>
        <row r="155">
          <cell r="A155" t="str">
            <v>52064</v>
          </cell>
          <cell r="B155" t="str">
            <v xml:space="preserve">POA - Boiler House Window Upg </v>
          </cell>
          <cell r="C155" t="str">
            <v>FIN Approval - Internal</v>
          </cell>
          <cell r="D155">
            <v>43</v>
          </cell>
          <cell r="E155" t="str">
            <v>APPROVED</v>
          </cell>
          <cell r="F155">
            <v>43424</v>
          </cell>
          <cell r="G155">
            <v>43800</v>
          </cell>
          <cell r="H155">
            <v>215035.65</v>
          </cell>
          <cell r="I155" t="str">
            <v>FIN Submission</v>
          </cell>
          <cell r="J155">
            <v>44194</v>
          </cell>
        </row>
        <row r="156">
          <cell r="A156" t="str">
            <v>51801</v>
          </cell>
          <cell r="B156" t="str">
            <v>POA Air Heater Tube Replacement</v>
          </cell>
          <cell r="C156" t="str">
            <v>FIN Approval - Internal</v>
          </cell>
          <cell r="D156">
            <v>42</v>
          </cell>
          <cell r="E156" t="str">
            <v>APPROVED</v>
          </cell>
          <cell r="F156">
            <v>43394</v>
          </cell>
          <cell r="G156">
            <v>43800</v>
          </cell>
          <cell r="H156">
            <v>649375.41</v>
          </cell>
          <cell r="I156" t="str">
            <v>FIN Submission</v>
          </cell>
          <cell r="J156">
            <v>44194</v>
          </cell>
        </row>
        <row r="157">
          <cell r="A157" t="str">
            <v>49483-SH57</v>
          </cell>
          <cell r="B157" t="str">
            <v>POA Ash System Refurbishment</v>
          </cell>
          <cell r="C157" t="str">
            <v>FIN Approval - Internal</v>
          </cell>
          <cell r="D157">
            <v>46</v>
          </cell>
          <cell r="E157" t="str">
            <v>APPROVED</v>
          </cell>
          <cell r="F157">
            <v>42936</v>
          </cell>
          <cell r="G157">
            <v>43819</v>
          </cell>
          <cell r="H157">
            <v>289184.43</v>
          </cell>
          <cell r="I157" t="str">
            <v>FIN Submission</v>
          </cell>
          <cell r="J157">
            <v>44105</v>
          </cell>
        </row>
        <row r="158">
          <cell r="A158" t="str">
            <v>52079</v>
          </cell>
          <cell r="B158" t="str">
            <v>POA BA Center Drain Valves</v>
          </cell>
          <cell r="C158" t="str">
            <v>FIN Approval - Internal</v>
          </cell>
          <cell r="D158">
            <v>42</v>
          </cell>
          <cell r="E158" t="str">
            <v>APPROVED</v>
          </cell>
          <cell r="F158">
            <v>43393</v>
          </cell>
          <cell r="G158">
            <v>43819</v>
          </cell>
          <cell r="H158">
            <v>159211.74</v>
          </cell>
          <cell r="I158" t="str">
            <v>FIN Submission</v>
          </cell>
          <cell r="J158">
            <v>44194</v>
          </cell>
        </row>
        <row r="159">
          <cell r="A159" t="str">
            <v>52065</v>
          </cell>
          <cell r="B159" t="str">
            <v>POA Boiler Arrowhead Replacement</v>
          </cell>
          <cell r="C159" t="str">
            <v>FIN Approval - Internal</v>
          </cell>
          <cell r="D159">
            <v>42</v>
          </cell>
          <cell r="E159" t="str">
            <v>APPROVED</v>
          </cell>
          <cell r="F159">
            <v>43393</v>
          </cell>
          <cell r="G159">
            <v>43617</v>
          </cell>
          <cell r="H159">
            <v>301726.28000000003</v>
          </cell>
          <cell r="I159" t="str">
            <v>FIN Submission</v>
          </cell>
          <cell r="J159">
            <v>44194</v>
          </cell>
        </row>
        <row r="160">
          <cell r="A160" t="str">
            <v>51858</v>
          </cell>
          <cell r="B160" t="str">
            <v>POA Coal System Refurbishment</v>
          </cell>
          <cell r="C160" t="str">
            <v>FIN Approval - Internal</v>
          </cell>
          <cell r="D160">
            <v>42</v>
          </cell>
          <cell r="E160" t="str">
            <v>APPROVED</v>
          </cell>
          <cell r="F160">
            <v>43394</v>
          </cell>
          <cell r="G160">
            <v>43820</v>
          </cell>
          <cell r="H160">
            <v>335991.09</v>
          </cell>
          <cell r="I160" t="str">
            <v>FIN Submission</v>
          </cell>
          <cell r="J160">
            <v>44194</v>
          </cell>
        </row>
        <row r="161">
          <cell r="A161" t="str">
            <v>52123</v>
          </cell>
          <cell r="B161" t="str">
            <v>POA CW Screen Wash Pump Replacement</v>
          </cell>
          <cell r="C161" t="str">
            <v>FIN Approval - Internal</v>
          </cell>
          <cell r="D161">
            <v>42</v>
          </cell>
          <cell r="E161" t="str">
            <v>APPROVED</v>
          </cell>
          <cell r="F161">
            <v>43155</v>
          </cell>
          <cell r="G161">
            <v>43800</v>
          </cell>
          <cell r="H161">
            <v>97600.55</v>
          </cell>
          <cell r="I161" t="str">
            <v>FIN Submission</v>
          </cell>
          <cell r="J161">
            <v>44194</v>
          </cell>
        </row>
        <row r="162">
          <cell r="A162" t="str">
            <v>52069</v>
          </cell>
          <cell r="B162" t="str">
            <v>POA Fan Vibration Probe Upgrade</v>
          </cell>
          <cell r="C162" t="str">
            <v>FIN Approval - Internal</v>
          </cell>
          <cell r="D162">
            <v>42</v>
          </cell>
          <cell r="E162" t="str">
            <v>APPROVED</v>
          </cell>
          <cell r="F162">
            <v>43393</v>
          </cell>
          <cell r="G162">
            <v>43983</v>
          </cell>
          <cell r="H162">
            <v>127104.79</v>
          </cell>
          <cell r="I162" t="str">
            <v>FIN Submission</v>
          </cell>
          <cell r="J162">
            <v>44194</v>
          </cell>
        </row>
        <row r="163">
          <cell r="A163" t="str">
            <v>52075</v>
          </cell>
          <cell r="B163" t="str">
            <v>POA Forklift Replacement</v>
          </cell>
          <cell r="C163" t="str">
            <v>FIN Approval - Internal</v>
          </cell>
          <cell r="D163">
            <v>25</v>
          </cell>
          <cell r="E163" t="str">
            <v>APPROVED</v>
          </cell>
          <cell r="F163">
            <v>43393</v>
          </cell>
          <cell r="G163">
            <v>43454</v>
          </cell>
          <cell r="H163">
            <v>60280.11</v>
          </cell>
          <cell r="I163" t="str">
            <v>FIN Submission</v>
          </cell>
          <cell r="J163">
            <v>44194</v>
          </cell>
        </row>
        <row r="164">
          <cell r="A164" t="str">
            <v>49491-SH79</v>
          </cell>
          <cell r="B164" t="str">
            <v>POA ISO Phase Bus Temp. Monitoring</v>
          </cell>
          <cell r="C164" t="str">
            <v>FIN Approval - Internal</v>
          </cell>
          <cell r="D164">
            <v>46</v>
          </cell>
          <cell r="E164" t="str">
            <v>APPROVED</v>
          </cell>
          <cell r="F164">
            <v>42938</v>
          </cell>
          <cell r="G164">
            <v>43456</v>
          </cell>
          <cell r="H164">
            <v>128174.69</v>
          </cell>
          <cell r="I164" t="str">
            <v>FIN Submission</v>
          </cell>
          <cell r="J164">
            <v>44105</v>
          </cell>
        </row>
        <row r="165">
          <cell r="A165" t="str">
            <v>51855</v>
          </cell>
          <cell r="B165" t="str">
            <v>POA LS System Refurbishment</v>
          </cell>
          <cell r="C165" t="str">
            <v>FIN Approval - Internal</v>
          </cell>
          <cell r="D165">
            <v>42</v>
          </cell>
          <cell r="E165" t="str">
            <v>APPROVED</v>
          </cell>
          <cell r="F165">
            <v>43394</v>
          </cell>
          <cell r="G165">
            <v>43800</v>
          </cell>
          <cell r="H165">
            <v>394913.84</v>
          </cell>
          <cell r="I165" t="str">
            <v>FIN Submission</v>
          </cell>
          <cell r="J165">
            <v>44194</v>
          </cell>
        </row>
        <row r="166">
          <cell r="A166" t="str">
            <v>49490-SH78</v>
          </cell>
          <cell r="B166" t="str">
            <v>POA SA Compressor Controls Upgrade</v>
          </cell>
          <cell r="C166" t="str">
            <v>FIN Approval - Internal</v>
          </cell>
          <cell r="D166">
            <v>61</v>
          </cell>
          <cell r="E166" t="str">
            <v>APPROVED</v>
          </cell>
          <cell r="F166">
            <v>42938</v>
          </cell>
          <cell r="G166">
            <v>43821</v>
          </cell>
          <cell r="H166">
            <v>312879.17</v>
          </cell>
          <cell r="I166" t="str">
            <v>FIN Submission</v>
          </cell>
          <cell r="J166">
            <v>44105</v>
          </cell>
        </row>
        <row r="167">
          <cell r="A167" t="str">
            <v>51819</v>
          </cell>
          <cell r="B167" t="str">
            <v>POA SH3 Tube Replacements</v>
          </cell>
          <cell r="C167" t="str">
            <v>FIN Approval - Internal</v>
          </cell>
          <cell r="D167">
            <v>25</v>
          </cell>
          <cell r="E167" t="str">
            <v>APPROVED</v>
          </cell>
          <cell r="F167">
            <v>43394</v>
          </cell>
          <cell r="G167">
            <v>43455</v>
          </cell>
          <cell r="H167">
            <v>661593.42000000004</v>
          </cell>
          <cell r="I167" t="str">
            <v>FIN Submission</v>
          </cell>
          <cell r="J167">
            <v>44194</v>
          </cell>
        </row>
        <row r="168">
          <cell r="A168" t="str">
            <v>C0012080</v>
          </cell>
          <cell r="B168" t="str">
            <v>POA UU Ash Screw Cooler Refurbishme</v>
          </cell>
          <cell r="C168" t="str">
            <v>FIN Approval - Internal</v>
          </cell>
          <cell r="D168">
            <v>28</v>
          </cell>
          <cell r="E168" t="str">
            <v>APPROVED</v>
          </cell>
          <cell r="F168">
            <v>43388</v>
          </cell>
          <cell r="G168">
            <v>43800</v>
          </cell>
          <cell r="H168">
            <v>199636.56</v>
          </cell>
          <cell r="I168" t="str">
            <v>FIN Submission</v>
          </cell>
          <cell r="J168">
            <v>44194</v>
          </cell>
        </row>
        <row r="169">
          <cell r="A169" t="str">
            <v>C0012978</v>
          </cell>
          <cell r="B169" t="str">
            <v>POA UU HE Piping Refurbishment 2018</v>
          </cell>
          <cell r="C169" t="str">
            <v>FIN Approval - Internal</v>
          </cell>
          <cell r="D169">
            <v>23</v>
          </cell>
          <cell r="E169" t="str">
            <v>APPROVED</v>
          </cell>
          <cell r="F169">
            <v>43404</v>
          </cell>
          <cell r="G169">
            <v>44166</v>
          </cell>
          <cell r="H169">
            <v>275143.65000000002</v>
          </cell>
          <cell r="I169" t="str">
            <v>FIN Submission</v>
          </cell>
          <cell r="J169">
            <v>44194</v>
          </cell>
        </row>
        <row r="170">
          <cell r="A170" t="str">
            <v>C0013358</v>
          </cell>
          <cell r="B170" t="str">
            <v>POA UU Limestone Cyclone Refurbisme</v>
          </cell>
          <cell r="C170" t="str">
            <v>FIN Approval - Internal</v>
          </cell>
          <cell r="D170">
            <v>23</v>
          </cell>
          <cell r="E170" t="str">
            <v>APPROVED</v>
          </cell>
          <cell r="F170">
            <v>43405</v>
          </cell>
          <cell r="G170">
            <v>43617</v>
          </cell>
          <cell r="H170">
            <v>821902.95</v>
          </cell>
          <cell r="I170" t="str">
            <v>FIN Submission</v>
          </cell>
          <cell r="J170">
            <v>44194</v>
          </cell>
        </row>
        <row r="171">
          <cell r="A171" t="str">
            <v>C0010739</v>
          </cell>
          <cell r="B171" t="str">
            <v>Power Production Plotter Replacemen</v>
          </cell>
          <cell r="C171" t="str">
            <v>FIN Approval - Internal</v>
          </cell>
          <cell r="D171">
            <v>23</v>
          </cell>
          <cell r="E171" t="str">
            <v>APPROVED</v>
          </cell>
          <cell r="F171">
            <v>44592</v>
          </cell>
          <cell r="G171">
            <v>44592</v>
          </cell>
          <cell r="H171">
            <v>96571.88</v>
          </cell>
          <cell r="I171" t="str">
            <v>FIN Submission</v>
          </cell>
          <cell r="J171">
            <v>44084</v>
          </cell>
        </row>
        <row r="172">
          <cell r="A172" t="str">
            <v>48236-P111</v>
          </cell>
          <cell r="B172" t="str">
            <v>Self Serve Dev Phase 1</v>
          </cell>
          <cell r="C172" t="str">
            <v>FIN Approval - Internal</v>
          </cell>
          <cell r="D172">
            <v>64</v>
          </cell>
          <cell r="E172" t="str">
            <v>APPROVED</v>
          </cell>
          <cell r="F172">
            <v>42791</v>
          </cell>
          <cell r="G172">
            <v>43465</v>
          </cell>
          <cell r="H172">
            <v>1007747.46</v>
          </cell>
          <cell r="I172" t="str">
            <v>FIN Submission</v>
          </cell>
          <cell r="J172">
            <v>44105</v>
          </cell>
        </row>
        <row r="173">
          <cell r="A173" t="str">
            <v>C0022342</v>
          </cell>
          <cell r="B173" t="str">
            <v>Sep 2019 Hurricane Dorian - Substai</v>
          </cell>
          <cell r="C173" t="str">
            <v>FIN Approval - Internal</v>
          </cell>
          <cell r="D173">
            <v>15</v>
          </cell>
          <cell r="E173" t="str">
            <v>APPROVED</v>
          </cell>
          <cell r="F173">
            <v>43710</v>
          </cell>
          <cell r="G173">
            <v>44135</v>
          </cell>
          <cell r="H173">
            <v>71675.37</v>
          </cell>
          <cell r="I173" t="str">
            <v>FIN Submission</v>
          </cell>
          <cell r="J173">
            <v>44151</v>
          </cell>
        </row>
        <row r="174">
          <cell r="A174" t="str">
            <v>C0014158</v>
          </cell>
          <cell r="B174" t="str">
            <v>T-L5548 Emergency Repairs</v>
          </cell>
          <cell r="C174" t="str">
            <v>FIN Approval - Internal</v>
          </cell>
          <cell r="D174">
            <v>21</v>
          </cell>
          <cell r="E174" t="str">
            <v>APPROVED</v>
          </cell>
          <cell r="F174">
            <v>43496</v>
          </cell>
          <cell r="G174">
            <v>44165</v>
          </cell>
          <cell r="H174">
            <v>966751.37</v>
          </cell>
          <cell r="I174" t="str">
            <v>FIN Submission</v>
          </cell>
          <cell r="J174">
            <v>44194</v>
          </cell>
        </row>
        <row r="175">
          <cell r="A175" t="str">
            <v>52292</v>
          </cell>
          <cell r="B175" t="str">
            <v>TUC Heavy Fuel Oil Tank Dyke Refurb</v>
          </cell>
          <cell r="C175" t="str">
            <v>FIN Approval - Internal</v>
          </cell>
          <cell r="D175">
            <v>41</v>
          </cell>
          <cell r="E175" t="str">
            <v>APPROVED</v>
          </cell>
          <cell r="F175">
            <v>43797</v>
          </cell>
          <cell r="G175">
            <v>44073</v>
          </cell>
          <cell r="H175">
            <v>482963.49</v>
          </cell>
          <cell r="I175" t="str">
            <v>FIN Submission</v>
          </cell>
          <cell r="J175">
            <v>44084</v>
          </cell>
        </row>
        <row r="176">
          <cell r="A176" t="str">
            <v>C0013640</v>
          </cell>
          <cell r="B176" t="str">
            <v>TUC Water Treatment Plant #4 Upgrad</v>
          </cell>
          <cell r="C176" t="str">
            <v>FIN Approval - Internal</v>
          </cell>
          <cell r="D176">
            <v>20</v>
          </cell>
          <cell r="E176" t="str">
            <v>APPROVED</v>
          </cell>
          <cell r="F176">
            <v>43524</v>
          </cell>
          <cell r="G176">
            <v>44104</v>
          </cell>
          <cell r="H176">
            <v>177363.95</v>
          </cell>
          <cell r="I176" t="str">
            <v>FIN Submission</v>
          </cell>
          <cell r="J176">
            <v>44105</v>
          </cell>
        </row>
        <row r="177">
          <cell r="A177" t="str">
            <v>C0010979</v>
          </cell>
          <cell r="B177" t="str">
            <v>TUC Wharf Bumper Refurbishment</v>
          </cell>
          <cell r="C177" t="str">
            <v>FIN Approval - Internal</v>
          </cell>
          <cell r="D177">
            <v>29</v>
          </cell>
          <cell r="E177" t="str">
            <v>APPROVED</v>
          </cell>
          <cell r="F177">
            <v>43876</v>
          </cell>
          <cell r="G177">
            <v>44104</v>
          </cell>
          <cell r="H177">
            <v>215308.96</v>
          </cell>
          <cell r="I177" t="str">
            <v>FIN Submission</v>
          </cell>
          <cell r="J177">
            <v>44105</v>
          </cell>
        </row>
        <row r="178">
          <cell r="A178" t="str">
            <v>C0023423</v>
          </cell>
          <cell r="B178" t="str">
            <v>TUC1 Boiler Cyclones Tubing Replace</v>
          </cell>
          <cell r="C178" t="str">
            <v>FIN Approval - Internal</v>
          </cell>
          <cell r="D178">
            <v>14</v>
          </cell>
          <cell r="E178" t="str">
            <v>APPROVED</v>
          </cell>
          <cell r="F178">
            <v>43876</v>
          </cell>
          <cell r="G178">
            <v>44134</v>
          </cell>
          <cell r="H178">
            <v>432162.01</v>
          </cell>
          <cell r="I178" t="str">
            <v>FIN Submission</v>
          </cell>
          <cell r="J178">
            <v>44126</v>
          </cell>
        </row>
        <row r="179">
          <cell r="A179" t="str">
            <v>C0009166</v>
          </cell>
          <cell r="B179" t="str">
            <v>TUC1 Boiler Refurbishment</v>
          </cell>
          <cell r="C179" t="str">
            <v>FIN Approval - Internal</v>
          </cell>
          <cell r="D179">
            <v>33</v>
          </cell>
          <cell r="E179" t="str">
            <v>APPROVED</v>
          </cell>
          <cell r="F179">
            <v>43449</v>
          </cell>
          <cell r="G179">
            <v>44134</v>
          </cell>
          <cell r="H179">
            <v>945276.41</v>
          </cell>
          <cell r="I179" t="str">
            <v>FIN Submission</v>
          </cell>
          <cell r="J179">
            <v>44126</v>
          </cell>
        </row>
        <row r="180">
          <cell r="A180" t="str">
            <v>C0011210</v>
          </cell>
          <cell r="B180" t="str">
            <v>TUC1 Bus Duct/Gen Terminal Temperat</v>
          </cell>
          <cell r="C180" t="str">
            <v>FIN Approval - Internal</v>
          </cell>
          <cell r="D180">
            <v>23</v>
          </cell>
          <cell r="E180" t="str">
            <v>APPROVED</v>
          </cell>
          <cell r="F180">
            <v>43784</v>
          </cell>
          <cell r="G180">
            <v>44073</v>
          </cell>
          <cell r="H180">
            <v>105949.92</v>
          </cell>
          <cell r="I180" t="str">
            <v>FIN Submission</v>
          </cell>
          <cell r="J180">
            <v>44084</v>
          </cell>
        </row>
        <row r="181">
          <cell r="A181" t="str">
            <v>C0011184</v>
          </cell>
          <cell r="B181" t="str">
            <v>TUC1 Main Feedwater Valve Replaceme</v>
          </cell>
          <cell r="C181" t="str">
            <v>FIN Approval - Internal</v>
          </cell>
          <cell r="D181">
            <v>28</v>
          </cell>
          <cell r="E181" t="str">
            <v>APPROVED</v>
          </cell>
          <cell r="F181">
            <v>43795</v>
          </cell>
          <cell r="G181">
            <v>44165</v>
          </cell>
          <cell r="H181">
            <v>123024.96000000001</v>
          </cell>
          <cell r="I181" t="str">
            <v>FIN Submission</v>
          </cell>
          <cell r="J181">
            <v>44161</v>
          </cell>
        </row>
        <row r="182">
          <cell r="A182" t="str">
            <v>C0011220</v>
          </cell>
          <cell r="B182" t="str">
            <v>TUC1 Modulating Controls Upgrade</v>
          </cell>
          <cell r="C182" t="str">
            <v>FIN Approval - Internal</v>
          </cell>
          <cell r="D182">
            <v>28</v>
          </cell>
          <cell r="E182" t="str">
            <v>APPROVED</v>
          </cell>
          <cell r="F182">
            <v>43814</v>
          </cell>
          <cell r="G182">
            <v>44165</v>
          </cell>
          <cell r="H182">
            <v>147136.16</v>
          </cell>
          <cell r="I182" t="str">
            <v>FIN Submission</v>
          </cell>
          <cell r="J182">
            <v>44161</v>
          </cell>
        </row>
        <row r="183">
          <cell r="A183" t="str">
            <v>C0027122</v>
          </cell>
          <cell r="B183" t="str">
            <v>TUC1 North FD Fan Motor Refurbishme</v>
          </cell>
          <cell r="C183" t="str">
            <v>FIN Approval - Internal</v>
          </cell>
          <cell r="D183">
            <v>11</v>
          </cell>
          <cell r="E183" t="str">
            <v>APPROVED</v>
          </cell>
          <cell r="F183">
            <v>43917</v>
          </cell>
          <cell r="G183">
            <v>44101</v>
          </cell>
          <cell r="H183">
            <v>120711.1</v>
          </cell>
          <cell r="I183" t="str">
            <v>FIN Submission</v>
          </cell>
          <cell r="J183">
            <v>44126</v>
          </cell>
        </row>
        <row r="184">
          <cell r="A184" t="str">
            <v>C0016038</v>
          </cell>
          <cell r="B184" t="str">
            <v>TUC1 Stack Liner Counterweight Syst</v>
          </cell>
          <cell r="C184" t="str">
            <v>FIN Approval - Internal</v>
          </cell>
          <cell r="D184">
            <v>20</v>
          </cell>
          <cell r="E184" t="str">
            <v>APPROVED</v>
          </cell>
          <cell r="F184">
            <v>43799</v>
          </cell>
          <cell r="G184">
            <v>44104</v>
          </cell>
          <cell r="H184">
            <v>211736.41</v>
          </cell>
          <cell r="I184" t="str">
            <v>FIN Submission</v>
          </cell>
          <cell r="J184">
            <v>44105</v>
          </cell>
        </row>
        <row r="185">
          <cell r="A185" t="str">
            <v>52222</v>
          </cell>
          <cell r="B185" t="str">
            <v>TUC2 Breaker Replacements and Upgra</v>
          </cell>
          <cell r="C185" t="str">
            <v>FIN Approval - Internal</v>
          </cell>
          <cell r="D185">
            <v>41</v>
          </cell>
          <cell r="E185" t="str">
            <v>APPROVED</v>
          </cell>
          <cell r="F185">
            <v>43464</v>
          </cell>
          <cell r="G185">
            <v>44134</v>
          </cell>
          <cell r="H185">
            <v>261533.76</v>
          </cell>
          <cell r="I185" t="str">
            <v>FIN Submission</v>
          </cell>
          <cell r="J185">
            <v>44126</v>
          </cell>
        </row>
        <row r="186">
          <cell r="A186" t="str">
            <v>C0011211</v>
          </cell>
          <cell r="B186" t="str">
            <v>TUC2 Bus Duct Temperature Monitorin</v>
          </cell>
          <cell r="C186" t="str">
            <v>FIN Approval - Internal</v>
          </cell>
          <cell r="D186">
            <v>23</v>
          </cell>
          <cell r="E186" t="str">
            <v>APPROVED</v>
          </cell>
          <cell r="F186">
            <v>43600</v>
          </cell>
          <cell r="G186">
            <v>44073</v>
          </cell>
          <cell r="H186">
            <v>107393.35</v>
          </cell>
          <cell r="I186" t="str">
            <v>FIN Submission</v>
          </cell>
          <cell r="J186">
            <v>44084</v>
          </cell>
        </row>
        <row r="187">
          <cell r="A187" t="str">
            <v>C0009118</v>
          </cell>
          <cell r="B187" t="str">
            <v>TUC3 Replace Auxiliary Cooling Wate</v>
          </cell>
          <cell r="C187" t="str">
            <v>FIN Approval - Internal</v>
          </cell>
          <cell r="D187">
            <v>24</v>
          </cell>
          <cell r="E187" t="str">
            <v>APPROVED</v>
          </cell>
          <cell r="F187">
            <v>43814</v>
          </cell>
          <cell r="G187">
            <v>44073</v>
          </cell>
          <cell r="H187">
            <v>195999.81</v>
          </cell>
          <cell r="I187" t="str">
            <v>FIN Submission</v>
          </cell>
          <cell r="J187">
            <v>44084</v>
          </cell>
        </row>
        <row r="188">
          <cell r="A188" t="str">
            <v>49922-T939</v>
          </cell>
          <cell r="B188" t="str">
            <v>Western Switching Upgrades</v>
          </cell>
          <cell r="C188" t="str">
            <v>FIN Approval - Internal</v>
          </cell>
          <cell r="D188">
            <v>69</v>
          </cell>
          <cell r="E188" t="str">
            <v>APPROVED</v>
          </cell>
          <cell r="F188">
            <v>43281</v>
          </cell>
          <cell r="G188">
            <v>44196</v>
          </cell>
          <cell r="H188">
            <v>650673.92000000004</v>
          </cell>
          <cell r="I188" t="str">
            <v>FIN Submission</v>
          </cell>
          <cell r="J188">
            <v>44105</v>
          </cell>
        </row>
        <row r="189">
          <cell r="A189" t="str">
            <v>C0020686</v>
          </cell>
          <cell r="B189" t="str">
            <v>AMO TRE5 Enhanced Turbine Superviso</v>
          </cell>
          <cell r="C189" t="str">
            <v>FIN Approval - Internal</v>
          </cell>
          <cell r="D189">
            <v>5</v>
          </cell>
          <cell r="E189" t="str">
            <v>APPROVED</v>
          </cell>
          <cell r="F189">
            <v>43799</v>
          </cell>
          <cell r="G189">
            <v>43983</v>
          </cell>
          <cell r="H189">
            <v>88279.55</v>
          </cell>
          <cell r="I189" t="str">
            <v>FIN Submission</v>
          </cell>
          <cell r="J189">
            <v>44055</v>
          </cell>
        </row>
        <row r="190">
          <cell r="A190" t="str">
            <v>C0022103</v>
          </cell>
          <cell r="B190" t="str">
            <v>AMO TRE5 Enhanced Monitoring Pilot</v>
          </cell>
          <cell r="C190" t="str">
            <v>FIN Approval - Internal</v>
          </cell>
          <cell r="D190">
            <v>11</v>
          </cell>
          <cell r="E190" t="str">
            <v>APPROVED</v>
          </cell>
          <cell r="F190">
            <v>44196</v>
          </cell>
          <cell r="G190">
            <v>44196</v>
          </cell>
          <cell r="H190">
            <v>108675.18</v>
          </cell>
          <cell r="I190" t="str">
            <v>FIN Submission</v>
          </cell>
          <cell r="J190">
            <v>44055</v>
          </cell>
        </row>
        <row r="191">
          <cell r="A191" t="str">
            <v>C0017538</v>
          </cell>
          <cell r="B191" t="str">
            <v>102W-312 - Line Ext. Armstrong Lake</v>
          </cell>
          <cell r="C191" t="str">
            <v>FIN Approval - Internal</v>
          </cell>
          <cell r="D191">
            <v>13</v>
          </cell>
          <cell r="E191" t="str">
            <v>APPROVED</v>
          </cell>
          <cell r="F191">
            <v>43646</v>
          </cell>
          <cell r="G191">
            <v>43951</v>
          </cell>
          <cell r="H191">
            <v>94633.58</v>
          </cell>
          <cell r="I191" t="str">
            <v>FIN Submission</v>
          </cell>
          <cell r="J191">
            <v>44055</v>
          </cell>
        </row>
        <row r="192">
          <cell r="A192" t="str">
            <v>C0019280</v>
          </cell>
          <cell r="B192" t="str">
            <v>22W-312 Hwy 330 Centreville Rcndctr</v>
          </cell>
          <cell r="C192" t="str">
            <v>FIN Approval - Internal</v>
          </cell>
          <cell r="D192">
            <v>13</v>
          </cell>
          <cell r="E192" t="str">
            <v>APPROVED</v>
          </cell>
          <cell r="F192">
            <v>43707</v>
          </cell>
          <cell r="G192">
            <v>44012</v>
          </cell>
          <cell r="H192">
            <v>140942.64000000001</v>
          </cell>
          <cell r="I192" t="str">
            <v>FIN Submission</v>
          </cell>
          <cell r="J192">
            <v>44055</v>
          </cell>
        </row>
        <row r="193">
          <cell r="A193" t="str">
            <v>C0017498</v>
          </cell>
          <cell r="B193" t="str">
            <v xml:space="preserve">D-108H-412 Burnside New Pole Mount </v>
          </cell>
          <cell r="C193" t="str">
            <v>FIN Approval - Internal</v>
          </cell>
          <cell r="D193">
            <v>14</v>
          </cell>
          <cell r="E193" t="str">
            <v>APPROVED</v>
          </cell>
          <cell r="F193">
            <v>43738</v>
          </cell>
          <cell r="G193">
            <v>44012</v>
          </cell>
          <cell r="H193">
            <v>76692.84</v>
          </cell>
          <cell r="I193" t="str">
            <v>FIN Submission</v>
          </cell>
          <cell r="J193">
            <v>44055</v>
          </cell>
        </row>
        <row r="194">
          <cell r="A194" t="str">
            <v>C0015499</v>
          </cell>
          <cell r="B194" t="str">
            <v>D-78W-302 ICP</v>
          </cell>
          <cell r="C194" t="str">
            <v>FIN Approval - Internal</v>
          </cell>
          <cell r="D194">
            <v>14</v>
          </cell>
          <cell r="E194" t="str">
            <v>APPROVED</v>
          </cell>
          <cell r="F194">
            <v>43708</v>
          </cell>
          <cell r="G194">
            <v>44012</v>
          </cell>
          <cell r="H194">
            <v>146465.92000000001</v>
          </cell>
          <cell r="I194" t="str">
            <v>FIN Submission</v>
          </cell>
          <cell r="J194">
            <v>44055</v>
          </cell>
        </row>
        <row r="195">
          <cell r="A195" t="str">
            <v>C0014620</v>
          </cell>
          <cell r="B195" t="str">
            <v>D-1C-411 MacSween Street Pole Reloc</v>
          </cell>
          <cell r="C195" t="str">
            <v>FIN Approval - Internal</v>
          </cell>
          <cell r="D195">
            <v>15</v>
          </cell>
          <cell r="E195" t="str">
            <v>APPROVED</v>
          </cell>
          <cell r="F195">
            <v>43585</v>
          </cell>
          <cell r="G195">
            <v>44043</v>
          </cell>
          <cell r="H195">
            <v>178706.06</v>
          </cell>
          <cell r="I195" t="str">
            <v>FIN Submission</v>
          </cell>
          <cell r="J195">
            <v>44055</v>
          </cell>
        </row>
        <row r="196">
          <cell r="A196" t="str">
            <v>C0016459</v>
          </cell>
          <cell r="B196" t="str">
            <v>Roof Replacement LWS - Unreg</v>
          </cell>
          <cell r="C196" t="str">
            <v>FIN Approval - Internal</v>
          </cell>
          <cell r="D196">
            <v>17</v>
          </cell>
          <cell r="E196" t="str">
            <v>APPROVED</v>
          </cell>
          <cell r="F196">
            <v>43708</v>
          </cell>
          <cell r="G196">
            <v>43951</v>
          </cell>
          <cell r="H196">
            <v>314882.58</v>
          </cell>
          <cell r="I196" t="str">
            <v>FIN Submission</v>
          </cell>
          <cell r="J196">
            <v>44055</v>
          </cell>
        </row>
        <row r="197">
          <cell r="A197" t="str">
            <v>C0011022</v>
          </cell>
          <cell r="B197" t="str">
            <v>TUC Asbestos Abatement 2019</v>
          </cell>
          <cell r="C197" t="str">
            <v>FIN Approval - Internal</v>
          </cell>
          <cell r="D197">
            <v>19</v>
          </cell>
          <cell r="E197" t="str">
            <v>APPROVED</v>
          </cell>
          <cell r="F197">
            <v>43830</v>
          </cell>
          <cell r="G197">
            <v>43981</v>
          </cell>
          <cell r="H197">
            <v>151065.03</v>
          </cell>
          <cell r="I197" t="str">
            <v>FIN Submission</v>
          </cell>
          <cell r="J197">
            <v>44055</v>
          </cell>
        </row>
        <row r="198">
          <cell r="A198" t="str">
            <v>C0011222</v>
          </cell>
          <cell r="B198" t="str">
            <v>TUC Plant Lighting Upgrade</v>
          </cell>
          <cell r="C198" t="str">
            <v>FIN Approval - Internal</v>
          </cell>
          <cell r="D198">
            <v>20</v>
          </cell>
          <cell r="E198" t="str">
            <v>APPROVED</v>
          </cell>
          <cell r="F198">
            <v>43814</v>
          </cell>
          <cell r="G198">
            <v>43981</v>
          </cell>
          <cell r="H198">
            <v>181295.46</v>
          </cell>
          <cell r="I198" t="str">
            <v>FIN Submission</v>
          </cell>
          <cell r="J198">
            <v>44055</v>
          </cell>
        </row>
        <row r="199">
          <cell r="A199" t="str">
            <v>C0007478</v>
          </cell>
          <cell r="B199" t="str">
            <v>D-530W-201 Overton Stepdown Upgrade</v>
          </cell>
          <cell r="C199" t="str">
            <v>FIN Approval - Internal</v>
          </cell>
          <cell r="D199">
            <v>21</v>
          </cell>
          <cell r="E199" t="str">
            <v>APPROVED</v>
          </cell>
          <cell r="F199">
            <v>43496</v>
          </cell>
          <cell r="G199">
            <v>44012</v>
          </cell>
          <cell r="H199">
            <v>146796.76</v>
          </cell>
          <cell r="I199" t="str">
            <v>FIN Submission</v>
          </cell>
          <cell r="J199">
            <v>44055</v>
          </cell>
        </row>
        <row r="200">
          <cell r="A200" t="str">
            <v>C0009018</v>
          </cell>
          <cell r="B200" t="str">
            <v>77V-302 Digby to Marshalltown Ph-2</v>
          </cell>
          <cell r="C200" t="str">
            <v>FIN Approval - Internal</v>
          </cell>
          <cell r="D200">
            <v>22</v>
          </cell>
          <cell r="E200" t="str">
            <v>APPROVED</v>
          </cell>
          <cell r="F200">
            <v>43373</v>
          </cell>
          <cell r="G200">
            <v>44012</v>
          </cell>
          <cell r="H200">
            <v>150645.03</v>
          </cell>
          <cell r="I200" t="str">
            <v>FIN Submission</v>
          </cell>
          <cell r="J200">
            <v>44055</v>
          </cell>
        </row>
        <row r="201">
          <cell r="A201" t="str">
            <v>C0007239</v>
          </cell>
          <cell r="B201" t="str">
            <v xml:space="preserve">D-513V-311 Dakin Park Rd Rebuild </v>
          </cell>
          <cell r="C201" t="str">
            <v>FIN Approval - Internal</v>
          </cell>
          <cell r="D201">
            <v>22</v>
          </cell>
          <cell r="E201" t="str">
            <v>APPROVED</v>
          </cell>
          <cell r="F201">
            <v>43373</v>
          </cell>
          <cell r="G201">
            <v>43983</v>
          </cell>
          <cell r="H201">
            <v>75314.27</v>
          </cell>
          <cell r="I201" t="str">
            <v>FIN Submission</v>
          </cell>
          <cell r="J201">
            <v>44055</v>
          </cell>
        </row>
        <row r="202">
          <cell r="A202" t="str">
            <v>C0011207</v>
          </cell>
          <cell r="B202" t="str">
            <v>D-15N Feeder Exit Cable Replacement</v>
          </cell>
          <cell r="C202" t="str">
            <v>FIN Approval - Internal</v>
          </cell>
          <cell r="D202">
            <v>23</v>
          </cell>
          <cell r="E202" t="str">
            <v>APPROVED</v>
          </cell>
          <cell r="F202">
            <v>43646</v>
          </cell>
          <cell r="G202">
            <v>44043</v>
          </cell>
          <cell r="H202">
            <v>153851.81</v>
          </cell>
          <cell r="I202" t="str">
            <v>FIN Submission</v>
          </cell>
          <cell r="J202">
            <v>44055</v>
          </cell>
        </row>
        <row r="203">
          <cell r="A203" t="str">
            <v>C0005938</v>
          </cell>
          <cell r="B203" t="str">
            <v>D-2C-402 Install VR &amp; Upgrade SD</v>
          </cell>
          <cell r="C203" t="str">
            <v>FIN Approval - Internal</v>
          </cell>
          <cell r="D203">
            <v>23</v>
          </cell>
          <cell r="E203" t="str">
            <v>APPROVED</v>
          </cell>
          <cell r="F203">
            <v>43312</v>
          </cell>
          <cell r="G203">
            <v>44012</v>
          </cell>
          <cell r="H203">
            <v>72664.78</v>
          </cell>
          <cell r="I203" t="str">
            <v>FIN Submission</v>
          </cell>
          <cell r="J203">
            <v>44055</v>
          </cell>
        </row>
        <row r="204">
          <cell r="A204" t="str">
            <v>C0005958</v>
          </cell>
          <cell r="B204" t="str">
            <v>D-50-410GAA Arbuckle Road Rebuild</v>
          </cell>
          <cell r="C204" t="str">
            <v>FIN Approval - Internal</v>
          </cell>
          <cell r="D204">
            <v>23</v>
          </cell>
          <cell r="E204" t="str">
            <v>APPROVED</v>
          </cell>
          <cell r="F204">
            <v>43465</v>
          </cell>
          <cell r="G204">
            <v>44012</v>
          </cell>
          <cell r="H204">
            <v>69540.850000000006</v>
          </cell>
          <cell r="I204" t="str">
            <v>FIN Submission</v>
          </cell>
          <cell r="J204">
            <v>44055</v>
          </cell>
        </row>
        <row r="205">
          <cell r="A205" t="str">
            <v>C0009198</v>
          </cell>
          <cell r="B205" t="str">
            <v>HYD Portable Man lift Trailer</v>
          </cell>
          <cell r="C205" t="str">
            <v>FIN Approval - Internal</v>
          </cell>
          <cell r="D205">
            <v>23</v>
          </cell>
          <cell r="E205" t="str">
            <v>APPROVED</v>
          </cell>
          <cell r="F205">
            <v>43434</v>
          </cell>
          <cell r="G205">
            <v>44166</v>
          </cell>
          <cell r="H205">
            <v>49507.48</v>
          </cell>
          <cell r="I205" t="str">
            <v>FIN Submission</v>
          </cell>
          <cell r="J205">
            <v>44055</v>
          </cell>
        </row>
        <row r="206">
          <cell r="A206" t="str">
            <v>C0005939</v>
          </cell>
          <cell r="B206" t="str">
            <v>D-522C-301 514C-312 Ashdale Reconfi</v>
          </cell>
          <cell r="C206" t="str">
            <v>FIN Approval - Internal</v>
          </cell>
          <cell r="D206">
            <v>25</v>
          </cell>
          <cell r="E206" t="str">
            <v>APPROVED</v>
          </cell>
          <cell r="F206">
            <v>43373</v>
          </cell>
          <cell r="G206">
            <v>43983</v>
          </cell>
          <cell r="H206">
            <v>33971.32</v>
          </cell>
          <cell r="I206" t="str">
            <v>FIN Submission</v>
          </cell>
          <cell r="J206">
            <v>44055</v>
          </cell>
        </row>
        <row r="207">
          <cell r="A207" t="str">
            <v>C0008565</v>
          </cell>
          <cell r="B207" t="str">
            <v>HYD GIS Runner Hub Seal Failure</v>
          </cell>
          <cell r="C207" t="str">
            <v>FIN Approval - Internal</v>
          </cell>
          <cell r="D207">
            <v>25</v>
          </cell>
          <cell r="E207" t="str">
            <v>APPROVED</v>
          </cell>
          <cell r="F207">
            <v>43524</v>
          </cell>
          <cell r="G207">
            <v>44074</v>
          </cell>
          <cell r="H207">
            <v>248740.42</v>
          </cell>
          <cell r="I207" t="str">
            <v>FIN Submission</v>
          </cell>
          <cell r="J207">
            <v>44055</v>
          </cell>
        </row>
        <row r="208">
          <cell r="A208" t="str">
            <v>C0005078</v>
          </cell>
          <cell r="B208" t="str">
            <v>D-663V-221 West Main St Reconductor</v>
          </cell>
          <cell r="C208" t="str">
            <v>FIN Approval - Internal</v>
          </cell>
          <cell r="D208">
            <v>26</v>
          </cell>
          <cell r="E208" t="str">
            <v>APPROVED</v>
          </cell>
          <cell r="F208">
            <v>43434</v>
          </cell>
          <cell r="G208">
            <v>44043</v>
          </cell>
          <cell r="H208">
            <v>240460.72</v>
          </cell>
          <cell r="I208" t="str">
            <v>FIN Submission</v>
          </cell>
          <cell r="J208">
            <v>44055</v>
          </cell>
        </row>
        <row r="209">
          <cell r="A209" t="str">
            <v>C0003978</v>
          </cell>
          <cell r="B209" t="str">
            <v>D-2018 Padmount Switch Replacement</v>
          </cell>
          <cell r="C209" t="str">
            <v>FIN Approval - Internal</v>
          </cell>
          <cell r="D209">
            <v>29</v>
          </cell>
          <cell r="E209" t="str">
            <v>APPROVED</v>
          </cell>
          <cell r="F209">
            <v>43251</v>
          </cell>
          <cell r="G209">
            <v>44043</v>
          </cell>
          <cell r="H209">
            <v>166763.29</v>
          </cell>
          <cell r="I209" t="str">
            <v>FIN Submission</v>
          </cell>
          <cell r="J209">
            <v>44055</v>
          </cell>
        </row>
        <row r="210">
          <cell r="A210" t="str">
            <v>C0001798</v>
          </cell>
          <cell r="B210" t="str">
            <v>D-Halifax 4kV Conversion Phase 5</v>
          </cell>
          <cell r="C210" t="str">
            <v>FIN Approval - Internal</v>
          </cell>
          <cell r="D210">
            <v>31</v>
          </cell>
          <cell r="E210" t="str">
            <v>APPROVED</v>
          </cell>
          <cell r="F210">
            <v>43312</v>
          </cell>
          <cell r="G210">
            <v>44012</v>
          </cell>
          <cell r="H210">
            <v>213179.35</v>
          </cell>
          <cell r="I210" t="str">
            <v>FIN Submission</v>
          </cell>
          <cell r="J210">
            <v>44055</v>
          </cell>
        </row>
        <row r="211">
          <cell r="A211" t="str">
            <v>51484-P159</v>
          </cell>
          <cell r="B211" t="str">
            <v>IT-SCADA Network Firewall Repl</v>
          </cell>
          <cell r="C211" t="str">
            <v>FIN Approval - Internal</v>
          </cell>
          <cell r="D211">
            <v>32</v>
          </cell>
          <cell r="E211" t="str">
            <v>APPROVED</v>
          </cell>
          <cell r="F211">
            <v>43069</v>
          </cell>
          <cell r="G211">
            <v>43464</v>
          </cell>
          <cell r="H211">
            <v>247123.20000000001</v>
          </cell>
          <cell r="I211" t="str">
            <v>FIN Submission</v>
          </cell>
          <cell r="J211">
            <v>44055</v>
          </cell>
        </row>
        <row r="212">
          <cell r="A212" t="str">
            <v>C0001578</v>
          </cell>
          <cell r="B212" t="str">
            <v>HYD WRC Bus Duct Monitors</v>
          </cell>
          <cell r="C212" t="str">
            <v>FIN Approval - Internal</v>
          </cell>
          <cell r="D212">
            <v>33</v>
          </cell>
          <cell r="E212" t="str">
            <v>APPROVED</v>
          </cell>
          <cell r="F212">
            <v>43419</v>
          </cell>
          <cell r="G212">
            <v>44089</v>
          </cell>
          <cell r="H212">
            <v>158504.64000000001</v>
          </cell>
          <cell r="I212" t="str">
            <v>FIN Submission</v>
          </cell>
          <cell r="J212">
            <v>44055</v>
          </cell>
        </row>
        <row r="213">
          <cell r="A213" t="str">
            <v>52306</v>
          </cell>
          <cell r="B213" t="str">
            <v>D-5N-301 - Masstown Road Rebuild Ph</v>
          </cell>
          <cell r="C213" t="str">
            <v>FIN Approval - Internal</v>
          </cell>
          <cell r="D213">
            <v>35</v>
          </cell>
          <cell r="E213" t="str">
            <v>APPROVED</v>
          </cell>
          <cell r="F213">
            <v>43830</v>
          </cell>
          <cell r="G213">
            <v>44012</v>
          </cell>
          <cell r="H213">
            <v>130761.2</v>
          </cell>
          <cell r="I213" t="str">
            <v>FIN Submission</v>
          </cell>
          <cell r="J213">
            <v>44055</v>
          </cell>
        </row>
        <row r="214">
          <cell r="A214" t="str">
            <v>51500</v>
          </cell>
          <cell r="B214" t="str">
            <v xml:space="preserve">D-2018 Pin Insulator Replacements </v>
          </cell>
          <cell r="C214" t="str">
            <v>FIN Approval - Internal</v>
          </cell>
          <cell r="D214">
            <v>36</v>
          </cell>
          <cell r="E214" t="str">
            <v>APPROVED</v>
          </cell>
          <cell r="F214">
            <v>43830</v>
          </cell>
          <cell r="G214">
            <v>44043</v>
          </cell>
          <cell r="H214">
            <v>321249.24</v>
          </cell>
          <cell r="I214" t="str">
            <v>FIN Submission</v>
          </cell>
          <cell r="J214">
            <v>44055</v>
          </cell>
        </row>
        <row r="215">
          <cell r="A215" t="str">
            <v>49833-T936</v>
          </cell>
          <cell r="B215" t="str">
            <v>2017 Oil Containment Program</v>
          </cell>
          <cell r="C215" t="str">
            <v>FIN Approval - Internal</v>
          </cell>
          <cell r="D215">
            <v>42</v>
          </cell>
          <cell r="E215" t="str">
            <v>APPROVED</v>
          </cell>
          <cell r="F215">
            <v>43099</v>
          </cell>
          <cell r="G215">
            <v>43616</v>
          </cell>
          <cell r="H215">
            <v>339359.52</v>
          </cell>
          <cell r="I215" t="str">
            <v>FIN Submission</v>
          </cell>
          <cell r="J215">
            <v>44055</v>
          </cell>
        </row>
        <row r="216">
          <cell r="A216" t="str">
            <v>49792-T934</v>
          </cell>
          <cell r="B216" t="str">
            <v>2017 Line Retirement Program</v>
          </cell>
          <cell r="C216" t="str">
            <v>FIN Approval - Internal</v>
          </cell>
          <cell r="D216">
            <v>48</v>
          </cell>
          <cell r="E216" t="str">
            <v>APPROVED</v>
          </cell>
          <cell r="F216">
            <v>42887</v>
          </cell>
          <cell r="G216">
            <v>44012</v>
          </cell>
          <cell r="H216">
            <v>544381.87</v>
          </cell>
          <cell r="I216" t="str">
            <v>FIN Submission</v>
          </cell>
          <cell r="J216">
            <v>44055</v>
          </cell>
        </row>
        <row r="217">
          <cell r="A217" t="str">
            <v>50073-D791</v>
          </cell>
          <cell r="B217" t="str">
            <v>4S-332 Bernard Lind Drive Rebuild</v>
          </cell>
          <cell r="C217" t="str">
            <v>FIN Approval - Internal</v>
          </cell>
          <cell r="D217">
            <v>48</v>
          </cell>
          <cell r="E217" t="str">
            <v>APPROVED</v>
          </cell>
          <cell r="F217">
            <v>43069</v>
          </cell>
          <cell r="G217">
            <v>44012</v>
          </cell>
          <cell r="H217">
            <v>345726.92</v>
          </cell>
          <cell r="I217" t="str">
            <v>FIN Submission</v>
          </cell>
          <cell r="J217">
            <v>44055</v>
          </cell>
        </row>
        <row r="218">
          <cell r="A218" t="str">
            <v>49684-SJ05</v>
          </cell>
          <cell r="B218" t="str">
            <v>TUC 4kv/600V Breaker Replacement</v>
          </cell>
          <cell r="C218" t="str">
            <v>FIN Approval - Internal</v>
          </cell>
          <cell r="D218">
            <v>51</v>
          </cell>
          <cell r="E218" t="str">
            <v>APPROVED</v>
          </cell>
          <cell r="F218">
            <v>43403</v>
          </cell>
          <cell r="G218">
            <v>44012</v>
          </cell>
          <cell r="H218">
            <v>241951.27</v>
          </cell>
          <cell r="I218" t="str">
            <v>FIN Submission</v>
          </cell>
          <cell r="J218">
            <v>44055</v>
          </cell>
        </row>
        <row r="219">
          <cell r="A219" t="str">
            <v>48156-T904</v>
          </cell>
          <cell r="B219" t="str">
            <v xml:space="preserve">East Switch Upgrades 58C </v>
          </cell>
          <cell r="C219" t="str">
            <v>FIN Approval - Internal</v>
          </cell>
          <cell r="D219">
            <v>52</v>
          </cell>
          <cell r="E219" t="str">
            <v>APPROVED</v>
          </cell>
          <cell r="F219">
            <v>43312</v>
          </cell>
          <cell r="G219">
            <v>44012</v>
          </cell>
          <cell r="H219">
            <v>63436.08</v>
          </cell>
          <cell r="I219" t="str">
            <v>FIN Submission</v>
          </cell>
          <cell r="J219">
            <v>44055</v>
          </cell>
        </row>
        <row r="220">
          <cell r="A220" t="str">
            <v>49814-T948</v>
          </cell>
          <cell r="B220" t="str">
            <v>2017 Steel Tower Life Extension</v>
          </cell>
          <cell r="C220" t="str">
            <v>FIN Approval - Internal</v>
          </cell>
          <cell r="D220">
            <v>53</v>
          </cell>
          <cell r="E220" t="str">
            <v>APPROVED</v>
          </cell>
          <cell r="F220">
            <v>42887</v>
          </cell>
          <cell r="G220">
            <v>44013</v>
          </cell>
          <cell r="H220">
            <v>1643870.96</v>
          </cell>
          <cell r="I220" t="str">
            <v>FIN Submission</v>
          </cell>
          <cell r="J220">
            <v>44055</v>
          </cell>
        </row>
        <row r="221">
          <cell r="A221" t="str">
            <v>48067-T892</v>
          </cell>
          <cell r="B221" t="str">
            <v>2016 Oil Containment Program</v>
          </cell>
          <cell r="C221" t="str">
            <v>FIN Approval - Internal</v>
          </cell>
          <cell r="D221">
            <v>56</v>
          </cell>
          <cell r="E221" t="str">
            <v>APPROVED</v>
          </cell>
          <cell r="F221">
            <v>42944</v>
          </cell>
          <cell r="G221">
            <v>43465</v>
          </cell>
          <cell r="H221">
            <v>351498.95</v>
          </cell>
          <cell r="I221" t="str">
            <v>FIN Submission</v>
          </cell>
          <cell r="J221">
            <v>44055</v>
          </cell>
        </row>
        <row r="222">
          <cell r="A222" t="str">
            <v>47956-T932</v>
          </cell>
          <cell r="B222" t="str">
            <v>L7004 Replacements and Upgrades</v>
          </cell>
          <cell r="C222" t="str">
            <v>FIN Approval - Internal</v>
          </cell>
          <cell r="D222">
            <v>65</v>
          </cell>
          <cell r="E222" t="str">
            <v>APPROVED</v>
          </cell>
          <cell r="F222">
            <v>42977</v>
          </cell>
          <cell r="G222">
            <v>43769</v>
          </cell>
          <cell r="H222">
            <v>481722.61</v>
          </cell>
          <cell r="I222" t="str">
            <v>FIN Submission</v>
          </cell>
          <cell r="J222">
            <v>44055</v>
          </cell>
        </row>
        <row r="223">
          <cell r="A223" t="str">
            <v>47051-D637</v>
          </cell>
          <cell r="B223" t="str">
            <v>IR 437 Ketch Harbour</v>
          </cell>
          <cell r="C223" t="str">
            <v>FIN Approval - Internal</v>
          </cell>
          <cell r="D223">
            <v>72</v>
          </cell>
          <cell r="E223" t="str">
            <v>APPROVED</v>
          </cell>
          <cell r="F223">
            <v>42405</v>
          </cell>
          <cell r="G223">
            <v>43921</v>
          </cell>
          <cell r="H223">
            <v>0</v>
          </cell>
          <cell r="I223" t="str">
            <v>FIN Submission</v>
          </cell>
          <cell r="J223">
            <v>44055</v>
          </cell>
        </row>
        <row r="224">
          <cell r="A224" t="str">
            <v>46306-P969</v>
          </cell>
          <cell r="B224" t="str">
            <v>2015 Telecom Building Replacement</v>
          </cell>
          <cell r="C224" t="str">
            <v>FIN Approval - Internal</v>
          </cell>
          <cell r="D224">
            <v>74</v>
          </cell>
          <cell r="E224" t="str">
            <v>APPROVED</v>
          </cell>
          <cell r="F224">
            <v>42916</v>
          </cell>
          <cell r="G224">
            <v>43982</v>
          </cell>
          <cell r="H224">
            <v>257540.81</v>
          </cell>
          <cell r="I224" t="str">
            <v>FIN Submission</v>
          </cell>
          <cell r="J224">
            <v>44055</v>
          </cell>
        </row>
        <row r="225">
          <cell r="A225" t="str">
            <v>46415-D600</v>
          </cell>
          <cell r="B225" t="str">
            <v>IR 325 Wedgeport</v>
          </cell>
          <cell r="C225" t="str">
            <v>FIN Approval - Internal</v>
          </cell>
          <cell r="D225">
            <v>80</v>
          </cell>
          <cell r="E225" t="str">
            <v>APPROVED</v>
          </cell>
          <cell r="F225">
            <v>42065</v>
          </cell>
          <cell r="G225">
            <v>43951</v>
          </cell>
          <cell r="H225">
            <v>0</v>
          </cell>
          <cell r="I225" t="str">
            <v>FIN Submission</v>
          </cell>
          <cell r="J225">
            <v>44055</v>
          </cell>
        </row>
        <row r="226">
          <cell r="A226" t="str">
            <v>46411-P946</v>
          </cell>
          <cell r="B226" t="str">
            <v>AMO Hydro Asset Management</v>
          </cell>
          <cell r="C226" t="str">
            <v>FIN Approval - Internal</v>
          </cell>
          <cell r="D226">
            <v>85</v>
          </cell>
          <cell r="E226" t="str">
            <v>APPROVED</v>
          </cell>
          <cell r="F226">
            <v>43403</v>
          </cell>
          <cell r="G226">
            <v>44166</v>
          </cell>
          <cell r="H226">
            <v>678330.97</v>
          </cell>
          <cell r="I226" t="str">
            <v>FIN Submission</v>
          </cell>
          <cell r="J226">
            <v>44055</v>
          </cell>
        </row>
        <row r="227">
          <cell r="A227" t="str">
            <v>43218-D757</v>
          </cell>
          <cell r="B227" t="str">
            <v>88W-323A Tusket Islands Phase 3</v>
          </cell>
          <cell r="C227" t="str">
            <v>FIN Approval - Internal</v>
          </cell>
          <cell r="D227">
            <v>116</v>
          </cell>
          <cell r="E227" t="str">
            <v>APPROVED</v>
          </cell>
          <cell r="F227">
            <v>43738</v>
          </cell>
          <cell r="G227">
            <v>44043</v>
          </cell>
          <cell r="H227">
            <v>703298.91</v>
          </cell>
          <cell r="I227" t="str">
            <v>FIN Submission</v>
          </cell>
          <cell r="J227">
            <v>44055</v>
          </cell>
        </row>
        <row r="228">
          <cell r="A228" t="str">
            <v>51782-T968</v>
          </cell>
          <cell r="B228" t="str">
            <v>L6540 Str 40 Conductor Removal</v>
          </cell>
          <cell r="C228" t="str">
            <v>FIN Approval - Internal</v>
          </cell>
          <cell r="D228">
            <v>30</v>
          </cell>
          <cell r="E228" t="str">
            <v>APPROVED</v>
          </cell>
          <cell r="F228">
            <v>42993</v>
          </cell>
          <cell r="G228">
            <v>43951</v>
          </cell>
          <cell r="H228">
            <v>0</v>
          </cell>
          <cell r="I228" t="str">
            <v>FIN Submission</v>
          </cell>
          <cell r="J228">
            <v>44008</v>
          </cell>
        </row>
        <row r="229">
          <cell r="A229" t="str">
            <v>50721-T955</v>
          </cell>
          <cell r="B229" t="str">
            <v>L5017 Glooscap Ventures</v>
          </cell>
          <cell r="C229" t="str">
            <v>FIN Approval - Internal</v>
          </cell>
          <cell r="D229">
            <v>34</v>
          </cell>
          <cell r="E229" t="str">
            <v>APPROVED</v>
          </cell>
          <cell r="F229">
            <v>42794</v>
          </cell>
          <cell r="G229">
            <v>43951</v>
          </cell>
          <cell r="H229">
            <v>0</v>
          </cell>
          <cell r="I229" t="str">
            <v>FIN Submission</v>
          </cell>
          <cell r="J229">
            <v>44008</v>
          </cell>
        </row>
        <row r="230">
          <cell r="A230" t="str">
            <v>51780-T967</v>
          </cell>
          <cell r="B230" t="str">
            <v>L6540 Str 38 Replacement</v>
          </cell>
          <cell r="C230" t="str">
            <v>FIN Approval - Internal</v>
          </cell>
          <cell r="D230">
            <v>35</v>
          </cell>
          <cell r="E230" t="str">
            <v>APPROVED</v>
          </cell>
          <cell r="F230">
            <v>43091</v>
          </cell>
          <cell r="G230">
            <v>43951</v>
          </cell>
          <cell r="H230">
            <v>0</v>
          </cell>
          <cell r="I230" t="str">
            <v>FIN Submission</v>
          </cell>
          <cell r="J230">
            <v>44008</v>
          </cell>
        </row>
        <row r="231">
          <cell r="A231" t="str">
            <v>49676</v>
          </cell>
          <cell r="B231" t="str">
            <v>TUC2 CEMS</v>
          </cell>
          <cell r="C231" t="str">
            <v>FIN Approval - Internal</v>
          </cell>
          <cell r="D231">
            <v>51</v>
          </cell>
          <cell r="E231" t="str">
            <v>APPROVED</v>
          </cell>
          <cell r="F231">
            <v>43524</v>
          </cell>
          <cell r="G231">
            <v>44012</v>
          </cell>
          <cell r="H231">
            <v>411018.89</v>
          </cell>
          <cell r="I231" t="str">
            <v>FIN Submission</v>
          </cell>
          <cell r="J231">
            <v>44008</v>
          </cell>
        </row>
        <row r="232">
          <cell r="A232" t="str">
            <v>48536-H753</v>
          </cell>
          <cell r="B232" t="str">
            <v>Wreck Cove Brook Dam D-9 Refurb</v>
          </cell>
          <cell r="C232" t="str">
            <v>FIN Approval - Internal</v>
          </cell>
          <cell r="D232">
            <v>63</v>
          </cell>
          <cell r="E232" t="str">
            <v>APPROVED</v>
          </cell>
          <cell r="F232">
            <v>43738</v>
          </cell>
          <cell r="G232">
            <v>44196</v>
          </cell>
          <cell r="H232">
            <v>618979.57999999996</v>
          </cell>
          <cell r="I232" t="str">
            <v>FIN Submission</v>
          </cell>
          <cell r="J232">
            <v>44008</v>
          </cell>
        </row>
        <row r="233">
          <cell r="A233" t="str">
            <v>45613-D539</v>
          </cell>
          <cell r="B233" t="str">
            <v>Nine Mile River IR 341</v>
          </cell>
          <cell r="C233" t="str">
            <v>FIN Approval - Internal</v>
          </cell>
          <cell r="D233">
            <v>88</v>
          </cell>
          <cell r="E233" t="str">
            <v>APPROVED</v>
          </cell>
          <cell r="F233">
            <v>42004</v>
          </cell>
          <cell r="G233">
            <v>43951</v>
          </cell>
          <cell r="H233">
            <v>0</v>
          </cell>
          <cell r="I233" t="str">
            <v>FIN Submission</v>
          </cell>
          <cell r="J233">
            <v>44008</v>
          </cell>
        </row>
        <row r="234">
          <cell r="A234" t="str">
            <v>C0013178</v>
          </cell>
          <cell r="B234" t="str">
            <v>LIN1 UU Blowdown Tank Refurbishment</v>
          </cell>
          <cell r="C234" t="str">
            <v>FIN Approval - Internal</v>
          </cell>
          <cell r="D234">
            <v>5</v>
          </cell>
          <cell r="E234" t="str">
            <v>APPROVED</v>
          </cell>
          <cell r="F234">
            <v>43419</v>
          </cell>
          <cell r="G234">
            <v>43449</v>
          </cell>
          <cell r="H234">
            <v>140694.47</v>
          </cell>
          <cell r="I234" t="str">
            <v>FIN Submission</v>
          </cell>
          <cell r="J234">
            <v>43999</v>
          </cell>
        </row>
        <row r="235">
          <cell r="A235" t="str">
            <v>C0010499</v>
          </cell>
          <cell r="B235" t="str">
            <v>POA UU Circulating Water System Ref</v>
          </cell>
          <cell r="C235" t="str">
            <v>FIN Approval - Internal</v>
          </cell>
          <cell r="D235">
            <v>12</v>
          </cell>
          <cell r="E235" t="str">
            <v>APPROVED</v>
          </cell>
          <cell r="F235">
            <v>43403</v>
          </cell>
          <cell r="G235">
            <v>43464</v>
          </cell>
          <cell r="H235">
            <v>41732.370000000003</v>
          </cell>
          <cell r="I235" t="str">
            <v>FIN Submission</v>
          </cell>
          <cell r="J235">
            <v>43999</v>
          </cell>
        </row>
        <row r="236">
          <cell r="A236" t="str">
            <v>C0014320</v>
          </cell>
          <cell r="B236" t="str">
            <v>Nov 28, 2018 L3 Storm -Transmission</v>
          </cell>
          <cell r="C236" t="str">
            <v>FIN Approval - Internal</v>
          </cell>
          <cell r="D236">
            <v>13</v>
          </cell>
          <cell r="E236" t="str">
            <v>APPROVED</v>
          </cell>
          <cell r="F236">
            <v>43432</v>
          </cell>
          <cell r="G236">
            <v>43982</v>
          </cell>
          <cell r="H236">
            <v>584914.05000000005</v>
          </cell>
          <cell r="I236" t="str">
            <v>FIN Submission</v>
          </cell>
          <cell r="J236">
            <v>43999</v>
          </cell>
        </row>
        <row r="237">
          <cell r="A237" t="str">
            <v>C0008260</v>
          </cell>
          <cell r="B237" t="str">
            <v xml:space="preserve">LIN4 UU B FD Fan Shaft and Bearing </v>
          </cell>
          <cell r="C237" t="str">
            <v>FIN Approval - Internal</v>
          </cell>
          <cell r="D237">
            <v>22</v>
          </cell>
          <cell r="E237" t="str">
            <v>APPROVED</v>
          </cell>
          <cell r="F237">
            <v>43220</v>
          </cell>
          <cell r="G237">
            <v>43830</v>
          </cell>
          <cell r="H237">
            <v>132480.94</v>
          </cell>
          <cell r="I237" t="str">
            <v>FIN Submission</v>
          </cell>
          <cell r="J237">
            <v>43999</v>
          </cell>
        </row>
        <row r="238">
          <cell r="A238" t="str">
            <v>52053</v>
          </cell>
          <cell r="B238" t="str">
            <v>LIN3 Air heater and Aux Air Dampers</v>
          </cell>
          <cell r="C238" t="str">
            <v>FIN Approval - Internal</v>
          </cell>
          <cell r="D238">
            <v>25</v>
          </cell>
          <cell r="E238" t="str">
            <v>APPROVED</v>
          </cell>
          <cell r="F238">
            <v>43194</v>
          </cell>
          <cell r="G238">
            <v>43454</v>
          </cell>
          <cell r="H238">
            <v>139648.45000000001</v>
          </cell>
          <cell r="I238" t="str">
            <v>FIN Submission</v>
          </cell>
          <cell r="J238">
            <v>43999</v>
          </cell>
        </row>
        <row r="239">
          <cell r="A239" t="str">
            <v>52058</v>
          </cell>
          <cell r="B239" t="str">
            <v>LIN3 ID Fan Shaft Refurbishment</v>
          </cell>
          <cell r="C239" t="str">
            <v>FIN Approval - Internal</v>
          </cell>
          <cell r="D239">
            <v>25</v>
          </cell>
          <cell r="E239" t="str">
            <v>APPROVED</v>
          </cell>
          <cell r="F239">
            <v>43200</v>
          </cell>
          <cell r="G239">
            <v>43454</v>
          </cell>
          <cell r="H239">
            <v>109513.63</v>
          </cell>
          <cell r="I239" t="str">
            <v>FIN Submission</v>
          </cell>
          <cell r="J239">
            <v>43999</v>
          </cell>
        </row>
        <row r="240">
          <cell r="A240" t="str">
            <v>52068</v>
          </cell>
          <cell r="B240" t="str">
            <v>POA 4KV 600V Breaker Refurbishment</v>
          </cell>
          <cell r="C240" t="str">
            <v>FIN Approval - Internal</v>
          </cell>
          <cell r="D240">
            <v>25</v>
          </cell>
          <cell r="E240" t="str">
            <v>APPROVED</v>
          </cell>
          <cell r="F240">
            <v>43393</v>
          </cell>
          <cell r="G240">
            <v>43819</v>
          </cell>
          <cell r="H240">
            <v>87214.67</v>
          </cell>
          <cell r="I240" t="str">
            <v>FIN Submission</v>
          </cell>
          <cell r="J240">
            <v>43999</v>
          </cell>
        </row>
        <row r="241">
          <cell r="A241" t="str">
            <v>51849</v>
          </cell>
          <cell r="B241" t="str">
            <v>LIN3 RH Tube Replacement</v>
          </cell>
          <cell r="C241" t="str">
            <v>FIN Approval - Internal</v>
          </cell>
          <cell r="D241">
            <v>26</v>
          </cell>
          <cell r="E241" t="str">
            <v>APPROVED</v>
          </cell>
          <cell r="F241">
            <v>43211</v>
          </cell>
          <cell r="G241">
            <v>43455</v>
          </cell>
          <cell r="H241">
            <v>499759.05</v>
          </cell>
          <cell r="I241" t="str">
            <v>FIN Submission</v>
          </cell>
          <cell r="J241">
            <v>43999</v>
          </cell>
        </row>
        <row r="242">
          <cell r="A242" t="str">
            <v>C0004562</v>
          </cell>
          <cell r="B242" t="str">
            <v>62N-413 Sherbrook Road Repole</v>
          </cell>
          <cell r="C242" t="str">
            <v>FIN Approval - Internal</v>
          </cell>
          <cell r="D242">
            <v>27</v>
          </cell>
          <cell r="E242" t="str">
            <v>APPROVED</v>
          </cell>
          <cell r="F242">
            <v>43192</v>
          </cell>
          <cell r="G242">
            <v>43982</v>
          </cell>
          <cell r="H242">
            <v>107814.79</v>
          </cell>
          <cell r="I242" t="str">
            <v>FIN Submission</v>
          </cell>
          <cell r="J242">
            <v>43999</v>
          </cell>
        </row>
        <row r="243">
          <cell r="A243" t="str">
            <v>C0002651</v>
          </cell>
          <cell r="B243" t="str">
            <v>56N-414 Targeted -Device Replacemen</v>
          </cell>
          <cell r="C243" t="str">
            <v>FIN Approval - Internal</v>
          </cell>
          <cell r="D243">
            <v>29</v>
          </cell>
          <cell r="E243" t="str">
            <v>APPROVED</v>
          </cell>
          <cell r="F243">
            <v>43159</v>
          </cell>
          <cell r="G243">
            <v>43982</v>
          </cell>
          <cell r="H243">
            <v>105241.68</v>
          </cell>
          <cell r="I243" t="str">
            <v>FIN Submission</v>
          </cell>
          <cell r="J243">
            <v>43999</v>
          </cell>
        </row>
        <row r="244">
          <cell r="A244" t="str">
            <v>52101</v>
          </cell>
          <cell r="B244" t="str">
            <v>ICP Rail Car Rebuild</v>
          </cell>
          <cell r="C244" t="str">
            <v>FIN Approval - Internal</v>
          </cell>
          <cell r="D244">
            <v>30</v>
          </cell>
          <cell r="E244" t="str">
            <v>APPROVED</v>
          </cell>
          <cell r="F244">
            <v>43393</v>
          </cell>
          <cell r="G244">
            <v>43819</v>
          </cell>
          <cell r="H244">
            <v>173729.76</v>
          </cell>
          <cell r="I244" t="str">
            <v>FIN Submission</v>
          </cell>
          <cell r="J244">
            <v>43999</v>
          </cell>
        </row>
        <row r="245">
          <cell r="A245" t="str">
            <v>52035</v>
          </cell>
          <cell r="B245" t="str">
            <v>LIN Plant Lighting Upgrade Phase 2</v>
          </cell>
          <cell r="C245" t="str">
            <v>FIN Approval - Internal</v>
          </cell>
          <cell r="D245">
            <v>33</v>
          </cell>
          <cell r="E245" t="str">
            <v>APPROVED</v>
          </cell>
          <cell r="F245">
            <v>43383</v>
          </cell>
          <cell r="G245">
            <v>43800</v>
          </cell>
          <cell r="H245">
            <v>151315.51999999999</v>
          </cell>
          <cell r="I245" t="str">
            <v>FIN Submission</v>
          </cell>
          <cell r="J245">
            <v>43999</v>
          </cell>
        </row>
        <row r="246">
          <cell r="A246" t="str">
            <v>52077</v>
          </cell>
          <cell r="B246" t="str">
            <v>POA Facilities Upgrades</v>
          </cell>
          <cell r="C246" t="str">
            <v>FIN Approval - Internal</v>
          </cell>
          <cell r="D246">
            <v>33</v>
          </cell>
          <cell r="E246" t="str">
            <v>APPROVED</v>
          </cell>
          <cell r="F246">
            <v>43332</v>
          </cell>
          <cell r="G246">
            <v>43983</v>
          </cell>
          <cell r="H246">
            <v>171811.02</v>
          </cell>
          <cell r="I246" t="str">
            <v>FIN Submission</v>
          </cell>
          <cell r="J246">
            <v>43999</v>
          </cell>
        </row>
        <row r="247">
          <cell r="A247" t="str">
            <v>51118-T953</v>
          </cell>
          <cell r="B247" t="str">
            <v>L5549 Replacements and Upgrades</v>
          </cell>
          <cell r="C247" t="str">
            <v>FIN Approval - Internal</v>
          </cell>
          <cell r="D247">
            <v>35</v>
          </cell>
          <cell r="E247" t="str">
            <v>APPROVED</v>
          </cell>
          <cell r="F247">
            <v>43069</v>
          </cell>
          <cell r="G247">
            <v>43982</v>
          </cell>
          <cell r="H247">
            <v>279661.3</v>
          </cell>
          <cell r="I247" t="str">
            <v>FIN Submission</v>
          </cell>
          <cell r="J247">
            <v>43999</v>
          </cell>
        </row>
        <row r="248">
          <cell r="A248" t="str">
            <v>52014-D880</v>
          </cell>
          <cell r="B248" t="str">
            <v>85S-402 Line Removal &amp; Reconfigurat</v>
          </cell>
          <cell r="C248" t="str">
            <v>FIN Approval - Internal</v>
          </cell>
          <cell r="D248">
            <v>36</v>
          </cell>
          <cell r="E248" t="str">
            <v>APPROVED</v>
          </cell>
          <cell r="F248">
            <v>43099</v>
          </cell>
          <cell r="G248">
            <v>43951</v>
          </cell>
          <cell r="H248">
            <v>277797.59999999998</v>
          </cell>
          <cell r="I248" t="str">
            <v>FIN Submission</v>
          </cell>
          <cell r="J248">
            <v>43999</v>
          </cell>
        </row>
        <row r="249">
          <cell r="A249" t="str">
            <v>51451-D854</v>
          </cell>
          <cell r="B249" t="str">
            <v>78W-301 Northwest Line Extension</v>
          </cell>
          <cell r="C249" t="str">
            <v>FIN Approval - Internal</v>
          </cell>
          <cell r="D249">
            <v>38</v>
          </cell>
          <cell r="E249" t="str">
            <v>APPROVED</v>
          </cell>
          <cell r="F249">
            <v>43343</v>
          </cell>
          <cell r="G249">
            <v>43982</v>
          </cell>
          <cell r="H249">
            <v>114344.36</v>
          </cell>
          <cell r="I249" t="str">
            <v>FIN Submission</v>
          </cell>
          <cell r="J249">
            <v>43999</v>
          </cell>
        </row>
        <row r="250">
          <cell r="A250" t="str">
            <v>51092-T947</v>
          </cell>
          <cell r="B250" t="str">
            <v>L5011 Replacements and Upgrades</v>
          </cell>
          <cell r="C250" t="str">
            <v>FIN Approval - Internal</v>
          </cell>
          <cell r="D250">
            <v>38</v>
          </cell>
          <cell r="E250" t="str">
            <v>APPROVED</v>
          </cell>
          <cell r="F250">
            <v>43069</v>
          </cell>
          <cell r="G250">
            <v>43983</v>
          </cell>
          <cell r="H250">
            <v>351271.54</v>
          </cell>
          <cell r="I250" t="str">
            <v>FIN Submission</v>
          </cell>
          <cell r="J250">
            <v>43999</v>
          </cell>
        </row>
        <row r="251">
          <cell r="A251" t="str">
            <v>50733-D810</v>
          </cell>
          <cell r="B251" t="str">
            <v>70V-311 Arlington Road Reconductor</v>
          </cell>
          <cell r="C251" t="str">
            <v>FIN Approval - Internal</v>
          </cell>
          <cell r="D251">
            <v>39</v>
          </cell>
          <cell r="E251" t="str">
            <v>APPROVED</v>
          </cell>
          <cell r="F251">
            <v>42977</v>
          </cell>
          <cell r="G251">
            <v>43982</v>
          </cell>
          <cell r="H251">
            <v>187112.32000000001</v>
          </cell>
          <cell r="I251" t="str">
            <v>FIN Submission</v>
          </cell>
          <cell r="J251">
            <v>43999</v>
          </cell>
        </row>
        <row r="252">
          <cell r="A252" t="str">
            <v>49836-D787</v>
          </cell>
          <cell r="B252" t="str">
            <v xml:space="preserve">11S-302 11S-401 Rebuild Coxheath </v>
          </cell>
          <cell r="C252" t="str">
            <v>FIN Approval - Internal</v>
          </cell>
          <cell r="D252">
            <v>44</v>
          </cell>
          <cell r="E252" t="str">
            <v>APPROVED</v>
          </cell>
          <cell r="F252">
            <v>43099</v>
          </cell>
          <cell r="G252">
            <v>43982</v>
          </cell>
          <cell r="H252">
            <v>774528.1</v>
          </cell>
          <cell r="I252" t="str">
            <v>FIN Submission</v>
          </cell>
          <cell r="J252">
            <v>43999</v>
          </cell>
        </row>
        <row r="253">
          <cell r="A253" t="str">
            <v>49611-D780</v>
          </cell>
          <cell r="B253" t="str">
            <v>New Distribution ROW Phase 1</v>
          </cell>
          <cell r="C253" t="str">
            <v>FIN Approval - Internal</v>
          </cell>
          <cell r="D253">
            <v>46</v>
          </cell>
          <cell r="E253" t="str">
            <v>APPROVED</v>
          </cell>
          <cell r="F253">
            <v>42946</v>
          </cell>
          <cell r="G253">
            <v>43982</v>
          </cell>
          <cell r="H253">
            <v>2055132.49</v>
          </cell>
          <cell r="I253" t="str">
            <v>FIN Submission</v>
          </cell>
          <cell r="J253">
            <v>43999</v>
          </cell>
        </row>
        <row r="254">
          <cell r="A254" t="str">
            <v>49468-SI06</v>
          </cell>
          <cell r="B254" t="str">
            <v>POA Boilerhouse Window Upgrade Ph.1</v>
          </cell>
          <cell r="C254" t="str">
            <v>FIN Approval - Internal</v>
          </cell>
          <cell r="D254">
            <v>47</v>
          </cell>
          <cell r="E254" t="str">
            <v>APPROVED</v>
          </cell>
          <cell r="F254">
            <v>43027</v>
          </cell>
          <cell r="G254">
            <v>44184</v>
          </cell>
          <cell r="H254">
            <v>208509.9</v>
          </cell>
          <cell r="I254" t="str">
            <v>FIN Submission</v>
          </cell>
          <cell r="J254">
            <v>43999</v>
          </cell>
        </row>
        <row r="255">
          <cell r="A255" t="str">
            <v>49798-T935</v>
          </cell>
          <cell r="B255" t="str">
            <v>2017 Capacitor Bank Breaker Replace</v>
          </cell>
          <cell r="C255" t="str">
            <v>FIN Approval - Internal</v>
          </cell>
          <cell r="D255">
            <v>49</v>
          </cell>
          <cell r="E255" t="str">
            <v>APPROVED</v>
          </cell>
          <cell r="F255">
            <v>42916</v>
          </cell>
          <cell r="G255">
            <v>43982</v>
          </cell>
          <cell r="H255">
            <v>209689.96</v>
          </cell>
          <cell r="I255" t="str">
            <v>FIN Submission</v>
          </cell>
          <cell r="J255">
            <v>43999</v>
          </cell>
        </row>
        <row r="256">
          <cell r="A256" t="str">
            <v>49469-SH76</v>
          </cell>
          <cell r="B256" t="str">
            <v>POA Boiler Refractory Replacement</v>
          </cell>
          <cell r="C256" t="str">
            <v>FIN Approval - Internal</v>
          </cell>
          <cell r="D256">
            <v>49</v>
          </cell>
          <cell r="E256" t="str">
            <v>APPROVED</v>
          </cell>
          <cell r="F256">
            <v>42935</v>
          </cell>
          <cell r="G256">
            <v>44184</v>
          </cell>
          <cell r="H256">
            <v>1790116.33</v>
          </cell>
          <cell r="I256" t="str">
            <v>FIN Submission</v>
          </cell>
          <cell r="J256">
            <v>43999</v>
          </cell>
        </row>
        <row r="257">
          <cell r="A257" t="str">
            <v>49799-D784</v>
          </cell>
          <cell r="B257" t="str">
            <v>532N Elm Street Conversion  Phase 1</v>
          </cell>
          <cell r="C257" t="str">
            <v>FIN Approval - Internal</v>
          </cell>
          <cell r="D257">
            <v>50</v>
          </cell>
          <cell r="E257" t="str">
            <v>APPROVED</v>
          </cell>
          <cell r="F257">
            <v>43131</v>
          </cell>
          <cell r="G257">
            <v>43982</v>
          </cell>
          <cell r="H257">
            <v>525501.43000000005</v>
          </cell>
          <cell r="I257" t="str">
            <v>FIN Submission</v>
          </cell>
          <cell r="J257">
            <v>43999</v>
          </cell>
        </row>
        <row r="258">
          <cell r="A258" t="str">
            <v>49821-T940</v>
          </cell>
          <cell r="B258" t="str">
            <v>Mersey River Hydro Spare Transformr</v>
          </cell>
          <cell r="C258" t="str">
            <v>FIN Approval - Internal</v>
          </cell>
          <cell r="D258">
            <v>51</v>
          </cell>
          <cell r="E258" t="str">
            <v>APPROVED</v>
          </cell>
          <cell r="F258">
            <v>43404</v>
          </cell>
          <cell r="G258">
            <v>43982</v>
          </cell>
          <cell r="H258">
            <v>439279.61</v>
          </cell>
          <cell r="I258" t="str">
            <v>FIN Submission</v>
          </cell>
          <cell r="J258">
            <v>43999</v>
          </cell>
        </row>
        <row r="259">
          <cell r="A259" t="str">
            <v>49806-D827</v>
          </cell>
          <cell r="B259" t="str">
            <v>2017 Padmount Replacement Program</v>
          </cell>
          <cell r="C259" t="str">
            <v>FIN Approval - Internal</v>
          </cell>
          <cell r="D259">
            <v>52</v>
          </cell>
          <cell r="E259" t="str">
            <v>APPROVED</v>
          </cell>
          <cell r="F259">
            <v>43159</v>
          </cell>
          <cell r="G259">
            <v>43982</v>
          </cell>
          <cell r="H259">
            <v>1719177.15</v>
          </cell>
          <cell r="I259" t="str">
            <v>FIN Submission</v>
          </cell>
          <cell r="J259">
            <v>43999</v>
          </cell>
        </row>
        <row r="260">
          <cell r="A260" t="str">
            <v>49813-T926</v>
          </cell>
          <cell r="B260" t="str">
            <v>2017 Sacrificial Anode Installation</v>
          </cell>
          <cell r="C260" t="str">
            <v>FIN Approval - Internal</v>
          </cell>
          <cell r="D260">
            <v>52</v>
          </cell>
          <cell r="E260" t="str">
            <v>APPROVED</v>
          </cell>
          <cell r="F260">
            <v>43189</v>
          </cell>
          <cell r="G260">
            <v>43982</v>
          </cell>
          <cell r="H260">
            <v>1749976.89</v>
          </cell>
          <cell r="I260" t="str">
            <v>FIN Submission</v>
          </cell>
          <cell r="J260">
            <v>43999</v>
          </cell>
        </row>
        <row r="261">
          <cell r="A261" t="str">
            <v>49898</v>
          </cell>
          <cell r="B261" t="str">
            <v xml:space="preserve">D-15N-202 Victoria St-Rebuild </v>
          </cell>
          <cell r="C261" t="str">
            <v>FIN Approval - Internal</v>
          </cell>
          <cell r="D261">
            <v>53</v>
          </cell>
          <cell r="E261" t="str">
            <v>APPROVED</v>
          </cell>
          <cell r="F261">
            <v>43343</v>
          </cell>
          <cell r="G261">
            <v>43982</v>
          </cell>
          <cell r="H261">
            <v>388997.98</v>
          </cell>
          <cell r="I261" t="str">
            <v>FIN Submission</v>
          </cell>
          <cell r="J261">
            <v>43999</v>
          </cell>
        </row>
        <row r="262">
          <cell r="A262" t="str">
            <v>48053-SE80</v>
          </cell>
          <cell r="B262" t="str">
            <v>POA Reheater/Superheater Tube Assmt</v>
          </cell>
          <cell r="C262" t="str">
            <v>FIN Approval - Internal</v>
          </cell>
          <cell r="D262">
            <v>57</v>
          </cell>
          <cell r="E262" t="str">
            <v>APPROVED</v>
          </cell>
          <cell r="F262">
            <v>43404</v>
          </cell>
          <cell r="G262">
            <v>43435</v>
          </cell>
          <cell r="H262">
            <v>52562.36</v>
          </cell>
          <cell r="I262" t="str">
            <v>FIN Submission</v>
          </cell>
          <cell r="J262">
            <v>43999</v>
          </cell>
        </row>
        <row r="263">
          <cell r="A263" t="str">
            <v>48972-D730</v>
          </cell>
          <cell r="B263" t="str">
            <v>12V-302H Granville Reconductor</v>
          </cell>
          <cell r="C263" t="str">
            <v>FIN Approval - Internal</v>
          </cell>
          <cell r="D263">
            <v>59</v>
          </cell>
          <cell r="E263" t="str">
            <v>APPROVED</v>
          </cell>
          <cell r="F263">
            <v>43159</v>
          </cell>
          <cell r="G263">
            <v>43982</v>
          </cell>
          <cell r="H263">
            <v>280450.55</v>
          </cell>
          <cell r="I263" t="str">
            <v>FIN Submission</v>
          </cell>
          <cell r="J263">
            <v>43999</v>
          </cell>
        </row>
        <row r="264">
          <cell r="A264" t="str">
            <v>47875-SF79</v>
          </cell>
          <cell r="B264" t="str">
            <v xml:space="preserve">LIN PF Line Replacement </v>
          </cell>
          <cell r="C264" t="str">
            <v>FIN Approval - Internal</v>
          </cell>
          <cell r="D264">
            <v>61</v>
          </cell>
          <cell r="E264" t="str">
            <v>APPROVED</v>
          </cell>
          <cell r="F264">
            <v>42674</v>
          </cell>
          <cell r="G264">
            <v>43830</v>
          </cell>
          <cell r="H264">
            <v>126079.09</v>
          </cell>
          <cell r="I264" t="str">
            <v>FIN Submission</v>
          </cell>
          <cell r="J264">
            <v>43999</v>
          </cell>
        </row>
        <row r="265">
          <cell r="A265" t="str">
            <v>47859-SH45</v>
          </cell>
          <cell r="B265" t="str">
            <v xml:space="preserve">POA CEM Replacement </v>
          </cell>
          <cell r="C265" t="str">
            <v>FIN Approval - Internal</v>
          </cell>
          <cell r="D265">
            <v>61</v>
          </cell>
          <cell r="E265" t="str">
            <v>APPROVED</v>
          </cell>
          <cell r="F265">
            <v>43008</v>
          </cell>
          <cell r="G265">
            <v>44196</v>
          </cell>
          <cell r="H265">
            <v>545754.54</v>
          </cell>
          <cell r="I265" t="str">
            <v>FIN Submission</v>
          </cell>
          <cell r="J265">
            <v>43999</v>
          </cell>
        </row>
        <row r="266">
          <cell r="A266" t="str">
            <v>48195-D762</v>
          </cell>
          <cell r="B266" t="str">
            <v>Halifax 4kV Conversion Ph 3</v>
          </cell>
          <cell r="C266" t="str">
            <v>FIN Approval - Internal</v>
          </cell>
          <cell r="D266">
            <v>65</v>
          </cell>
          <cell r="E266" t="str">
            <v>APPROVED</v>
          </cell>
          <cell r="F266">
            <v>42855</v>
          </cell>
          <cell r="G266">
            <v>43982</v>
          </cell>
          <cell r="H266">
            <v>520454.6</v>
          </cell>
          <cell r="I266" t="str">
            <v>FIN Submission</v>
          </cell>
          <cell r="J266">
            <v>43999</v>
          </cell>
        </row>
        <row r="267">
          <cell r="A267" t="str">
            <v>47769-D826</v>
          </cell>
          <cell r="B267" t="str">
            <v>509V-301 Overcove Rd Rebuild</v>
          </cell>
          <cell r="C267" t="str">
            <v>FIN Approval - Internal</v>
          </cell>
          <cell r="D267">
            <v>66</v>
          </cell>
          <cell r="E267" t="str">
            <v>APPROVED</v>
          </cell>
          <cell r="F267">
            <v>43132</v>
          </cell>
          <cell r="G267">
            <v>43982</v>
          </cell>
          <cell r="H267">
            <v>360035.61</v>
          </cell>
          <cell r="I267" t="str">
            <v>FIN Submission</v>
          </cell>
          <cell r="J267">
            <v>43999</v>
          </cell>
        </row>
        <row r="268">
          <cell r="A268" t="str">
            <v>47857</v>
          </cell>
          <cell r="B268" t="str">
            <v>POA CW Valve Replacement</v>
          </cell>
          <cell r="C268" t="str">
            <v>FIN Approval - Internal</v>
          </cell>
          <cell r="D268">
            <v>66</v>
          </cell>
          <cell r="E268" t="str">
            <v>APPROVED</v>
          </cell>
          <cell r="F268">
            <v>43404</v>
          </cell>
          <cell r="G268">
            <v>44166</v>
          </cell>
          <cell r="H268">
            <v>176193.97</v>
          </cell>
          <cell r="I268" t="str">
            <v>FIN Submission</v>
          </cell>
          <cell r="J268">
            <v>43999</v>
          </cell>
        </row>
        <row r="269">
          <cell r="A269" t="str">
            <v>48111-T905</v>
          </cell>
          <cell r="B269" t="str">
            <v xml:space="preserve">East Switch Upgrades 15S </v>
          </cell>
          <cell r="C269" t="str">
            <v>FIN Approval - Internal</v>
          </cell>
          <cell r="D269">
            <v>68</v>
          </cell>
          <cell r="E269" t="str">
            <v>APPROVED</v>
          </cell>
          <cell r="F269">
            <v>43677</v>
          </cell>
          <cell r="G269">
            <v>43982</v>
          </cell>
          <cell r="H269">
            <v>290264.84000000003</v>
          </cell>
          <cell r="I269" t="str">
            <v>FIN Submission</v>
          </cell>
          <cell r="J269">
            <v>43999</v>
          </cell>
        </row>
        <row r="270">
          <cell r="A270" t="str">
            <v>47218-T848</v>
          </cell>
          <cell r="B270" t="str">
            <v xml:space="preserve">L5563 2S VJ to 4STownsend St 					</v>
          </cell>
          <cell r="C270" t="str">
            <v>FIN Approval - Internal</v>
          </cell>
          <cell r="D270">
            <v>70</v>
          </cell>
          <cell r="E270" t="str">
            <v>APPROVED</v>
          </cell>
          <cell r="F270">
            <v>43008</v>
          </cell>
          <cell r="G270">
            <v>43982</v>
          </cell>
          <cell r="H270">
            <v>216079.99</v>
          </cell>
          <cell r="I270" t="str">
            <v>FIN Submission</v>
          </cell>
          <cell r="J270">
            <v>43999</v>
          </cell>
        </row>
        <row r="271">
          <cell r="A271" t="str">
            <v>47403-D760</v>
          </cell>
          <cell r="B271" t="str">
            <v>Load Research Sample Update</v>
          </cell>
          <cell r="C271" t="str">
            <v>FIN Approval - Internal</v>
          </cell>
          <cell r="D271">
            <v>70</v>
          </cell>
          <cell r="E271" t="str">
            <v>APPROVED</v>
          </cell>
          <cell r="F271">
            <v>43131</v>
          </cell>
          <cell r="G271">
            <v>43982</v>
          </cell>
          <cell r="H271">
            <v>418033.97</v>
          </cell>
          <cell r="I271" t="str">
            <v>FIN Submission</v>
          </cell>
          <cell r="J271">
            <v>43999</v>
          </cell>
        </row>
        <row r="272">
          <cell r="A272" t="str">
            <v>47734-D775</v>
          </cell>
          <cell r="B272" t="str">
            <v>1C-411 Highway 4 Reconductor</v>
          </cell>
          <cell r="C272" t="str">
            <v>FIN Approval - Internal</v>
          </cell>
          <cell r="D272">
            <v>71</v>
          </cell>
          <cell r="E272" t="str">
            <v>APPROVED</v>
          </cell>
          <cell r="F272">
            <v>43008</v>
          </cell>
          <cell r="G272">
            <v>43982</v>
          </cell>
          <cell r="H272">
            <v>586353.96</v>
          </cell>
          <cell r="I272" t="str">
            <v>FIN Submission</v>
          </cell>
          <cell r="J272">
            <v>43999</v>
          </cell>
        </row>
        <row r="273">
          <cell r="A273" t="str">
            <v>47760-D691</v>
          </cell>
          <cell r="B273" t="str">
            <v>85S-402 Re-Insulate</v>
          </cell>
          <cell r="C273" t="str">
            <v>FIN Approval - Internal</v>
          </cell>
          <cell r="D273">
            <v>75</v>
          </cell>
          <cell r="E273" t="str">
            <v>APPROVED</v>
          </cell>
          <cell r="F273">
            <v>42825</v>
          </cell>
          <cell r="G273">
            <v>43982</v>
          </cell>
          <cell r="H273">
            <v>1700924.43</v>
          </cell>
          <cell r="I273" t="str">
            <v>FIN Submission</v>
          </cell>
          <cell r="J273">
            <v>43999</v>
          </cell>
        </row>
        <row r="274">
          <cell r="A274" t="str">
            <v>46366-T854</v>
          </cell>
          <cell r="B274" t="str">
            <v>65V Middleton Substation RTU Add</v>
          </cell>
          <cell r="C274" t="str">
            <v>FIN Approval - Internal</v>
          </cell>
          <cell r="D274">
            <v>81</v>
          </cell>
          <cell r="E274" t="str">
            <v>APPROVED</v>
          </cell>
          <cell r="F274">
            <v>43677</v>
          </cell>
          <cell r="G274">
            <v>43951</v>
          </cell>
          <cell r="H274">
            <v>190198.91</v>
          </cell>
          <cell r="I274" t="str">
            <v>FIN Submission</v>
          </cell>
          <cell r="J274">
            <v>43999</v>
          </cell>
        </row>
        <row r="275">
          <cell r="A275" t="str">
            <v>46552-P960</v>
          </cell>
          <cell r="B275" t="str">
            <v>Backbone Communications Sys Upgrade</v>
          </cell>
          <cell r="C275" t="str">
            <v>FIN Approval - Internal</v>
          </cell>
          <cell r="D275">
            <v>85</v>
          </cell>
          <cell r="E275" t="str">
            <v>APPROVED</v>
          </cell>
          <cell r="F275">
            <v>42430</v>
          </cell>
          <cell r="G275">
            <v>44012</v>
          </cell>
          <cell r="H275">
            <v>9030024.0199999996</v>
          </cell>
          <cell r="I275" t="str">
            <v>FIN Submission</v>
          </cell>
          <cell r="J275">
            <v>43999</v>
          </cell>
        </row>
        <row r="276">
          <cell r="A276" t="str">
            <v>43239-SF66</v>
          </cell>
          <cell r="B276" t="str">
            <v xml:space="preserve">LIN4 BFP Prop Recric </v>
          </cell>
          <cell r="C276" t="str">
            <v>FIN Approval - Internal</v>
          </cell>
          <cell r="D276">
            <v>112</v>
          </cell>
          <cell r="E276" t="str">
            <v>APPROVED</v>
          </cell>
          <cell r="F276">
            <v>43311</v>
          </cell>
          <cell r="G276">
            <v>43829</v>
          </cell>
          <cell r="H276">
            <v>113835.97</v>
          </cell>
          <cell r="I276" t="str">
            <v>FIN Submission</v>
          </cell>
          <cell r="J276">
            <v>43999</v>
          </cell>
        </row>
        <row r="277">
          <cell r="A277" t="str">
            <v>41226-SB05</v>
          </cell>
          <cell r="B277" t="str">
            <v xml:space="preserve">LIN1 - BFP Prop. Valve Replacement </v>
          </cell>
          <cell r="C277" t="str">
            <v>FIN Approval - Internal</v>
          </cell>
          <cell r="D277">
            <v>135</v>
          </cell>
          <cell r="E277" t="str">
            <v>APPROVED</v>
          </cell>
          <cell r="F277">
            <v>43218</v>
          </cell>
          <cell r="G277">
            <v>43829</v>
          </cell>
          <cell r="H277">
            <v>65205.84</v>
          </cell>
          <cell r="I277" t="str">
            <v>FIN Submission</v>
          </cell>
          <cell r="J277">
            <v>43999</v>
          </cell>
        </row>
        <row r="278">
          <cell r="A278" t="str">
            <v>C0015480</v>
          </cell>
          <cell r="B278" t="str">
            <v>Jan 20,2019 L3 Storm-Transmission</v>
          </cell>
          <cell r="C278" t="str">
            <v>FIN Approval - Internal</v>
          </cell>
          <cell r="D278">
            <v>13</v>
          </cell>
          <cell r="E278" t="str">
            <v>APPROVED</v>
          </cell>
          <cell r="F278">
            <v>43485</v>
          </cell>
          <cell r="G278">
            <v>43982</v>
          </cell>
          <cell r="H278">
            <v>2228.9899999999998</v>
          </cell>
          <cell r="I278" t="str">
            <v>FIN Submission</v>
          </cell>
          <cell r="J278">
            <v>43993</v>
          </cell>
        </row>
        <row r="279">
          <cell r="A279" t="str">
            <v>C0015641</v>
          </cell>
          <cell r="B279" t="str">
            <v>Jan 24 2019 L3 Storm Distribution</v>
          </cell>
          <cell r="C279" t="str">
            <v>FIN Approval - Internal</v>
          </cell>
          <cell r="D279">
            <v>13</v>
          </cell>
          <cell r="E279" t="str">
            <v>APPROVED</v>
          </cell>
          <cell r="F279">
            <v>43466</v>
          </cell>
          <cell r="G279">
            <v>43982</v>
          </cell>
          <cell r="H279">
            <v>136026.85999999999</v>
          </cell>
          <cell r="I279" t="str">
            <v>FIN Submission</v>
          </cell>
          <cell r="J279">
            <v>43993</v>
          </cell>
        </row>
        <row r="280">
          <cell r="A280" t="str">
            <v>C0014278</v>
          </cell>
          <cell r="B280" t="str">
            <v>Nov 13, 2018 Level 3 Storm - Dist</v>
          </cell>
          <cell r="C280" t="str">
            <v>FIN Approval - Internal</v>
          </cell>
          <cell r="D280">
            <v>13</v>
          </cell>
          <cell r="E280" t="str">
            <v>APPROVED</v>
          </cell>
          <cell r="F280">
            <v>43417</v>
          </cell>
          <cell r="G280">
            <v>43982</v>
          </cell>
          <cell r="H280">
            <v>334944.90000000002</v>
          </cell>
          <cell r="I280" t="str">
            <v>FIN Submission</v>
          </cell>
          <cell r="J280">
            <v>43993</v>
          </cell>
        </row>
        <row r="281">
          <cell r="A281" t="str">
            <v>C0007543</v>
          </cell>
          <cell r="B281" t="str">
            <v>March 13, 2018 Level 3 Storm</v>
          </cell>
          <cell r="C281" t="str">
            <v>FIN Approval - Internal</v>
          </cell>
          <cell r="D281">
            <v>22</v>
          </cell>
          <cell r="E281" t="str">
            <v>APPROVED</v>
          </cell>
          <cell r="F281">
            <v>43175</v>
          </cell>
          <cell r="G281">
            <v>43982</v>
          </cell>
          <cell r="H281">
            <v>2965868.89</v>
          </cell>
          <cell r="I281" t="str">
            <v>FIN Submission</v>
          </cell>
          <cell r="J281">
            <v>43993</v>
          </cell>
        </row>
        <row r="282">
          <cell r="A282" t="str">
            <v>C0003959</v>
          </cell>
          <cell r="B282" t="str">
            <v>D-2018 Manhole Equipment Replact</v>
          </cell>
          <cell r="C282" t="str">
            <v>FIN Approval - Internal</v>
          </cell>
          <cell r="D282">
            <v>28</v>
          </cell>
          <cell r="E282" t="str">
            <v>APPROVED</v>
          </cell>
          <cell r="F282">
            <v>43434</v>
          </cell>
          <cell r="G282">
            <v>43982</v>
          </cell>
          <cell r="H282">
            <v>22988.720000000001</v>
          </cell>
          <cell r="I282" t="str">
            <v>FIN Submission</v>
          </cell>
          <cell r="J282">
            <v>43993</v>
          </cell>
        </row>
        <row r="283">
          <cell r="A283" t="str">
            <v>C0003804</v>
          </cell>
          <cell r="B283" t="str">
            <v>510W-211 Crescent Beach Rebuild</v>
          </cell>
          <cell r="C283" t="str">
            <v>FIN Approval - Internal</v>
          </cell>
          <cell r="D283">
            <v>29</v>
          </cell>
          <cell r="E283" t="str">
            <v>APPROVED</v>
          </cell>
          <cell r="F283">
            <v>43220</v>
          </cell>
          <cell r="G283">
            <v>43982</v>
          </cell>
          <cell r="H283">
            <v>69343.44</v>
          </cell>
          <cell r="I283" t="str">
            <v>FIN Submission</v>
          </cell>
          <cell r="J283">
            <v>43993</v>
          </cell>
        </row>
        <row r="284">
          <cell r="A284" t="str">
            <v>C0002898</v>
          </cell>
          <cell r="B284" t="str">
            <v>Little Narrow Underwater Cable Repl</v>
          </cell>
          <cell r="C284" t="str">
            <v>FIN Approval - Internal</v>
          </cell>
          <cell r="D284">
            <v>31</v>
          </cell>
          <cell r="E284" t="str">
            <v>APPROVED</v>
          </cell>
          <cell r="F284">
            <v>42947</v>
          </cell>
          <cell r="G284">
            <v>43983</v>
          </cell>
          <cell r="H284">
            <v>449550.31</v>
          </cell>
          <cell r="I284" t="str">
            <v>FIN Submission</v>
          </cell>
          <cell r="J284">
            <v>43993</v>
          </cell>
        </row>
        <row r="285">
          <cell r="A285" t="str">
            <v>52206</v>
          </cell>
          <cell r="B285" t="str">
            <v>D-20V-311 Bishop Ville Rd Reconduct</v>
          </cell>
          <cell r="C285" t="str">
            <v>FIN Approval - Internal</v>
          </cell>
          <cell r="D285">
            <v>32</v>
          </cell>
          <cell r="E285" t="str">
            <v>APPROVED</v>
          </cell>
          <cell r="F285">
            <v>43404</v>
          </cell>
          <cell r="G285">
            <v>43982</v>
          </cell>
          <cell r="H285">
            <v>167852.83</v>
          </cell>
          <cell r="I285" t="str">
            <v>FIN Submission</v>
          </cell>
          <cell r="J285">
            <v>43993</v>
          </cell>
        </row>
        <row r="286">
          <cell r="A286" t="str">
            <v>51119-T954</v>
          </cell>
          <cell r="B286" t="str">
            <v>L5550 Replacements and Upgrades</v>
          </cell>
          <cell r="C286" t="str">
            <v>FIN Approval - Internal</v>
          </cell>
          <cell r="D286">
            <v>32</v>
          </cell>
          <cell r="E286" t="str">
            <v>APPROVED</v>
          </cell>
          <cell r="F286">
            <v>43312</v>
          </cell>
          <cell r="G286">
            <v>43982</v>
          </cell>
          <cell r="H286">
            <v>187358.89</v>
          </cell>
          <cell r="I286" t="str">
            <v>FIN Submission</v>
          </cell>
          <cell r="J286">
            <v>43993</v>
          </cell>
        </row>
        <row r="287">
          <cell r="A287" t="str">
            <v>52221</v>
          </cell>
          <cell r="B287" t="str">
            <v>515S-311-Rebuild on Aliant poles</v>
          </cell>
          <cell r="C287" t="str">
            <v>FIN Approval - Internal</v>
          </cell>
          <cell r="D287">
            <v>34</v>
          </cell>
          <cell r="E287" t="str">
            <v>APPROVED</v>
          </cell>
          <cell r="F287">
            <v>43190</v>
          </cell>
          <cell r="G287">
            <v>43982</v>
          </cell>
          <cell r="H287">
            <v>225245.18</v>
          </cell>
          <cell r="I287" t="str">
            <v>FIN Submission</v>
          </cell>
          <cell r="J287">
            <v>43993</v>
          </cell>
        </row>
        <row r="288">
          <cell r="A288" t="str">
            <v>52195</v>
          </cell>
          <cell r="B288" t="str">
            <v>D-101H Feeder Exit Cable Replace</v>
          </cell>
          <cell r="C288" t="str">
            <v>FIN Approval - Internal</v>
          </cell>
          <cell r="D288">
            <v>34</v>
          </cell>
          <cell r="E288" t="str">
            <v>APPROVED</v>
          </cell>
          <cell r="F288">
            <v>43100</v>
          </cell>
          <cell r="G288">
            <v>43677</v>
          </cell>
          <cell r="H288">
            <v>81199.63</v>
          </cell>
          <cell r="I288" t="str">
            <v>FIN Submission</v>
          </cell>
          <cell r="J288">
            <v>43993</v>
          </cell>
        </row>
        <row r="289">
          <cell r="A289" t="str">
            <v>51917-T974</v>
          </cell>
          <cell r="B289" t="str">
            <v>L6515 2017R Replc and Upgrades</v>
          </cell>
          <cell r="C289" t="str">
            <v>FIN Approval - Internal</v>
          </cell>
          <cell r="D289">
            <v>35</v>
          </cell>
          <cell r="E289" t="str">
            <v>APPROVED</v>
          </cell>
          <cell r="F289">
            <v>43282</v>
          </cell>
          <cell r="G289">
            <v>43982</v>
          </cell>
          <cell r="H289">
            <v>51129.06</v>
          </cell>
          <cell r="I289" t="str">
            <v>FIN Submission</v>
          </cell>
          <cell r="J289">
            <v>43993</v>
          </cell>
        </row>
        <row r="290">
          <cell r="A290" t="str">
            <v>C0005040</v>
          </cell>
          <cell r="B290" t="str">
            <v>T-2V-T41 Refurb and Support Str Rep</v>
          </cell>
          <cell r="C290" t="str">
            <v>FIN Approval - Internal</v>
          </cell>
          <cell r="D290">
            <v>35</v>
          </cell>
          <cell r="E290" t="str">
            <v>APPROVED</v>
          </cell>
          <cell r="F290">
            <v>43343</v>
          </cell>
          <cell r="G290">
            <v>43982</v>
          </cell>
          <cell r="H290">
            <v>165302.99</v>
          </cell>
          <cell r="I290" t="str">
            <v>FIN Submission</v>
          </cell>
          <cell r="J290">
            <v>43993</v>
          </cell>
        </row>
        <row r="291">
          <cell r="A291" t="str">
            <v>49470-SH53</v>
          </cell>
          <cell r="B291" t="str">
            <v>POA Boiler Arrowhead Replacement</v>
          </cell>
          <cell r="C291" t="str">
            <v>FIN Approval - Internal</v>
          </cell>
          <cell r="D291">
            <v>47</v>
          </cell>
          <cell r="E291" t="str">
            <v>APPROVED</v>
          </cell>
          <cell r="F291">
            <v>42935</v>
          </cell>
          <cell r="G291">
            <v>44196</v>
          </cell>
          <cell r="H291">
            <v>243846.12</v>
          </cell>
          <cell r="I291" t="str">
            <v>FIN Submission</v>
          </cell>
          <cell r="J291">
            <v>43993</v>
          </cell>
        </row>
        <row r="292">
          <cell r="A292" t="str">
            <v>49880-P112</v>
          </cell>
          <cell r="B292" t="str">
            <v>Meter Shop Test Console Replacement</v>
          </cell>
          <cell r="C292" t="str">
            <v>FIN Approval - Internal</v>
          </cell>
          <cell r="D292">
            <v>48</v>
          </cell>
          <cell r="E292" t="str">
            <v>APPROVED</v>
          </cell>
          <cell r="F292">
            <v>43039</v>
          </cell>
          <cell r="G292">
            <v>43982</v>
          </cell>
          <cell r="H292">
            <v>400133.46</v>
          </cell>
          <cell r="I292" t="str">
            <v>FIN Submission</v>
          </cell>
          <cell r="J292">
            <v>43993</v>
          </cell>
        </row>
        <row r="293">
          <cell r="A293" t="str">
            <v>49992-T938</v>
          </cell>
          <cell r="B293" t="str">
            <v>2017 Transmission ROW Widening</v>
          </cell>
          <cell r="C293" t="str">
            <v>FIN Approval - Internal</v>
          </cell>
          <cell r="D293">
            <v>49</v>
          </cell>
          <cell r="E293" t="str">
            <v>APPROVED</v>
          </cell>
          <cell r="F293">
            <v>42736</v>
          </cell>
          <cell r="G293">
            <v>43982</v>
          </cell>
          <cell r="H293">
            <v>5494422.6799999997</v>
          </cell>
          <cell r="I293" t="str">
            <v>FIN Submission</v>
          </cell>
          <cell r="J293">
            <v>43993</v>
          </cell>
        </row>
        <row r="294">
          <cell r="A294" t="str">
            <v>49876-P119</v>
          </cell>
          <cell r="B294" t="str">
            <v>Real Time Economic Dispatch</v>
          </cell>
          <cell r="C294" t="str">
            <v>FIN Approval - Internal</v>
          </cell>
          <cell r="D294">
            <v>50</v>
          </cell>
          <cell r="E294" t="str">
            <v>APPROVED</v>
          </cell>
          <cell r="F294">
            <v>43190</v>
          </cell>
          <cell r="G294">
            <v>43982</v>
          </cell>
          <cell r="H294">
            <v>728743.51</v>
          </cell>
          <cell r="I294" t="str">
            <v>FIN Submission</v>
          </cell>
          <cell r="J294">
            <v>43993</v>
          </cell>
        </row>
        <row r="295">
          <cell r="A295" t="str">
            <v>49869-SH05</v>
          </cell>
          <cell r="B295" t="str">
            <v>ICP UU Armour Stone Replacement</v>
          </cell>
          <cell r="C295" t="str">
            <v>FIN Approval - Internal</v>
          </cell>
          <cell r="D295">
            <v>52</v>
          </cell>
          <cell r="E295" t="str">
            <v>APPROVED</v>
          </cell>
          <cell r="F295">
            <v>43006</v>
          </cell>
          <cell r="G295">
            <v>44166</v>
          </cell>
          <cell r="H295">
            <v>2945257.95</v>
          </cell>
          <cell r="I295" t="str">
            <v>FIN Submission</v>
          </cell>
          <cell r="J295">
            <v>43993</v>
          </cell>
        </row>
        <row r="296">
          <cell r="A296" t="str">
            <v>49442-SH36</v>
          </cell>
          <cell r="B296" t="str">
            <v>LIN Facilities Upgrade</v>
          </cell>
          <cell r="C296" t="str">
            <v>FIN Approval - Internal</v>
          </cell>
          <cell r="D296">
            <v>53</v>
          </cell>
          <cell r="E296" t="str">
            <v>APPROVED</v>
          </cell>
          <cell r="F296">
            <v>42995</v>
          </cell>
          <cell r="G296">
            <v>44182</v>
          </cell>
          <cell r="H296">
            <v>117266.71</v>
          </cell>
          <cell r="I296" t="str">
            <v>FIN Submission</v>
          </cell>
          <cell r="J296">
            <v>43993</v>
          </cell>
        </row>
        <row r="297">
          <cell r="A297" t="str">
            <v>49495-SI58</v>
          </cell>
          <cell r="B297" t="str">
            <v>POA 4160v Motor Refurbishment</v>
          </cell>
          <cell r="C297" t="str">
            <v>FIN Approval - Internal</v>
          </cell>
          <cell r="D297">
            <v>53</v>
          </cell>
          <cell r="E297" t="str">
            <v>APPROVED</v>
          </cell>
          <cell r="F297">
            <v>42938</v>
          </cell>
          <cell r="G297">
            <v>44195</v>
          </cell>
          <cell r="H297">
            <v>55323.22</v>
          </cell>
          <cell r="I297" t="str">
            <v>FIN Submission</v>
          </cell>
          <cell r="J297">
            <v>43993</v>
          </cell>
        </row>
        <row r="298">
          <cell r="A298" t="str">
            <v>48070-P991</v>
          </cell>
          <cell r="B298" t="str">
            <v>GIC Study Software</v>
          </cell>
          <cell r="C298" t="str">
            <v>FIN Approval - Internal</v>
          </cell>
          <cell r="D298">
            <v>55</v>
          </cell>
          <cell r="E298" t="str">
            <v>APPROVED</v>
          </cell>
          <cell r="F298">
            <v>42794</v>
          </cell>
          <cell r="G298">
            <v>42977</v>
          </cell>
          <cell r="H298">
            <v>69859.48</v>
          </cell>
          <cell r="I298" t="str">
            <v>FIN Submission</v>
          </cell>
          <cell r="J298">
            <v>43993</v>
          </cell>
        </row>
        <row r="299">
          <cell r="A299" t="str">
            <v>48514-SF46</v>
          </cell>
          <cell r="B299" t="str">
            <v xml:space="preserve">LIN UU Coal Truck Scale </v>
          </cell>
          <cell r="C299" t="str">
            <v>FIN Approval - Internal</v>
          </cell>
          <cell r="D299">
            <v>56</v>
          </cell>
          <cell r="E299" t="str">
            <v>APPROVED</v>
          </cell>
          <cell r="F299">
            <v>42835</v>
          </cell>
          <cell r="G299">
            <v>44196</v>
          </cell>
          <cell r="H299">
            <v>330164.8</v>
          </cell>
          <cell r="I299" t="str">
            <v>FIN Submission</v>
          </cell>
          <cell r="J299">
            <v>43993</v>
          </cell>
        </row>
        <row r="300">
          <cell r="A300" t="str">
            <v>49316</v>
          </cell>
          <cell r="B300" t="str">
            <v>TUC3 CEMS Replacement U&amp;U</v>
          </cell>
          <cell r="C300" t="str">
            <v>FIN Approval - Internal</v>
          </cell>
          <cell r="D300">
            <v>57</v>
          </cell>
          <cell r="E300" t="str">
            <v>APPROVED</v>
          </cell>
          <cell r="F300">
            <v>43524</v>
          </cell>
          <cell r="G300">
            <v>43981</v>
          </cell>
          <cell r="H300">
            <v>467355.76</v>
          </cell>
          <cell r="I300" t="str">
            <v>FIN Submission</v>
          </cell>
          <cell r="J300">
            <v>43993</v>
          </cell>
        </row>
        <row r="301">
          <cell r="A301" t="str">
            <v>47931-SF81</v>
          </cell>
          <cell r="B301" t="str">
            <v>POA Coal System Guard Upgrd Phase 2</v>
          </cell>
          <cell r="C301" t="str">
            <v>FIN Approval - Internal</v>
          </cell>
          <cell r="D301">
            <v>60</v>
          </cell>
          <cell r="E301" t="str">
            <v>APPROVED</v>
          </cell>
          <cell r="F301">
            <v>42722</v>
          </cell>
          <cell r="G301">
            <v>44183</v>
          </cell>
          <cell r="H301">
            <v>79766.570000000007</v>
          </cell>
          <cell r="I301" t="str">
            <v>FIN Submission</v>
          </cell>
          <cell r="J301">
            <v>43993</v>
          </cell>
        </row>
        <row r="302">
          <cell r="A302" t="str">
            <v>47874-SG25</v>
          </cell>
          <cell r="B302" t="str">
            <v>LIN Ash Scale Replacement</v>
          </cell>
          <cell r="C302" t="str">
            <v>FIN Approval - Internal</v>
          </cell>
          <cell r="D302">
            <v>67</v>
          </cell>
          <cell r="E302" t="str">
            <v>APPROVED</v>
          </cell>
          <cell r="F302">
            <v>43036</v>
          </cell>
          <cell r="G302">
            <v>44196</v>
          </cell>
          <cell r="H302">
            <v>520573.44</v>
          </cell>
          <cell r="I302" t="str">
            <v>FIN Submission</v>
          </cell>
          <cell r="J302">
            <v>43993</v>
          </cell>
        </row>
        <row r="303">
          <cell r="A303" t="str">
            <v>46691-P949</v>
          </cell>
          <cell r="B303" t="str">
            <v>T&amp;D Inspection Infrastructure Add'n</v>
          </cell>
          <cell r="C303" t="str">
            <v>FIN Approval - Internal</v>
          </cell>
          <cell r="D303">
            <v>69</v>
          </cell>
          <cell r="E303" t="str">
            <v>APPROVED</v>
          </cell>
          <cell r="F303">
            <v>42400</v>
          </cell>
          <cell r="G303">
            <v>42643</v>
          </cell>
          <cell r="H303">
            <v>239336.12</v>
          </cell>
          <cell r="I303" t="str">
            <v>FIN Submission</v>
          </cell>
          <cell r="J303">
            <v>43993</v>
          </cell>
        </row>
        <row r="304">
          <cell r="A304" t="str">
            <v>C0021866</v>
          </cell>
          <cell r="B304" t="str">
            <v>TUC2 Boiler Bottom Casing Replaceme</v>
          </cell>
          <cell r="C304" t="str">
            <v>FIN Approval - Internal</v>
          </cell>
          <cell r="D304">
            <v>10</v>
          </cell>
          <cell r="E304" t="str">
            <v>APPROVED</v>
          </cell>
          <cell r="F304">
            <v>43728</v>
          </cell>
          <cell r="G304">
            <v>43981</v>
          </cell>
          <cell r="H304">
            <v>272500.90000000002</v>
          </cell>
          <cell r="I304" t="str">
            <v>FIN Submission</v>
          </cell>
          <cell r="J304">
            <v>43976</v>
          </cell>
        </row>
        <row r="305">
          <cell r="A305" t="str">
            <v>C0009538</v>
          </cell>
          <cell r="B305" t="str">
            <v>POA UU Diesel Generator Refurb</v>
          </cell>
          <cell r="C305" t="str">
            <v>FIN Approval - Internal</v>
          </cell>
          <cell r="D305">
            <v>12</v>
          </cell>
          <cell r="E305" t="str">
            <v>APPROVED</v>
          </cell>
          <cell r="F305">
            <v>43327</v>
          </cell>
          <cell r="G305">
            <v>43463</v>
          </cell>
          <cell r="H305">
            <v>56299.96</v>
          </cell>
          <cell r="I305" t="str">
            <v>FIN Submission</v>
          </cell>
          <cell r="J305">
            <v>43976</v>
          </cell>
        </row>
        <row r="306">
          <cell r="A306" t="str">
            <v>C0014500</v>
          </cell>
          <cell r="B306" t="str">
            <v>TUC2 South Boiler Feedwater Pump Mo</v>
          </cell>
          <cell r="C306" t="str">
            <v>FIN Approval - Internal</v>
          </cell>
          <cell r="D306">
            <v>14</v>
          </cell>
          <cell r="E306" t="str">
            <v>APPROVED</v>
          </cell>
          <cell r="F306">
            <v>43524</v>
          </cell>
          <cell r="G306">
            <v>43951</v>
          </cell>
          <cell r="H306">
            <v>210555.18</v>
          </cell>
          <cell r="I306" t="str">
            <v>FIN Submission</v>
          </cell>
          <cell r="J306">
            <v>43976</v>
          </cell>
        </row>
        <row r="307">
          <cell r="A307" t="str">
            <v>C0009165</v>
          </cell>
          <cell r="B307" t="str">
            <v>TUC Instrument Air Compressor Repla</v>
          </cell>
          <cell r="C307" t="str">
            <v>FIN Approval - Internal</v>
          </cell>
          <cell r="D307">
            <v>20</v>
          </cell>
          <cell r="E307" t="str">
            <v>APPROVED</v>
          </cell>
          <cell r="F307">
            <v>43449</v>
          </cell>
          <cell r="G307">
            <v>43920</v>
          </cell>
          <cell r="H307">
            <v>200451.94</v>
          </cell>
          <cell r="I307" t="str">
            <v>FIN Submission</v>
          </cell>
          <cell r="J307">
            <v>43976</v>
          </cell>
        </row>
        <row r="308">
          <cell r="A308" t="str">
            <v>52197</v>
          </cell>
          <cell r="B308" t="str">
            <v>TUC2 Main Feedwater Control Valve R</v>
          </cell>
          <cell r="C308" t="str">
            <v>FIN Approval - Internal</v>
          </cell>
          <cell r="D308">
            <v>33</v>
          </cell>
          <cell r="E308" t="str">
            <v>APPROVED</v>
          </cell>
          <cell r="F308">
            <v>43339</v>
          </cell>
          <cell r="G308">
            <v>43920</v>
          </cell>
          <cell r="H308">
            <v>211892.17</v>
          </cell>
          <cell r="I308" t="str">
            <v>FIN Submission</v>
          </cell>
          <cell r="J308">
            <v>43976</v>
          </cell>
        </row>
        <row r="309">
          <cell r="A309" t="str">
            <v>49873-SI37</v>
          </cell>
          <cell r="B309" t="str">
            <v>LIN Seaweed Picker Upgrade</v>
          </cell>
          <cell r="C309" t="str">
            <v>FIN Approval - Internal</v>
          </cell>
          <cell r="D309">
            <v>40</v>
          </cell>
          <cell r="E309" t="str">
            <v>APPROVED</v>
          </cell>
          <cell r="F309">
            <v>42982</v>
          </cell>
          <cell r="G309">
            <v>43465</v>
          </cell>
          <cell r="H309">
            <v>116481.66</v>
          </cell>
          <cell r="I309" t="str">
            <v>FIN Submission</v>
          </cell>
          <cell r="J309">
            <v>43976</v>
          </cell>
        </row>
        <row r="310">
          <cell r="A310" t="str">
            <v>49878-T937</v>
          </cell>
          <cell r="B310" t="str">
            <v>2017 Substation Insulator Replace</v>
          </cell>
          <cell r="C310" t="str">
            <v>FIN Approval - Internal</v>
          </cell>
          <cell r="D310">
            <v>42</v>
          </cell>
          <cell r="E310" t="str">
            <v>APPROVED</v>
          </cell>
          <cell r="F310">
            <v>43069</v>
          </cell>
          <cell r="G310">
            <v>43982</v>
          </cell>
          <cell r="H310">
            <v>353314.79</v>
          </cell>
          <cell r="I310" t="str">
            <v>FIN Submission</v>
          </cell>
          <cell r="J310">
            <v>43976</v>
          </cell>
        </row>
        <row r="311">
          <cell r="A311" t="str">
            <v>49456-SI32</v>
          </cell>
          <cell r="B311" t="str">
            <v>LIN1 Electric Motor Refurbishment</v>
          </cell>
          <cell r="C311" t="str">
            <v>FIN Approval - Internal</v>
          </cell>
          <cell r="D311">
            <v>45</v>
          </cell>
          <cell r="E311" t="str">
            <v>APPROVED</v>
          </cell>
          <cell r="F311">
            <v>43086</v>
          </cell>
          <cell r="G311">
            <v>43465</v>
          </cell>
          <cell r="H311">
            <v>43566.49</v>
          </cell>
          <cell r="I311" t="str">
            <v>FIN Submission</v>
          </cell>
          <cell r="J311">
            <v>43976</v>
          </cell>
        </row>
        <row r="312">
          <cell r="A312" t="str">
            <v>49693-SI65</v>
          </cell>
          <cell r="B312" t="str">
            <v>TUC HFO Tank Dyke Piping Refurb</v>
          </cell>
          <cell r="C312" t="str">
            <v>FIN Approval - Internal</v>
          </cell>
          <cell r="D312">
            <v>45</v>
          </cell>
          <cell r="E312" t="str">
            <v>APPROVED</v>
          </cell>
          <cell r="F312">
            <v>43099</v>
          </cell>
          <cell r="G312">
            <v>43921</v>
          </cell>
          <cell r="H312">
            <v>884473.38</v>
          </cell>
          <cell r="I312" t="str">
            <v>FIN Submission</v>
          </cell>
          <cell r="J312">
            <v>43976</v>
          </cell>
        </row>
        <row r="313">
          <cell r="A313" t="str">
            <v>49481-SI55</v>
          </cell>
          <cell r="B313" t="str">
            <v>POA Plant Access Replacement</v>
          </cell>
          <cell r="C313" t="str">
            <v>FIN Approval - Internal</v>
          </cell>
          <cell r="D313">
            <v>46</v>
          </cell>
          <cell r="E313" t="str">
            <v>APPROVED</v>
          </cell>
          <cell r="F313">
            <v>43028</v>
          </cell>
          <cell r="G313">
            <v>43454</v>
          </cell>
          <cell r="H313">
            <v>103507.46</v>
          </cell>
          <cell r="I313" t="str">
            <v>FIN Submission</v>
          </cell>
          <cell r="J313">
            <v>43976</v>
          </cell>
        </row>
        <row r="314">
          <cell r="A314" t="str">
            <v>49454-SH51</v>
          </cell>
          <cell r="B314" t="str">
            <v>LIN3 Gen. Bus Duct Temp. Sensors</v>
          </cell>
          <cell r="C314" t="str">
            <v>FIN Approval - Internal</v>
          </cell>
          <cell r="D314">
            <v>47</v>
          </cell>
          <cell r="E314" t="str">
            <v>APPROVED</v>
          </cell>
          <cell r="F314">
            <v>43207</v>
          </cell>
          <cell r="G314">
            <v>43830</v>
          </cell>
          <cell r="H314">
            <v>74774.62</v>
          </cell>
          <cell r="I314" t="str">
            <v>FIN Submission</v>
          </cell>
          <cell r="J314">
            <v>43976</v>
          </cell>
        </row>
        <row r="315">
          <cell r="A315" t="str">
            <v>49211-SG58</v>
          </cell>
          <cell r="B315" t="str">
            <v>POA UU SA Compressor Controller Upg</v>
          </cell>
          <cell r="C315" t="str">
            <v>FIN Approval - Internal</v>
          </cell>
          <cell r="D315">
            <v>47</v>
          </cell>
          <cell r="E315" t="str">
            <v>APPROVED</v>
          </cell>
          <cell r="F315">
            <v>42926</v>
          </cell>
          <cell r="G315">
            <v>43465</v>
          </cell>
          <cell r="H315">
            <v>252866.01</v>
          </cell>
          <cell r="I315" t="str">
            <v>FIN Submission</v>
          </cell>
          <cell r="J315">
            <v>43976</v>
          </cell>
        </row>
        <row r="316">
          <cell r="A316" t="str">
            <v>49379-T917</v>
          </cell>
          <cell r="B316" t="str">
            <v>L6527 Replacements and Upgrades</v>
          </cell>
          <cell r="C316" t="str">
            <v>FIN Approval - Internal</v>
          </cell>
          <cell r="D316">
            <v>48</v>
          </cell>
          <cell r="E316" t="str">
            <v>APPROVED</v>
          </cell>
          <cell r="F316">
            <v>43069</v>
          </cell>
          <cell r="G316">
            <v>43982</v>
          </cell>
          <cell r="H316">
            <v>84560.4</v>
          </cell>
          <cell r="I316" t="str">
            <v>FIN Submission</v>
          </cell>
          <cell r="J316">
            <v>43976</v>
          </cell>
        </row>
        <row r="317">
          <cell r="A317" t="str">
            <v>49278-SH91</v>
          </cell>
          <cell r="B317" t="str">
            <v>LIN1 UU Run-Up System Updates</v>
          </cell>
          <cell r="C317" t="str">
            <v>FIN Approval - Internal</v>
          </cell>
          <cell r="D317">
            <v>49</v>
          </cell>
          <cell r="E317" t="str">
            <v>APPROVED</v>
          </cell>
          <cell r="F317">
            <v>42916</v>
          </cell>
          <cell r="G317">
            <v>43465</v>
          </cell>
          <cell r="H317">
            <v>61158.27</v>
          </cell>
          <cell r="I317" t="str">
            <v>FIN Submission</v>
          </cell>
          <cell r="J317">
            <v>43976</v>
          </cell>
        </row>
        <row r="318">
          <cell r="A318" t="str">
            <v>49663-SI45</v>
          </cell>
          <cell r="B318" t="str">
            <v>TUC Nitrogen Gas Generator</v>
          </cell>
          <cell r="C318" t="str">
            <v>FIN Approval - Internal</v>
          </cell>
          <cell r="D318">
            <v>50</v>
          </cell>
          <cell r="E318" t="str">
            <v>APPROVED</v>
          </cell>
          <cell r="F318">
            <v>43524</v>
          </cell>
          <cell r="G318">
            <v>43981</v>
          </cell>
          <cell r="H318">
            <v>51413.440000000002</v>
          </cell>
          <cell r="I318" t="str">
            <v>FIN Submission</v>
          </cell>
          <cell r="J318">
            <v>43976</v>
          </cell>
        </row>
        <row r="319">
          <cell r="A319" t="str">
            <v>49375-T914</v>
          </cell>
          <cell r="B319" t="str">
            <v>L6003 Replacements and Upgrades</v>
          </cell>
          <cell r="C319" t="str">
            <v>FIN Approval - Internal</v>
          </cell>
          <cell r="D319">
            <v>51</v>
          </cell>
          <cell r="E319" t="str">
            <v>APPROVED</v>
          </cell>
          <cell r="F319">
            <v>43008</v>
          </cell>
          <cell r="G319">
            <v>43982</v>
          </cell>
          <cell r="H319">
            <v>254587.16</v>
          </cell>
          <cell r="I319" t="str">
            <v>FIN Submission</v>
          </cell>
          <cell r="J319">
            <v>43976</v>
          </cell>
        </row>
        <row r="320">
          <cell r="A320" t="str">
            <v>45350-D531</v>
          </cell>
          <cell r="B320" t="str">
            <v>Evans Island</v>
          </cell>
          <cell r="C320" t="str">
            <v>FIN Approval - Internal</v>
          </cell>
          <cell r="D320">
            <v>52</v>
          </cell>
          <cell r="E320" t="str">
            <v>APPROVED</v>
          </cell>
          <cell r="F320">
            <v>41789</v>
          </cell>
          <cell r="G320">
            <v>43921</v>
          </cell>
          <cell r="H320">
            <v>45252.24</v>
          </cell>
          <cell r="I320" t="str">
            <v>FIN Submission</v>
          </cell>
          <cell r="J320">
            <v>43976</v>
          </cell>
        </row>
        <row r="321">
          <cell r="A321" t="str">
            <v>47837-SH22</v>
          </cell>
          <cell r="B321" t="str">
            <v>ICP RailCenter FireSys. WaterSup</v>
          </cell>
          <cell r="C321" t="str">
            <v>FIN Approval - Internal</v>
          </cell>
          <cell r="D321">
            <v>58</v>
          </cell>
          <cell r="E321" t="str">
            <v>APPROVED</v>
          </cell>
          <cell r="F321">
            <v>42825</v>
          </cell>
          <cell r="G321">
            <v>42978</v>
          </cell>
          <cell r="H321">
            <v>8851.44</v>
          </cell>
          <cell r="I321" t="str">
            <v>FIN Submission</v>
          </cell>
          <cell r="J321">
            <v>43976</v>
          </cell>
        </row>
        <row r="322">
          <cell r="A322" t="str">
            <v>48591-T894</v>
          </cell>
          <cell r="B322" t="str">
            <v>L5003 Replacements and Upgrades</v>
          </cell>
          <cell r="C322" t="str">
            <v>FIN Approval - Internal</v>
          </cell>
          <cell r="D322">
            <v>58</v>
          </cell>
          <cell r="E322" t="str">
            <v>APPROVED</v>
          </cell>
          <cell r="F322">
            <v>43677</v>
          </cell>
          <cell r="G322">
            <v>43982</v>
          </cell>
          <cell r="H322">
            <v>103296.81</v>
          </cell>
          <cell r="I322" t="str">
            <v>FIN Submission</v>
          </cell>
          <cell r="J322">
            <v>43976</v>
          </cell>
        </row>
        <row r="323">
          <cell r="A323" t="str">
            <v>47910-P976</v>
          </cell>
          <cell r="B323" t="str">
            <v>Aspen One-Liner Upgrade</v>
          </cell>
          <cell r="C323" t="str">
            <v>FIN Approval - Internal</v>
          </cell>
          <cell r="D323">
            <v>60</v>
          </cell>
          <cell r="E323" t="str">
            <v>APPROVED</v>
          </cell>
          <cell r="F323">
            <v>43100</v>
          </cell>
          <cell r="G323">
            <v>43982</v>
          </cell>
          <cell r="H323">
            <v>52313.72</v>
          </cell>
          <cell r="I323" t="str">
            <v>FIN Submission</v>
          </cell>
          <cell r="J323">
            <v>43976</v>
          </cell>
        </row>
        <row r="324">
          <cell r="A324" t="str">
            <v>47499-SH13</v>
          </cell>
          <cell r="B324" t="str">
            <v>LIN Precip Fire Detection Upgrade</v>
          </cell>
          <cell r="C324" t="str">
            <v>FIN Approval - Internal</v>
          </cell>
          <cell r="D324">
            <v>66</v>
          </cell>
          <cell r="E324" t="str">
            <v>APPROVED</v>
          </cell>
          <cell r="F324">
            <v>42732</v>
          </cell>
          <cell r="G324">
            <v>43827</v>
          </cell>
          <cell r="H324">
            <v>42240.31</v>
          </cell>
          <cell r="I324" t="str">
            <v>FIN Submission</v>
          </cell>
          <cell r="J324">
            <v>43976</v>
          </cell>
        </row>
        <row r="325">
          <cell r="A325" t="str">
            <v>44979-T836</v>
          </cell>
          <cell r="B325" t="str">
            <v>L5527 Structure Replacements</v>
          </cell>
          <cell r="C325" t="str">
            <v>FIN Approval - Internal</v>
          </cell>
          <cell r="D325">
            <v>97</v>
          </cell>
          <cell r="E325" t="str">
            <v>APPROVED</v>
          </cell>
          <cell r="F325">
            <v>42430</v>
          </cell>
          <cell r="G325">
            <v>44012</v>
          </cell>
          <cell r="H325">
            <v>756962.24</v>
          </cell>
          <cell r="I325" t="str">
            <v>FIN Submission</v>
          </cell>
          <cell r="J325">
            <v>43976</v>
          </cell>
        </row>
        <row r="326">
          <cell r="A326" t="str">
            <v>43144-SB41</v>
          </cell>
          <cell r="B326" t="str">
            <v>POA - Plant Access Improvements</v>
          </cell>
          <cell r="C326" t="str">
            <v>FIN Approval - Internal</v>
          </cell>
          <cell r="D326">
            <v>106</v>
          </cell>
          <cell r="E326" t="str">
            <v>APPROVED</v>
          </cell>
          <cell r="F326">
            <v>42704</v>
          </cell>
          <cell r="G326">
            <v>43465</v>
          </cell>
          <cell r="H326">
            <v>189177.58</v>
          </cell>
          <cell r="I326" t="str">
            <v>FIN Submission</v>
          </cell>
          <cell r="J326">
            <v>43976</v>
          </cell>
        </row>
        <row r="327">
          <cell r="A327" t="str">
            <v>43672-T779</v>
          </cell>
          <cell r="B327" t="str">
            <v>82V-T1 Transformer Rewind</v>
          </cell>
          <cell r="C327" t="str">
            <v>FIN Approval - Internal</v>
          </cell>
          <cell r="D327">
            <v>111</v>
          </cell>
          <cell r="E327" t="str">
            <v>APPROVED</v>
          </cell>
          <cell r="F327">
            <v>42246</v>
          </cell>
          <cell r="G327">
            <v>43008</v>
          </cell>
          <cell r="H327">
            <v>1756776.09</v>
          </cell>
          <cell r="I327" t="str">
            <v>FIN Submission</v>
          </cell>
          <cell r="J327">
            <v>43976</v>
          </cell>
        </row>
        <row r="328">
          <cell r="A328" t="str">
            <v>42943-SC74</v>
          </cell>
          <cell r="B328" t="str">
            <v>TUC2 - T-G Areas Fire Protection</v>
          </cell>
          <cell r="C328" t="str">
            <v>FIN Approval - Internal</v>
          </cell>
          <cell r="D328">
            <v>112</v>
          </cell>
          <cell r="E328" t="str">
            <v>APPROVED</v>
          </cell>
          <cell r="F328">
            <v>43396</v>
          </cell>
          <cell r="G328">
            <v>43951</v>
          </cell>
          <cell r="H328">
            <v>415321.84</v>
          </cell>
          <cell r="I328" t="str">
            <v>FIN Submission</v>
          </cell>
          <cell r="J328">
            <v>43976</v>
          </cell>
        </row>
        <row r="329">
          <cell r="A329" t="str">
            <v>C0023422</v>
          </cell>
          <cell r="B329" t="str">
            <v>TUC1 Boiler Cyclone Tubing Refurbis</v>
          </cell>
          <cell r="C329" t="str">
            <v>FIN Approval - Internal</v>
          </cell>
          <cell r="D329">
            <v>4</v>
          </cell>
          <cell r="E329" t="str">
            <v>APPROVED</v>
          </cell>
          <cell r="F329">
            <v>43784</v>
          </cell>
          <cell r="G329">
            <v>43890</v>
          </cell>
          <cell r="H329">
            <v>243113.81</v>
          </cell>
          <cell r="I329" t="str">
            <v>FIN Submission</v>
          </cell>
          <cell r="J329">
            <v>43942</v>
          </cell>
        </row>
        <row r="330">
          <cell r="A330" t="str">
            <v>C0023742</v>
          </cell>
          <cell r="B330" t="str">
            <v>TUC1 Boiler Cyclone Tubing Refurbis</v>
          </cell>
          <cell r="C330" t="str">
            <v>FIN Approval - Internal</v>
          </cell>
          <cell r="D330">
            <v>4</v>
          </cell>
          <cell r="E330" t="str">
            <v>APPROVED</v>
          </cell>
          <cell r="F330">
            <v>43799</v>
          </cell>
          <cell r="G330">
            <v>43920</v>
          </cell>
          <cell r="H330">
            <v>289957.65999999997</v>
          </cell>
          <cell r="I330" t="str">
            <v>FIN Submission</v>
          </cell>
          <cell r="J330">
            <v>43942</v>
          </cell>
        </row>
        <row r="331">
          <cell r="A331" t="str">
            <v>C0024742</v>
          </cell>
          <cell r="B331" t="str">
            <v>TUC1 LP Feedwater Heaters Refurbish</v>
          </cell>
          <cell r="C331" t="str">
            <v>FIN Approval - Internal</v>
          </cell>
          <cell r="D331">
            <v>4</v>
          </cell>
          <cell r="E331" t="str">
            <v>APPROVED</v>
          </cell>
          <cell r="F331">
            <v>43830</v>
          </cell>
          <cell r="G331">
            <v>43920</v>
          </cell>
          <cell r="H331">
            <v>58593.34</v>
          </cell>
          <cell r="I331" t="str">
            <v>FIN Submission</v>
          </cell>
          <cell r="J331">
            <v>43942</v>
          </cell>
        </row>
        <row r="332">
          <cell r="A332" t="str">
            <v>C0018665</v>
          </cell>
          <cell r="B332" t="str">
            <v>TUC Facility Infrastructure Upgrade</v>
          </cell>
          <cell r="C332" t="str">
            <v>FIN Approval - Internal</v>
          </cell>
          <cell r="D332">
            <v>11</v>
          </cell>
          <cell r="E332" t="str">
            <v>APPROVED</v>
          </cell>
          <cell r="F332">
            <v>43815</v>
          </cell>
          <cell r="G332">
            <v>43920</v>
          </cell>
          <cell r="H332">
            <v>116180.85</v>
          </cell>
          <cell r="I332" t="str">
            <v>FIN Submission</v>
          </cell>
          <cell r="J332">
            <v>43942</v>
          </cell>
        </row>
        <row r="333">
          <cell r="A333" t="str">
            <v>C0017958</v>
          </cell>
          <cell r="B333" t="str">
            <v>TUC Auxiliary Boiler Refurbishment</v>
          </cell>
          <cell r="C333" t="str">
            <v>FIN Approval - Internal</v>
          </cell>
          <cell r="D333">
            <v>12</v>
          </cell>
          <cell r="E333" t="str">
            <v>APPROVED</v>
          </cell>
          <cell r="F333">
            <v>43753</v>
          </cell>
          <cell r="G333">
            <v>43890</v>
          </cell>
          <cell r="H333">
            <v>36442.25</v>
          </cell>
          <cell r="I333" t="str">
            <v>FIN Submission</v>
          </cell>
          <cell r="J333">
            <v>43942</v>
          </cell>
        </row>
        <row r="334">
          <cell r="A334" t="str">
            <v>C0018667</v>
          </cell>
          <cell r="B334" t="str">
            <v>TUC Wharf Fire Line Replacement</v>
          </cell>
          <cell r="C334" t="str">
            <v>FIN Approval - Internal</v>
          </cell>
          <cell r="D334">
            <v>12</v>
          </cell>
          <cell r="E334" t="str">
            <v>APPROVED</v>
          </cell>
          <cell r="F334">
            <v>43814</v>
          </cell>
          <cell r="G334">
            <v>43920</v>
          </cell>
          <cell r="H334">
            <v>90822.01</v>
          </cell>
          <cell r="I334" t="str">
            <v>FIN Submission</v>
          </cell>
          <cell r="J334">
            <v>43942</v>
          </cell>
        </row>
        <row r="335">
          <cell r="A335" t="str">
            <v>C0013859</v>
          </cell>
          <cell r="B335" t="str">
            <v>TUC1 Excitation System Refurbishmen</v>
          </cell>
          <cell r="C335" t="str">
            <v>FIN Approval - Internal</v>
          </cell>
          <cell r="D335">
            <v>12</v>
          </cell>
          <cell r="E335" t="str">
            <v>APPROVED</v>
          </cell>
          <cell r="F335">
            <v>43511</v>
          </cell>
          <cell r="G335">
            <v>43951</v>
          </cell>
          <cell r="H335">
            <v>148157.97</v>
          </cell>
          <cell r="I335" t="str">
            <v>FIN Submission</v>
          </cell>
          <cell r="J335">
            <v>43942</v>
          </cell>
        </row>
        <row r="336">
          <cell r="A336" t="str">
            <v>C0017898</v>
          </cell>
          <cell r="B336" t="str">
            <v>TUC2 Boiler Tubing Refurbishment</v>
          </cell>
          <cell r="C336" t="str">
            <v>FIN Approval - Internal</v>
          </cell>
          <cell r="D336">
            <v>12</v>
          </cell>
          <cell r="E336" t="str">
            <v>APPROVED</v>
          </cell>
          <cell r="F336">
            <v>43640</v>
          </cell>
          <cell r="G336">
            <v>43951</v>
          </cell>
          <cell r="H336">
            <v>42767.62</v>
          </cell>
          <cell r="I336" t="str">
            <v>FIN Submission</v>
          </cell>
          <cell r="J336">
            <v>43942</v>
          </cell>
        </row>
        <row r="337">
          <cell r="A337" t="str">
            <v>C0012578</v>
          </cell>
          <cell r="B337" t="str">
            <v>TUC Handrail Upgrade</v>
          </cell>
          <cell r="C337" t="str">
            <v>FIN Approval - Internal</v>
          </cell>
          <cell r="D337">
            <v>15</v>
          </cell>
          <cell r="E337" t="str">
            <v>APPROVED</v>
          </cell>
          <cell r="F337">
            <v>43830</v>
          </cell>
          <cell r="G337">
            <v>43951</v>
          </cell>
          <cell r="H337">
            <v>182730.97</v>
          </cell>
          <cell r="I337" t="str">
            <v>FIN Submission</v>
          </cell>
          <cell r="J337">
            <v>43942</v>
          </cell>
        </row>
        <row r="338">
          <cell r="A338" t="str">
            <v>C0012659</v>
          </cell>
          <cell r="B338" t="str">
            <v>TUC Scaffolding Program 2019</v>
          </cell>
          <cell r="C338" t="str">
            <v>FIN Approval - Internal</v>
          </cell>
          <cell r="D338">
            <v>15</v>
          </cell>
          <cell r="E338" t="str">
            <v>APPROVED</v>
          </cell>
          <cell r="F338">
            <v>43784</v>
          </cell>
          <cell r="G338">
            <v>43951</v>
          </cell>
          <cell r="H338">
            <v>187238.36</v>
          </cell>
          <cell r="I338" t="str">
            <v>FIN Submission</v>
          </cell>
          <cell r="J338">
            <v>43942</v>
          </cell>
        </row>
        <row r="339">
          <cell r="A339" t="str">
            <v>C0011194</v>
          </cell>
          <cell r="B339" t="str">
            <v>CT LM6000 TUC4 HIGGOT-KANE: REPLACE</v>
          </cell>
          <cell r="C339" t="str">
            <v>FIN Approval - Internal</v>
          </cell>
          <cell r="D339">
            <v>18</v>
          </cell>
          <cell r="E339" t="str">
            <v>APPROVED</v>
          </cell>
          <cell r="F339">
            <v>43738</v>
          </cell>
          <cell r="G339">
            <v>43830</v>
          </cell>
          <cell r="H339">
            <v>126216.31</v>
          </cell>
          <cell r="I339" t="str">
            <v>FIN Submission</v>
          </cell>
          <cell r="J339">
            <v>43942</v>
          </cell>
        </row>
        <row r="340">
          <cell r="A340" t="str">
            <v>C0011193</v>
          </cell>
          <cell r="B340" t="str">
            <v>CT LM6000 TUC 5 Higgot Kane: Replac</v>
          </cell>
          <cell r="C340" t="str">
            <v>FIN Approval - Internal</v>
          </cell>
          <cell r="D340">
            <v>19</v>
          </cell>
          <cell r="E340" t="str">
            <v>APPROVED</v>
          </cell>
          <cell r="F340">
            <v>43769</v>
          </cell>
          <cell r="G340">
            <v>43830</v>
          </cell>
          <cell r="H340">
            <v>106391.51</v>
          </cell>
          <cell r="I340" t="str">
            <v>FIN Submission</v>
          </cell>
          <cell r="J340">
            <v>43942</v>
          </cell>
        </row>
        <row r="341">
          <cell r="A341" t="str">
            <v>51331-T962</v>
          </cell>
          <cell r="B341" t="str">
            <v>L-5581 Highway Shift</v>
          </cell>
          <cell r="C341" t="str">
            <v>FIN Approval - Internal</v>
          </cell>
          <cell r="D341">
            <v>36</v>
          </cell>
          <cell r="E341" t="str">
            <v>APPROVED</v>
          </cell>
          <cell r="F341">
            <v>43220</v>
          </cell>
          <cell r="G341">
            <v>43951</v>
          </cell>
          <cell r="H341">
            <v>0</v>
          </cell>
          <cell r="I341" t="str">
            <v>FIN Submission</v>
          </cell>
          <cell r="J341">
            <v>43942</v>
          </cell>
        </row>
        <row r="342">
          <cell r="A342" t="str">
            <v>50651-D786</v>
          </cell>
          <cell r="B342" t="str">
            <v>IR 510 New Victoria</v>
          </cell>
          <cell r="C342" t="str">
            <v>FIN Approval - Internal</v>
          </cell>
          <cell r="D342">
            <v>40</v>
          </cell>
          <cell r="E342" t="str">
            <v>APPROVED</v>
          </cell>
          <cell r="F342">
            <v>42977</v>
          </cell>
          <cell r="G342">
            <v>43951</v>
          </cell>
          <cell r="H342">
            <v>0</v>
          </cell>
          <cell r="I342" t="str">
            <v>FIN Submission</v>
          </cell>
          <cell r="J342">
            <v>43942</v>
          </cell>
        </row>
        <row r="343">
          <cell r="A343" t="str">
            <v>49731-SG79</v>
          </cell>
          <cell r="B343" t="str">
            <v>TUC1 Boiler Steam Drum Refurbishmen</v>
          </cell>
          <cell r="C343" t="str">
            <v>FIN Approval - Internal</v>
          </cell>
          <cell r="D343">
            <v>52</v>
          </cell>
          <cell r="E343" t="str">
            <v>APPROVED</v>
          </cell>
          <cell r="F343">
            <v>42746</v>
          </cell>
          <cell r="G343">
            <v>43951</v>
          </cell>
          <cell r="H343">
            <v>126564.83</v>
          </cell>
          <cell r="I343" t="str">
            <v>FIN Submission</v>
          </cell>
          <cell r="J343">
            <v>43942</v>
          </cell>
        </row>
        <row r="344">
          <cell r="A344" t="str">
            <v>47160-D644</v>
          </cell>
          <cell r="B344" t="str">
            <v>IR 442 Courthouse Hill Farms</v>
          </cell>
          <cell r="C344" t="str">
            <v>FIN Approval - Internal</v>
          </cell>
          <cell r="D344">
            <v>70</v>
          </cell>
          <cell r="E344" t="str">
            <v>APPROVED</v>
          </cell>
          <cell r="F344">
            <v>43465</v>
          </cell>
          <cell r="G344">
            <v>43951</v>
          </cell>
          <cell r="H344">
            <v>0</v>
          </cell>
          <cell r="I344" t="str">
            <v>FIN Submission</v>
          </cell>
          <cell r="J344">
            <v>43942</v>
          </cell>
        </row>
        <row r="345">
          <cell r="A345" t="str">
            <v>47168-D645</v>
          </cell>
          <cell r="B345" t="str">
            <v>IR 355 Gardiner Mines I</v>
          </cell>
          <cell r="C345" t="str">
            <v>FIN Approval - Internal</v>
          </cell>
          <cell r="D345">
            <v>71</v>
          </cell>
          <cell r="E345" t="str">
            <v>APPROVED</v>
          </cell>
          <cell r="F345">
            <v>42400</v>
          </cell>
          <cell r="G345">
            <v>43921</v>
          </cell>
          <cell r="H345">
            <v>0</v>
          </cell>
          <cell r="I345" t="str">
            <v>FIN Submission</v>
          </cell>
          <cell r="J345">
            <v>43942</v>
          </cell>
        </row>
        <row r="346">
          <cell r="A346" t="str">
            <v>45614-D540</v>
          </cell>
          <cell r="B346" t="str">
            <v>Whynotts Settlement IR 290</v>
          </cell>
          <cell r="C346" t="str">
            <v>FIN Approval - Internal</v>
          </cell>
          <cell r="D346">
            <v>83</v>
          </cell>
          <cell r="E346" t="str">
            <v>APPROVED</v>
          </cell>
          <cell r="F346">
            <v>41943</v>
          </cell>
          <cell r="G346">
            <v>43951</v>
          </cell>
          <cell r="H346">
            <v>0</v>
          </cell>
          <cell r="I346" t="str">
            <v>FIN Submission</v>
          </cell>
          <cell r="J346">
            <v>43942</v>
          </cell>
        </row>
        <row r="347">
          <cell r="A347" t="str">
            <v>45771-D564</v>
          </cell>
          <cell r="B347" t="str">
            <v>IR 404 Comeau's Hill</v>
          </cell>
          <cell r="C347" t="str">
            <v>FIN Approval - Internal</v>
          </cell>
          <cell r="D347">
            <v>86</v>
          </cell>
          <cell r="E347" t="str">
            <v>APPROVED</v>
          </cell>
          <cell r="F347">
            <v>42055</v>
          </cell>
          <cell r="G347">
            <v>43921</v>
          </cell>
          <cell r="H347">
            <v>0</v>
          </cell>
          <cell r="I347" t="str">
            <v>FIN Submission</v>
          </cell>
          <cell r="J347">
            <v>43942</v>
          </cell>
        </row>
        <row r="348">
          <cell r="A348" t="str">
            <v>44567-D510</v>
          </cell>
          <cell r="B348" t="str">
            <v>IR 397 Isle Madame</v>
          </cell>
          <cell r="C348" t="str">
            <v>FIN Approval - Internal</v>
          </cell>
          <cell r="D348">
            <v>96</v>
          </cell>
          <cell r="E348" t="str">
            <v>APPROVED</v>
          </cell>
          <cell r="F348">
            <v>42041</v>
          </cell>
          <cell r="G348">
            <v>43921</v>
          </cell>
          <cell r="H348">
            <v>0</v>
          </cell>
          <cell r="I348" t="str">
            <v>FIN Submission</v>
          </cell>
          <cell r="J348">
            <v>43942</v>
          </cell>
        </row>
        <row r="349">
          <cell r="A349" t="str">
            <v>44716-SE66</v>
          </cell>
          <cell r="B349" t="str">
            <v>TUC2 - North BFP Refurbishment</v>
          </cell>
          <cell r="C349" t="str">
            <v>FIN Approval - Internal</v>
          </cell>
          <cell r="D349">
            <v>100</v>
          </cell>
          <cell r="E349" t="str">
            <v>APPROVED</v>
          </cell>
          <cell r="F349">
            <v>43605</v>
          </cell>
          <cell r="G349">
            <v>43951</v>
          </cell>
          <cell r="H349">
            <v>784759.03</v>
          </cell>
          <cell r="I349" t="str">
            <v>FIN Submission</v>
          </cell>
          <cell r="J349">
            <v>43942</v>
          </cell>
        </row>
        <row r="350">
          <cell r="A350" t="str">
            <v>41432-T713</v>
          </cell>
          <cell r="B350" t="str">
            <v>L7009 Lidar Upgrades &amp; Maintenance</v>
          </cell>
          <cell r="C350" t="str">
            <v>FIN Approval - Internal</v>
          </cell>
          <cell r="D350">
            <v>141</v>
          </cell>
          <cell r="E350" t="str">
            <v>APPROVED</v>
          </cell>
          <cell r="F350">
            <v>41214</v>
          </cell>
          <cell r="G350">
            <v>43890</v>
          </cell>
          <cell r="H350">
            <v>3770099.38</v>
          </cell>
          <cell r="I350" t="str">
            <v>FIN Submission</v>
          </cell>
          <cell r="J350">
            <v>43942</v>
          </cell>
        </row>
        <row r="351">
          <cell r="A351" t="str">
            <v>C0017918</v>
          </cell>
          <cell r="B351" t="str">
            <v>TUC3 South Boiler Feed Pump Balance</v>
          </cell>
          <cell r="C351" t="str">
            <v>FIN Approval - Internal</v>
          </cell>
          <cell r="D351">
            <v>13</v>
          </cell>
          <cell r="E351" t="str">
            <v>APPROVED</v>
          </cell>
          <cell r="F351">
            <v>43671</v>
          </cell>
          <cell r="G351">
            <v>43920</v>
          </cell>
          <cell r="H351">
            <v>99467.91</v>
          </cell>
          <cell r="I351" t="str">
            <v>FIN Submission</v>
          </cell>
          <cell r="J351">
            <v>43915</v>
          </cell>
        </row>
        <row r="352">
          <cell r="A352" t="str">
            <v>C0014618</v>
          </cell>
          <cell r="B352" t="str">
            <v>CT VJ Unit 2 Generator Exciter Repa</v>
          </cell>
          <cell r="C352" t="str">
            <v>FIN Approval - Internal</v>
          </cell>
          <cell r="D352">
            <v>14</v>
          </cell>
          <cell r="E352" t="str">
            <v>APPROVED</v>
          </cell>
          <cell r="F352">
            <v>43495</v>
          </cell>
          <cell r="G352">
            <v>43646</v>
          </cell>
          <cell r="H352">
            <v>151321.74</v>
          </cell>
          <cell r="I352" t="str">
            <v>FIN Submission</v>
          </cell>
          <cell r="J352">
            <v>43915</v>
          </cell>
        </row>
        <row r="353">
          <cell r="A353" t="str">
            <v>C0009838</v>
          </cell>
          <cell r="B353" t="str">
            <v>LIN UU Instrument Air Refurb Ph I</v>
          </cell>
          <cell r="C353" t="str">
            <v>FIN Approval - Internal</v>
          </cell>
          <cell r="D353">
            <v>19</v>
          </cell>
          <cell r="E353" t="str">
            <v>APPROVED</v>
          </cell>
          <cell r="F353">
            <v>43388</v>
          </cell>
          <cell r="G353">
            <v>43617</v>
          </cell>
          <cell r="H353">
            <v>173937.01</v>
          </cell>
          <cell r="I353" t="str">
            <v>FIN Submission</v>
          </cell>
          <cell r="J353">
            <v>43915</v>
          </cell>
        </row>
        <row r="354">
          <cell r="A354" t="str">
            <v>51731-G242</v>
          </cell>
          <cell r="B354" t="str">
            <v>TUC4 UU East Gas Compressor Refurb</v>
          </cell>
          <cell r="C354" t="str">
            <v>FIN Approval - Internal</v>
          </cell>
          <cell r="D354">
            <v>31</v>
          </cell>
          <cell r="E354" t="str">
            <v>APPROVED</v>
          </cell>
          <cell r="F354">
            <v>43045</v>
          </cell>
          <cell r="G354">
            <v>43891</v>
          </cell>
          <cell r="H354">
            <v>169625.95</v>
          </cell>
          <cell r="I354" t="str">
            <v>FIN Submission</v>
          </cell>
          <cell r="J354">
            <v>43915</v>
          </cell>
        </row>
        <row r="355">
          <cell r="A355" t="str">
            <v>51798-G243</v>
          </cell>
          <cell r="B355" t="str">
            <v>TUC5 UU West Gas Compressor Refurb</v>
          </cell>
          <cell r="C355" t="str">
            <v>FIN Approval - Internal</v>
          </cell>
          <cell r="D355">
            <v>32</v>
          </cell>
          <cell r="E355" t="str">
            <v>APPROVED</v>
          </cell>
          <cell r="F355">
            <v>43060</v>
          </cell>
          <cell r="G355">
            <v>43920</v>
          </cell>
          <cell r="H355">
            <v>202411.95</v>
          </cell>
          <cell r="I355" t="str">
            <v>FIN Submission</v>
          </cell>
          <cell r="J355">
            <v>43915</v>
          </cell>
        </row>
        <row r="356">
          <cell r="A356" t="str">
            <v>52015-SJ38</v>
          </cell>
          <cell r="B356" t="str">
            <v>LIN2 UU Turbine Control Valve Refur</v>
          </cell>
          <cell r="C356" t="str">
            <v>FIN Approval - Internal</v>
          </cell>
          <cell r="D356">
            <v>34</v>
          </cell>
          <cell r="E356" t="str">
            <v>APPROVED</v>
          </cell>
          <cell r="F356">
            <v>43752</v>
          </cell>
          <cell r="G356">
            <v>43904</v>
          </cell>
          <cell r="H356">
            <v>199622.48</v>
          </cell>
          <cell r="I356" t="str">
            <v>FIN Submission</v>
          </cell>
          <cell r="J356">
            <v>43915</v>
          </cell>
        </row>
        <row r="357">
          <cell r="A357" t="str">
            <v>52321</v>
          </cell>
          <cell r="B357" t="str">
            <v>TUC3 Air Heater Refurbishment</v>
          </cell>
          <cell r="C357" t="str">
            <v>FIN Approval - Internal</v>
          </cell>
          <cell r="D357">
            <v>35</v>
          </cell>
          <cell r="E357" t="str">
            <v>APPROVED</v>
          </cell>
          <cell r="F357">
            <v>43419</v>
          </cell>
          <cell r="G357">
            <v>43920</v>
          </cell>
          <cell r="H357">
            <v>178233.55</v>
          </cell>
          <cell r="I357" t="str">
            <v>FIN Submission</v>
          </cell>
          <cell r="J357">
            <v>43915</v>
          </cell>
        </row>
        <row r="358">
          <cell r="A358" t="str">
            <v>51271-SI49</v>
          </cell>
          <cell r="B358" t="str">
            <v>TUC2 UU ESP Refurbishment</v>
          </cell>
          <cell r="C358" t="str">
            <v>FIN Approval - Internal</v>
          </cell>
          <cell r="D358">
            <v>36</v>
          </cell>
          <cell r="E358" t="str">
            <v>APPROVED</v>
          </cell>
          <cell r="F358">
            <v>42916</v>
          </cell>
          <cell r="G358">
            <v>43920</v>
          </cell>
          <cell r="H358">
            <v>94037.49</v>
          </cell>
          <cell r="I358" t="str">
            <v>FIN Submission</v>
          </cell>
          <cell r="J358">
            <v>43915</v>
          </cell>
        </row>
        <row r="359">
          <cell r="A359" t="str">
            <v>52107</v>
          </cell>
          <cell r="B359" t="str">
            <v>TUC6 CW Screen Replac</v>
          </cell>
          <cell r="C359" t="str">
            <v>FIN Approval - Internal</v>
          </cell>
          <cell r="D359">
            <v>38</v>
          </cell>
          <cell r="E359" t="str">
            <v>APPROVED</v>
          </cell>
          <cell r="F359">
            <v>43373</v>
          </cell>
          <cell r="G359">
            <v>43860</v>
          </cell>
          <cell r="H359">
            <v>1058297.6599999999</v>
          </cell>
          <cell r="I359" t="str">
            <v>FIN Submission</v>
          </cell>
          <cell r="J359">
            <v>43915</v>
          </cell>
        </row>
        <row r="360">
          <cell r="A360" t="str">
            <v>45830-H703</v>
          </cell>
          <cell r="B360" t="str">
            <v>HYD - Sandy Lake Sluice Gate Repair</v>
          </cell>
          <cell r="C360" t="str">
            <v>FIN Approval - Internal</v>
          </cell>
          <cell r="D360">
            <v>41</v>
          </cell>
          <cell r="E360" t="str">
            <v>APPROVED</v>
          </cell>
          <cell r="F360">
            <v>41912</v>
          </cell>
          <cell r="G360">
            <v>44165</v>
          </cell>
          <cell r="H360">
            <v>109878.71</v>
          </cell>
          <cell r="I360" t="str">
            <v>FIN Submission</v>
          </cell>
          <cell r="J360">
            <v>43915</v>
          </cell>
        </row>
        <row r="361">
          <cell r="A361" t="str">
            <v>50018-G222</v>
          </cell>
          <cell r="B361" t="str">
            <v>TUC5 U&amp;U CEMS Installation</v>
          </cell>
          <cell r="C361" t="str">
            <v>FIN Approval - Internal</v>
          </cell>
          <cell r="D361">
            <v>42</v>
          </cell>
          <cell r="E361" t="str">
            <v>APPROVED</v>
          </cell>
          <cell r="F361">
            <v>42879</v>
          </cell>
          <cell r="G361">
            <v>43190</v>
          </cell>
          <cell r="H361">
            <v>389755.77</v>
          </cell>
          <cell r="I361" t="str">
            <v>FIN Submission</v>
          </cell>
          <cell r="J361">
            <v>43915</v>
          </cell>
        </row>
        <row r="362">
          <cell r="A362" t="str">
            <v>46294-H718</v>
          </cell>
          <cell r="B362" t="str">
            <v>HYD - WRC1 Stator Repairs U&amp;U</v>
          </cell>
          <cell r="C362" t="str">
            <v>FIN Approval - Internal</v>
          </cell>
          <cell r="D362">
            <v>44</v>
          </cell>
          <cell r="E362" t="str">
            <v>APPROVED</v>
          </cell>
          <cell r="F362">
            <v>41882</v>
          </cell>
          <cell r="G362">
            <v>44196</v>
          </cell>
          <cell r="H362">
            <v>171587.73</v>
          </cell>
          <cell r="I362" t="str">
            <v>FIN Submission</v>
          </cell>
          <cell r="J362">
            <v>43915</v>
          </cell>
        </row>
        <row r="363">
          <cell r="A363" t="str">
            <v>49471-SH54</v>
          </cell>
          <cell r="B363" t="str">
            <v>POA Expansion Joint Replacemnt 2017</v>
          </cell>
          <cell r="C363" t="str">
            <v>FIN Approval - Internal</v>
          </cell>
          <cell r="D363">
            <v>45</v>
          </cell>
          <cell r="E363" t="str">
            <v>APPROVED</v>
          </cell>
          <cell r="F363">
            <v>42935</v>
          </cell>
          <cell r="G363">
            <v>43088</v>
          </cell>
          <cell r="H363">
            <v>183795.12</v>
          </cell>
          <cell r="I363" t="str">
            <v>FIN Submission</v>
          </cell>
          <cell r="J363">
            <v>43915</v>
          </cell>
        </row>
        <row r="364">
          <cell r="A364" t="str">
            <v>49331-SG53</v>
          </cell>
          <cell r="B364" t="str">
            <v>ICP UU Rail Track Tie Tamper</v>
          </cell>
          <cell r="C364" t="str">
            <v>FIN Approval - Internal</v>
          </cell>
          <cell r="D364">
            <v>47</v>
          </cell>
          <cell r="E364" t="str">
            <v>APPROVED</v>
          </cell>
          <cell r="F364">
            <v>42645</v>
          </cell>
          <cell r="G364">
            <v>42706</v>
          </cell>
          <cell r="H364">
            <v>25591.37</v>
          </cell>
          <cell r="I364" t="str">
            <v>FIN Submission</v>
          </cell>
          <cell r="J364">
            <v>43915</v>
          </cell>
        </row>
        <row r="365">
          <cell r="A365" t="str">
            <v>49380-T918</v>
          </cell>
          <cell r="B365" t="str">
            <v>L6545 Replacements and Upgrades</v>
          </cell>
          <cell r="C365" t="str">
            <v>FIN Approval - Internal</v>
          </cell>
          <cell r="D365">
            <v>49</v>
          </cell>
          <cell r="E365" t="str">
            <v>APPROVED</v>
          </cell>
          <cell r="F365">
            <v>43067</v>
          </cell>
          <cell r="G365">
            <v>44195</v>
          </cell>
          <cell r="H365">
            <v>56670.85</v>
          </cell>
          <cell r="I365" t="str">
            <v>FIN Submission</v>
          </cell>
          <cell r="J365">
            <v>43915</v>
          </cell>
        </row>
        <row r="366">
          <cell r="A366" t="str">
            <v>46057-SD72</v>
          </cell>
          <cell r="B366" t="str">
            <v>LIN - CW Screen Refurbishment 2015</v>
          </cell>
          <cell r="C366" t="str">
            <v>FIN Approval - Internal</v>
          </cell>
          <cell r="D366">
            <v>51</v>
          </cell>
          <cell r="E366" t="str">
            <v>APPROVED</v>
          </cell>
          <cell r="F366">
            <v>42338</v>
          </cell>
          <cell r="G366">
            <v>42947</v>
          </cell>
          <cell r="H366">
            <v>374519.59</v>
          </cell>
          <cell r="I366" t="str">
            <v>FIN Submission</v>
          </cell>
          <cell r="J366">
            <v>43915</v>
          </cell>
        </row>
        <row r="367">
          <cell r="A367" t="str">
            <v>48599-T899</v>
          </cell>
          <cell r="B367" t="str">
            <v>L5054 Replacements and Upgrades</v>
          </cell>
          <cell r="C367" t="str">
            <v>FIN Approval - Internal</v>
          </cell>
          <cell r="D367">
            <v>53</v>
          </cell>
          <cell r="E367" t="str">
            <v>APPROVED</v>
          </cell>
          <cell r="F367">
            <v>42551</v>
          </cell>
          <cell r="G367">
            <v>43921</v>
          </cell>
          <cell r="H367">
            <v>53176.18</v>
          </cell>
          <cell r="I367" t="str">
            <v>FIN Submission</v>
          </cell>
          <cell r="J367">
            <v>43915</v>
          </cell>
        </row>
        <row r="368">
          <cell r="A368" t="str">
            <v>48597-T897</v>
          </cell>
          <cell r="B368" t="str">
            <v>L5530A Replacements and Upgrades</v>
          </cell>
          <cell r="C368" t="str">
            <v>FIN Approval - Internal</v>
          </cell>
          <cell r="D368">
            <v>53</v>
          </cell>
          <cell r="E368" t="str">
            <v>APPROVED</v>
          </cell>
          <cell r="F368">
            <v>43069</v>
          </cell>
          <cell r="G368">
            <v>43921</v>
          </cell>
          <cell r="H368">
            <v>215817.67</v>
          </cell>
          <cell r="I368" t="str">
            <v>FIN Submission</v>
          </cell>
          <cell r="J368">
            <v>43915</v>
          </cell>
        </row>
        <row r="369">
          <cell r="A369" t="str">
            <v>48151-T903</v>
          </cell>
          <cell r="B369" t="str">
            <v>2016 Insulator Replacement Program</v>
          </cell>
          <cell r="C369" t="str">
            <v>FIN Approval - Internal</v>
          </cell>
          <cell r="D369">
            <v>56</v>
          </cell>
          <cell r="E369" t="str">
            <v>APPROVED</v>
          </cell>
          <cell r="F369">
            <v>42734</v>
          </cell>
          <cell r="G369">
            <v>43921</v>
          </cell>
          <cell r="H369">
            <v>150611.68</v>
          </cell>
          <cell r="I369" t="str">
            <v>FIN Submission</v>
          </cell>
          <cell r="J369">
            <v>43915</v>
          </cell>
        </row>
        <row r="370">
          <cell r="A370" t="str">
            <v>48273-SF39</v>
          </cell>
          <cell r="B370" t="str">
            <v>POA PE Turbine Health and Vibration</v>
          </cell>
          <cell r="C370" t="str">
            <v>FIN Approval - Internal</v>
          </cell>
          <cell r="D370">
            <v>56</v>
          </cell>
          <cell r="E370" t="str">
            <v>APPROVED</v>
          </cell>
          <cell r="F370">
            <v>43084</v>
          </cell>
          <cell r="G370">
            <v>43220</v>
          </cell>
          <cell r="H370">
            <v>137847.18</v>
          </cell>
          <cell r="I370" t="str">
            <v>FIN Submission</v>
          </cell>
          <cell r="J370">
            <v>43915</v>
          </cell>
        </row>
        <row r="371">
          <cell r="A371" t="str">
            <v>47838-SH14</v>
          </cell>
          <cell r="B371" t="str">
            <v>ICP Pier Fire Detection</v>
          </cell>
          <cell r="C371" t="str">
            <v>FIN Approval - Internal</v>
          </cell>
          <cell r="D371">
            <v>57</v>
          </cell>
          <cell r="E371" t="str">
            <v>APPROVED</v>
          </cell>
          <cell r="F371">
            <v>42735</v>
          </cell>
          <cell r="G371">
            <v>42825</v>
          </cell>
          <cell r="H371">
            <v>13398.91</v>
          </cell>
          <cell r="I371" t="str">
            <v>FIN Submission</v>
          </cell>
          <cell r="J371">
            <v>43915</v>
          </cell>
        </row>
        <row r="372">
          <cell r="A372" t="str">
            <v>48112-T906</v>
          </cell>
          <cell r="B372" t="str">
            <v>11W King Street Substation Ret</v>
          </cell>
          <cell r="C372" t="str">
            <v>FIN Approval - Internal</v>
          </cell>
          <cell r="D372">
            <v>58</v>
          </cell>
          <cell r="E372" t="str">
            <v>APPROVED</v>
          </cell>
          <cell r="F372">
            <v>42673</v>
          </cell>
          <cell r="G372">
            <v>43830</v>
          </cell>
          <cell r="H372">
            <v>72516.42</v>
          </cell>
          <cell r="I372" t="str">
            <v>FIN Submission</v>
          </cell>
          <cell r="J372">
            <v>43915</v>
          </cell>
        </row>
        <row r="373">
          <cell r="A373" t="str">
            <v>47835-SG66</v>
          </cell>
          <cell r="B373" t="str">
            <v>ICP Railway Signal Crossing Refurb</v>
          </cell>
          <cell r="C373" t="str">
            <v>FIN Approval - Internal</v>
          </cell>
          <cell r="D373">
            <v>58</v>
          </cell>
          <cell r="E373" t="str">
            <v>APPROVED</v>
          </cell>
          <cell r="F373">
            <v>42674</v>
          </cell>
          <cell r="G373">
            <v>43220</v>
          </cell>
          <cell r="H373">
            <v>68145.740000000005</v>
          </cell>
          <cell r="I373" t="str">
            <v>FIN Submission</v>
          </cell>
          <cell r="J373">
            <v>43915</v>
          </cell>
        </row>
        <row r="374">
          <cell r="A374" t="str">
            <v>48602-T901</v>
          </cell>
          <cell r="B374" t="str">
            <v>L5047 Replacements and Upgrades</v>
          </cell>
          <cell r="C374" t="str">
            <v>FIN Approval - Internal</v>
          </cell>
          <cell r="D374">
            <v>58</v>
          </cell>
          <cell r="E374" t="str">
            <v>APPROVED</v>
          </cell>
          <cell r="F374">
            <v>42521</v>
          </cell>
          <cell r="G374">
            <v>43951</v>
          </cell>
          <cell r="H374">
            <v>81451.520000000004</v>
          </cell>
          <cell r="I374" t="str">
            <v>FIN Submission</v>
          </cell>
          <cell r="J374">
            <v>43915</v>
          </cell>
        </row>
        <row r="375">
          <cell r="A375" t="str">
            <v>48595-T896</v>
          </cell>
          <cell r="B375" t="str">
            <v>L5548 Replacements and Upgrades</v>
          </cell>
          <cell r="C375" t="str">
            <v>FIN Approval - Internal</v>
          </cell>
          <cell r="D375">
            <v>58</v>
          </cell>
          <cell r="E375" t="str">
            <v>APPROVED</v>
          </cell>
          <cell r="F375">
            <v>43044</v>
          </cell>
          <cell r="G375">
            <v>43951</v>
          </cell>
          <cell r="H375">
            <v>242889.91</v>
          </cell>
          <cell r="I375" t="str">
            <v>FIN Submission</v>
          </cell>
          <cell r="J375">
            <v>43915</v>
          </cell>
        </row>
        <row r="376">
          <cell r="A376" t="str">
            <v>49789-T925</v>
          </cell>
          <cell r="B376" t="str">
            <v>L6515 Replacements and Upgrades</v>
          </cell>
          <cell r="C376" t="str">
            <v>FIN Approval - Internal</v>
          </cell>
          <cell r="D376">
            <v>58</v>
          </cell>
          <cell r="E376" t="str">
            <v>APPROVED</v>
          </cell>
          <cell r="F376">
            <v>42766</v>
          </cell>
          <cell r="G376">
            <v>43951</v>
          </cell>
          <cell r="H376">
            <v>2590653.46</v>
          </cell>
          <cell r="I376" t="str">
            <v>FIN Submission</v>
          </cell>
          <cell r="J376">
            <v>43915</v>
          </cell>
        </row>
        <row r="377">
          <cell r="A377" t="str">
            <v>47856-SG88</v>
          </cell>
          <cell r="B377" t="str">
            <v>POA Limestone Pipe Refurbishment</v>
          </cell>
          <cell r="C377" t="str">
            <v>FIN Approval - Internal</v>
          </cell>
          <cell r="D377">
            <v>59</v>
          </cell>
          <cell r="E377" t="str">
            <v>APPROVED</v>
          </cell>
          <cell r="F377">
            <v>42674</v>
          </cell>
          <cell r="G377">
            <v>43100</v>
          </cell>
          <cell r="H377">
            <v>175973.7</v>
          </cell>
          <cell r="I377" t="str">
            <v>FIN Submission</v>
          </cell>
          <cell r="J377">
            <v>43915</v>
          </cell>
        </row>
        <row r="378">
          <cell r="A378" t="str">
            <v>47850-SG05</v>
          </cell>
          <cell r="B378" t="str">
            <v>POA Valve Component Repl. 2016</v>
          </cell>
          <cell r="C378" t="str">
            <v>FIN Approval - Internal</v>
          </cell>
          <cell r="D378">
            <v>59</v>
          </cell>
          <cell r="E378" t="str">
            <v>APPROVED</v>
          </cell>
          <cell r="F378">
            <v>42674</v>
          </cell>
          <cell r="G378">
            <v>43100</v>
          </cell>
          <cell r="H378">
            <v>138250.85</v>
          </cell>
          <cell r="I378" t="str">
            <v>FIN Submission</v>
          </cell>
          <cell r="J378">
            <v>43915</v>
          </cell>
        </row>
        <row r="379">
          <cell r="A379" t="str">
            <v>48439-D712</v>
          </cell>
          <cell r="B379" t="str">
            <v>76V-301G Grafton Rd Line Extension</v>
          </cell>
          <cell r="C379" t="str">
            <v>FIN Approval - Internal</v>
          </cell>
          <cell r="D379">
            <v>60</v>
          </cell>
          <cell r="E379" t="str">
            <v>APPROVED</v>
          </cell>
          <cell r="F379">
            <v>43465</v>
          </cell>
          <cell r="G379">
            <v>43890</v>
          </cell>
          <cell r="H379">
            <v>188715.73</v>
          </cell>
          <cell r="I379" t="str">
            <v>FIN Submission</v>
          </cell>
          <cell r="J379">
            <v>43915</v>
          </cell>
        </row>
        <row r="380">
          <cell r="A380" t="str">
            <v>47851-SG73</v>
          </cell>
          <cell r="B380" t="str">
            <v>POA Boiler Refurbishment 2016</v>
          </cell>
          <cell r="C380" t="str">
            <v>FIN Approval - Internal</v>
          </cell>
          <cell r="D380">
            <v>60</v>
          </cell>
          <cell r="E380" t="str">
            <v>APPROVED</v>
          </cell>
          <cell r="F380">
            <v>42674</v>
          </cell>
          <cell r="G380">
            <v>43465</v>
          </cell>
          <cell r="H380">
            <v>1083559.3500000001</v>
          </cell>
          <cell r="I380" t="str">
            <v>FIN Submission</v>
          </cell>
          <cell r="J380">
            <v>43915</v>
          </cell>
        </row>
        <row r="381">
          <cell r="A381" t="str">
            <v>48811-SF91</v>
          </cell>
          <cell r="B381" t="str">
            <v>LIN4 PA FW Heater Level Control Upg</v>
          </cell>
          <cell r="C381" t="str">
            <v>FIN Approval - Internal</v>
          </cell>
          <cell r="D381">
            <v>61</v>
          </cell>
          <cell r="E381" t="str">
            <v>APPROVED</v>
          </cell>
          <cell r="F381">
            <v>42522</v>
          </cell>
          <cell r="G381">
            <v>43830</v>
          </cell>
          <cell r="H381">
            <v>300978.61</v>
          </cell>
          <cell r="I381" t="str">
            <v>FIN Submission</v>
          </cell>
          <cell r="J381">
            <v>43915</v>
          </cell>
        </row>
        <row r="382">
          <cell r="A382" t="str">
            <v>47842-SG85</v>
          </cell>
          <cell r="B382" t="str">
            <v>POA 2016 4kV 600V Brkr Refurb</v>
          </cell>
          <cell r="C382" t="str">
            <v>FIN Approval - Internal</v>
          </cell>
          <cell r="D382">
            <v>61</v>
          </cell>
          <cell r="E382" t="str">
            <v>APPROVED</v>
          </cell>
          <cell r="F382">
            <v>42674</v>
          </cell>
          <cell r="G382">
            <v>42978</v>
          </cell>
          <cell r="H382">
            <v>32030.93</v>
          </cell>
          <cell r="I382" t="str">
            <v>FIN Submission</v>
          </cell>
          <cell r="J382">
            <v>43915</v>
          </cell>
        </row>
        <row r="383">
          <cell r="A383" t="str">
            <v>47852-SF74</v>
          </cell>
          <cell r="B383" t="str">
            <v>POA PLC Migration</v>
          </cell>
          <cell r="C383" t="str">
            <v>FIN Approval - Internal</v>
          </cell>
          <cell r="D383">
            <v>61</v>
          </cell>
          <cell r="E383" t="str">
            <v>APPROVED</v>
          </cell>
          <cell r="F383">
            <v>42674</v>
          </cell>
          <cell r="G383">
            <v>43465</v>
          </cell>
          <cell r="H383">
            <v>222343.86</v>
          </cell>
          <cell r="I383" t="str">
            <v>FIN Submission</v>
          </cell>
          <cell r="J383">
            <v>43915</v>
          </cell>
        </row>
        <row r="384">
          <cell r="A384" t="str">
            <v>48093-D686</v>
          </cell>
          <cell r="B384" t="str">
            <v>2016 Padmount Replacement Program</v>
          </cell>
          <cell r="C384" t="str">
            <v>FIN Approval - Internal</v>
          </cell>
          <cell r="D384">
            <v>65</v>
          </cell>
          <cell r="E384" t="str">
            <v>APPROVED</v>
          </cell>
          <cell r="F384">
            <v>42824</v>
          </cell>
          <cell r="G384">
            <v>43617</v>
          </cell>
          <cell r="H384">
            <v>1739040.03</v>
          </cell>
          <cell r="I384" t="str">
            <v>FIN Submission</v>
          </cell>
          <cell r="J384">
            <v>43915</v>
          </cell>
        </row>
        <row r="385">
          <cell r="A385" t="str">
            <v>47753-D688</v>
          </cell>
          <cell r="B385" t="str">
            <v>24C-442GB Hwy 16 Reconductor Ph 2</v>
          </cell>
          <cell r="C385" t="str">
            <v>FIN Approval - Internal</v>
          </cell>
          <cell r="D385">
            <v>66</v>
          </cell>
          <cell r="E385" t="str">
            <v>APPROVED</v>
          </cell>
          <cell r="F385">
            <v>42551</v>
          </cell>
          <cell r="G385">
            <v>43921</v>
          </cell>
          <cell r="H385">
            <v>1336079.83</v>
          </cell>
          <cell r="I385" t="str">
            <v>FIN Submission</v>
          </cell>
          <cell r="J385">
            <v>43915</v>
          </cell>
        </row>
        <row r="386">
          <cell r="A386" t="str">
            <v>40602-P838</v>
          </cell>
          <cell r="B386" t="str">
            <v>MRA System</v>
          </cell>
          <cell r="C386" t="str">
            <v>FIN Approval - Internal</v>
          </cell>
          <cell r="D386">
            <v>72</v>
          </cell>
          <cell r="E386" t="str">
            <v>APPROVED</v>
          </cell>
          <cell r="F386">
            <v>40847</v>
          </cell>
          <cell r="G386">
            <v>40877</v>
          </cell>
          <cell r="H386">
            <v>17231.849999999999</v>
          </cell>
          <cell r="I386" t="str">
            <v>FIN Submission</v>
          </cell>
          <cell r="J386">
            <v>43915</v>
          </cell>
        </row>
        <row r="387">
          <cell r="A387" t="str">
            <v>46738-D607</v>
          </cell>
          <cell r="B387" t="str">
            <v>Riverton COMFIT phases 1 &amp; 2</v>
          </cell>
          <cell r="C387" t="str">
            <v>FIN Approval - Internal</v>
          </cell>
          <cell r="D387">
            <v>72</v>
          </cell>
          <cell r="E387" t="str">
            <v>APPROVED</v>
          </cell>
          <cell r="F387">
            <v>42124</v>
          </cell>
          <cell r="G387">
            <v>42855</v>
          </cell>
          <cell r="H387">
            <v>1039.24</v>
          </cell>
          <cell r="I387" t="str">
            <v>FIN Submission</v>
          </cell>
          <cell r="J387">
            <v>43915</v>
          </cell>
        </row>
        <row r="388">
          <cell r="A388" t="str">
            <v>46340-T833</v>
          </cell>
          <cell r="B388" t="str">
            <v>2015 Switch &amp; Breaker Replacements</v>
          </cell>
          <cell r="C388" t="str">
            <v>FIN Approval - Internal</v>
          </cell>
          <cell r="D388">
            <v>78</v>
          </cell>
          <cell r="E388" t="str">
            <v>APPROVED</v>
          </cell>
          <cell r="F388">
            <v>42185</v>
          </cell>
          <cell r="G388">
            <v>43921</v>
          </cell>
          <cell r="H388">
            <v>1505923.87</v>
          </cell>
          <cell r="I388" t="str">
            <v>FIN Submission</v>
          </cell>
          <cell r="J388">
            <v>43915</v>
          </cell>
        </row>
        <row r="389">
          <cell r="A389" t="str">
            <v>46060-SE61</v>
          </cell>
          <cell r="B389" t="str">
            <v>POA 2015 4kV 600V Brkr Refurb</v>
          </cell>
          <cell r="C389" t="str">
            <v>FIN Approval - Internal</v>
          </cell>
          <cell r="D389">
            <v>78</v>
          </cell>
          <cell r="E389" t="str">
            <v>APPROVED</v>
          </cell>
          <cell r="F389">
            <v>42308</v>
          </cell>
          <cell r="G389">
            <v>43465</v>
          </cell>
          <cell r="H389">
            <v>115745.32</v>
          </cell>
          <cell r="I389" t="str">
            <v>FIN Submission</v>
          </cell>
          <cell r="J389">
            <v>43915</v>
          </cell>
        </row>
        <row r="390">
          <cell r="A390" t="str">
            <v>46353-T834</v>
          </cell>
          <cell r="B390" t="str">
            <v>2015 Substation Recloser Replacemen</v>
          </cell>
          <cell r="C390" t="str">
            <v>FIN Approval - Internal</v>
          </cell>
          <cell r="D390">
            <v>81</v>
          </cell>
          <cell r="E390" t="str">
            <v>APPROVED</v>
          </cell>
          <cell r="F390">
            <v>42405</v>
          </cell>
          <cell r="G390">
            <v>43921</v>
          </cell>
          <cell r="H390">
            <v>387388.87</v>
          </cell>
          <cell r="I390" t="str">
            <v>FIN Submission</v>
          </cell>
          <cell r="J390">
            <v>43915</v>
          </cell>
        </row>
        <row r="391">
          <cell r="A391" t="str">
            <v>46506-G194</v>
          </cell>
          <cell r="B391" t="str">
            <v>TUC Noise Monitoring System</v>
          </cell>
          <cell r="C391" t="str">
            <v>FIN Approval - Internal</v>
          </cell>
          <cell r="D391">
            <v>82</v>
          </cell>
          <cell r="E391" t="str">
            <v>APPROVED</v>
          </cell>
          <cell r="F391">
            <v>43281</v>
          </cell>
          <cell r="G391">
            <v>43465</v>
          </cell>
          <cell r="H391">
            <v>315628.79999999999</v>
          </cell>
          <cell r="I391" t="str">
            <v>FIN Submission</v>
          </cell>
          <cell r="J391">
            <v>43915</v>
          </cell>
        </row>
        <row r="392">
          <cell r="A392" t="str">
            <v>44651-SE25</v>
          </cell>
          <cell r="B392" t="str">
            <v>POA - PLC Migration 2015</v>
          </cell>
          <cell r="C392" t="str">
            <v>FIN Approval - Internal</v>
          </cell>
          <cell r="D392">
            <v>91</v>
          </cell>
          <cell r="E392" t="str">
            <v>APPROVED</v>
          </cell>
          <cell r="F392">
            <v>42673</v>
          </cell>
          <cell r="G392">
            <v>43069</v>
          </cell>
          <cell r="H392">
            <v>171231.26</v>
          </cell>
          <cell r="I392" t="str">
            <v>FIN Submission</v>
          </cell>
          <cell r="J392">
            <v>43915</v>
          </cell>
        </row>
        <row r="393">
          <cell r="A393" t="str">
            <v>45029-SD54</v>
          </cell>
          <cell r="B393" t="str">
            <v>POA - Auxiliary Boiler Replacement</v>
          </cell>
          <cell r="C393" t="str">
            <v>FIN Approval - Internal</v>
          </cell>
          <cell r="D393">
            <v>92</v>
          </cell>
          <cell r="E393" t="str">
            <v>APPROVED</v>
          </cell>
          <cell r="F393">
            <v>42491</v>
          </cell>
          <cell r="G393">
            <v>43100</v>
          </cell>
          <cell r="H393">
            <v>1660551.11</v>
          </cell>
          <cell r="I393" t="str">
            <v>FIN Submission</v>
          </cell>
          <cell r="J393">
            <v>43915</v>
          </cell>
        </row>
        <row r="394">
          <cell r="A394" t="str">
            <v>45115-H698</v>
          </cell>
          <cell r="B394" t="str">
            <v>HYD - U&amp;U Nictaux Plant Automation</v>
          </cell>
          <cell r="C394" t="str">
            <v>FIN Approval - Internal</v>
          </cell>
          <cell r="D394">
            <v>97</v>
          </cell>
          <cell r="E394" t="str">
            <v>APPROVED</v>
          </cell>
          <cell r="F394">
            <v>41789</v>
          </cell>
          <cell r="G394">
            <v>43983</v>
          </cell>
          <cell r="H394">
            <v>581719.64</v>
          </cell>
          <cell r="I394" t="str">
            <v>FIN Submission</v>
          </cell>
          <cell r="J394">
            <v>43915</v>
          </cell>
        </row>
        <row r="395">
          <cell r="A395" t="str">
            <v>38880-S536</v>
          </cell>
          <cell r="B395" t="str">
            <v xml:space="preserve">LIN - Thermal Fleet Licencing  </v>
          </cell>
          <cell r="C395" t="str">
            <v>FIN Approval - Internal</v>
          </cell>
          <cell r="D395">
            <v>103</v>
          </cell>
          <cell r="E395" t="str">
            <v>APPROVED</v>
          </cell>
          <cell r="F395">
            <v>40542</v>
          </cell>
          <cell r="G395">
            <v>41059</v>
          </cell>
          <cell r="H395">
            <v>120029.02</v>
          </cell>
          <cell r="I395" t="str">
            <v>FIN Submission</v>
          </cell>
          <cell r="J395">
            <v>43915</v>
          </cell>
        </row>
        <row r="396">
          <cell r="A396" t="str">
            <v>43261-T831</v>
          </cell>
          <cell r="B396" t="str">
            <v>6V-GT1 Hollow Bridge Hydro Replace</v>
          </cell>
          <cell r="C396" t="str">
            <v>FIN Approval - Internal</v>
          </cell>
          <cell r="D396">
            <v>104</v>
          </cell>
          <cell r="E396" t="str">
            <v>APPROVED</v>
          </cell>
          <cell r="F396">
            <v>42673</v>
          </cell>
          <cell r="G396">
            <v>43921</v>
          </cell>
          <cell r="H396">
            <v>533267.75</v>
          </cell>
          <cell r="I396" t="str">
            <v>FIN Submission</v>
          </cell>
          <cell r="J396">
            <v>43915</v>
          </cell>
        </row>
        <row r="397">
          <cell r="A397" t="str">
            <v>43489-T773</v>
          </cell>
          <cell r="B397" t="str">
            <v>8H Substation Retirement</v>
          </cell>
          <cell r="C397" t="str">
            <v>FIN Approval - Internal</v>
          </cell>
          <cell r="D397">
            <v>106</v>
          </cell>
          <cell r="E397" t="str">
            <v>APPROVED</v>
          </cell>
          <cell r="F397">
            <v>42036</v>
          </cell>
          <cell r="G397">
            <v>43921</v>
          </cell>
          <cell r="H397">
            <v>42507.92</v>
          </cell>
          <cell r="I397" t="str">
            <v>FIN Submission</v>
          </cell>
          <cell r="J397">
            <v>43915</v>
          </cell>
        </row>
        <row r="398">
          <cell r="A398" t="str">
            <v>43684-T790</v>
          </cell>
          <cell r="B398" t="str">
            <v>Interconection Substation South Can</v>
          </cell>
          <cell r="C398" t="str">
            <v>FIN Approval - Internal</v>
          </cell>
          <cell r="D398">
            <v>106</v>
          </cell>
          <cell r="E398" t="str">
            <v>APPROVED</v>
          </cell>
          <cell r="F398">
            <v>42124</v>
          </cell>
          <cell r="G398">
            <v>43920</v>
          </cell>
          <cell r="H398">
            <v>7981090.0099999998</v>
          </cell>
          <cell r="I398" t="str">
            <v>FIN Submission</v>
          </cell>
          <cell r="J398">
            <v>43915</v>
          </cell>
        </row>
        <row r="399">
          <cell r="A399" t="str">
            <v>41763-P891</v>
          </cell>
          <cell r="B399" t="str">
            <v>Warehouse Racking System</v>
          </cell>
          <cell r="C399" t="str">
            <v>FIN Approval - Internal</v>
          </cell>
          <cell r="D399">
            <v>106</v>
          </cell>
          <cell r="E399" t="str">
            <v>APPROVED</v>
          </cell>
          <cell r="F399">
            <v>41274</v>
          </cell>
          <cell r="G399">
            <v>43039</v>
          </cell>
          <cell r="H399">
            <v>173103.69</v>
          </cell>
          <cell r="I399" t="str">
            <v>FIN Submission</v>
          </cell>
          <cell r="J399">
            <v>43915</v>
          </cell>
        </row>
        <row r="400">
          <cell r="A400" t="str">
            <v>43257-SG69</v>
          </cell>
          <cell r="B400" t="str">
            <v>POA - Main Oil Tank Refurb</v>
          </cell>
          <cell r="C400" t="str">
            <v>FIN Approval - Internal</v>
          </cell>
          <cell r="D400">
            <v>107</v>
          </cell>
          <cell r="E400" t="str">
            <v>APPROVED</v>
          </cell>
          <cell r="F400">
            <v>42612</v>
          </cell>
          <cell r="G400">
            <v>43100</v>
          </cell>
          <cell r="H400">
            <v>60344.85</v>
          </cell>
          <cell r="I400" t="str">
            <v>FIN Submission</v>
          </cell>
          <cell r="J400">
            <v>43915</v>
          </cell>
        </row>
        <row r="401">
          <cell r="A401" t="str">
            <v>43266-T887</v>
          </cell>
          <cell r="B401" t="str">
            <v>89S Point Aconi ST2 Replacement</v>
          </cell>
          <cell r="C401" t="str">
            <v>FIN Approval - Internal</v>
          </cell>
          <cell r="D401">
            <v>110</v>
          </cell>
          <cell r="E401" t="str">
            <v>APPROVED</v>
          </cell>
          <cell r="F401">
            <v>42673</v>
          </cell>
          <cell r="G401">
            <v>43921</v>
          </cell>
          <cell r="H401">
            <v>1524240.2</v>
          </cell>
          <cell r="I401" t="str">
            <v>FIN Submission</v>
          </cell>
          <cell r="J401">
            <v>43915</v>
          </cell>
        </row>
        <row r="402">
          <cell r="A402" t="str">
            <v>43221-P910</v>
          </cell>
          <cell r="B402" t="str">
            <v>2013 New RTU Deployment</v>
          </cell>
          <cell r="C402" t="str">
            <v>FIN Approval - Internal</v>
          </cell>
          <cell r="D402">
            <v>113</v>
          </cell>
          <cell r="E402" t="str">
            <v>APPROVED</v>
          </cell>
          <cell r="F402">
            <v>42490</v>
          </cell>
          <cell r="G402">
            <v>43830</v>
          </cell>
          <cell r="H402">
            <v>897715.99</v>
          </cell>
          <cell r="I402" t="str">
            <v>FIN Submission</v>
          </cell>
          <cell r="J402">
            <v>43915</v>
          </cell>
        </row>
        <row r="403">
          <cell r="A403" t="str">
            <v>33842-S367</v>
          </cell>
          <cell r="B403" t="str">
            <v xml:space="preserve">LIN - Low Load Feedwater U&amp;U     </v>
          </cell>
          <cell r="C403" t="str">
            <v>FIN Approval - Internal</v>
          </cell>
          <cell r="D403">
            <v>120</v>
          </cell>
          <cell r="E403" t="str">
            <v>APPROVED</v>
          </cell>
          <cell r="F403">
            <v>39767</v>
          </cell>
          <cell r="G403">
            <v>42801</v>
          </cell>
          <cell r="H403">
            <v>128268.98</v>
          </cell>
          <cell r="I403" t="str">
            <v>FIN Submission</v>
          </cell>
          <cell r="J403">
            <v>43915</v>
          </cell>
        </row>
        <row r="404">
          <cell r="A404" t="str">
            <v>33822-S375</v>
          </cell>
          <cell r="B404" t="str">
            <v>LIN4- Nozzle Upgrade and Refurb</v>
          </cell>
          <cell r="C404" t="str">
            <v>FIN Approval - Internal</v>
          </cell>
          <cell r="D404">
            <v>123</v>
          </cell>
          <cell r="E404" t="str">
            <v>APPROVED</v>
          </cell>
          <cell r="F404">
            <v>39752</v>
          </cell>
          <cell r="G404">
            <v>40481</v>
          </cell>
          <cell r="H404">
            <v>845102.27</v>
          </cell>
          <cell r="I404" t="str">
            <v>FIN Submission</v>
          </cell>
          <cell r="J404">
            <v>43915</v>
          </cell>
        </row>
        <row r="405">
          <cell r="A405" t="str">
            <v>31482-S369</v>
          </cell>
          <cell r="B405" t="str">
            <v>LIN4-U&amp;U TUBE BENDS REPLACEMENT</v>
          </cell>
          <cell r="C405" t="str">
            <v>FIN Approval - Internal</v>
          </cell>
          <cell r="D405">
            <v>126</v>
          </cell>
          <cell r="E405" t="str">
            <v>APPROVED</v>
          </cell>
          <cell r="F405">
            <v>39742</v>
          </cell>
          <cell r="G405">
            <v>40543</v>
          </cell>
          <cell r="H405">
            <v>332510</v>
          </cell>
          <cell r="I405" t="str">
            <v>FIN Submission</v>
          </cell>
          <cell r="J405">
            <v>43915</v>
          </cell>
        </row>
        <row r="406">
          <cell r="A406" t="str">
            <v>33702-S376</v>
          </cell>
          <cell r="B406" t="str">
            <v>LIN4 - U&amp;U GENERATOR REWEDGE</v>
          </cell>
          <cell r="C406" t="str">
            <v>FIN Approval - Internal</v>
          </cell>
          <cell r="D406">
            <v>137</v>
          </cell>
          <cell r="E406" t="str">
            <v>APPROVED</v>
          </cell>
          <cell r="F406">
            <v>39753</v>
          </cell>
          <cell r="G406">
            <v>42825</v>
          </cell>
          <cell r="H406">
            <v>409160.33</v>
          </cell>
          <cell r="I406" t="str">
            <v>FIN Submission</v>
          </cell>
          <cell r="J406">
            <v>43915</v>
          </cell>
        </row>
        <row r="407">
          <cell r="A407" t="str">
            <v>40502-S683</v>
          </cell>
          <cell r="B407" t="str">
            <v>PE LIN3 HVB Refurbish</v>
          </cell>
          <cell r="C407" t="str">
            <v>FIN Approval - Internal</v>
          </cell>
          <cell r="D407">
            <v>151</v>
          </cell>
          <cell r="E407" t="str">
            <v>APPROVED</v>
          </cell>
          <cell r="F407">
            <v>42078</v>
          </cell>
          <cell r="G407">
            <v>42428</v>
          </cell>
          <cell r="H407">
            <v>2661.41</v>
          </cell>
          <cell r="I407" t="str">
            <v>FIN Submission</v>
          </cell>
          <cell r="J407">
            <v>43915</v>
          </cell>
        </row>
        <row r="408">
          <cell r="A408" t="str">
            <v>28551-S235</v>
          </cell>
          <cell r="B408" t="str">
            <v>LIN-REFURBISH SOLID FUEL STACKER</v>
          </cell>
          <cell r="C408" t="str">
            <v>FIN Approval - Internal</v>
          </cell>
          <cell r="D408">
            <v>167</v>
          </cell>
          <cell r="E408" t="str">
            <v>APPROVED</v>
          </cell>
          <cell r="F408">
            <v>39378</v>
          </cell>
          <cell r="G408">
            <v>41639</v>
          </cell>
          <cell r="H408">
            <v>346147.33</v>
          </cell>
          <cell r="I408" t="str">
            <v>FIN Submission</v>
          </cell>
          <cell r="J408">
            <v>43915</v>
          </cell>
        </row>
        <row r="409">
          <cell r="A409" t="str">
            <v>35083-S901</v>
          </cell>
          <cell r="B409" t="str">
            <v>LIN 2011 Ash Site Sealing and Cappi</v>
          </cell>
          <cell r="C409" t="str">
            <v>FIN Approval - Internal</v>
          </cell>
          <cell r="D409">
            <v>198</v>
          </cell>
          <cell r="E409" t="str">
            <v>APPROVED</v>
          </cell>
          <cell r="F409">
            <v>42522</v>
          </cell>
          <cell r="G409">
            <v>43851</v>
          </cell>
          <cell r="H409">
            <v>1115987.51</v>
          </cell>
          <cell r="I409" t="str">
            <v>FIN Submission</v>
          </cell>
          <cell r="J409">
            <v>43915</v>
          </cell>
        </row>
        <row r="410">
          <cell r="A410" t="str">
            <v>C0016543</v>
          </cell>
          <cell r="B410" t="str">
            <v>CT BGT3 Generator Oil Cooler Upgrad</v>
          </cell>
          <cell r="C410" t="str">
            <v>FIN Approval - Internal</v>
          </cell>
          <cell r="D410">
            <v>11</v>
          </cell>
          <cell r="E410" t="str">
            <v>APPROVED</v>
          </cell>
          <cell r="F410">
            <v>43708</v>
          </cell>
          <cell r="G410">
            <v>43983</v>
          </cell>
          <cell r="H410">
            <v>75077.179999999993</v>
          </cell>
          <cell r="I410" t="str">
            <v>FIN Submission</v>
          </cell>
          <cell r="J410">
            <v>43906</v>
          </cell>
        </row>
        <row r="411">
          <cell r="A411" t="str">
            <v>C0016544</v>
          </cell>
          <cell r="B411" t="str">
            <v>CT BGT4 Generator Oil Cooler Upgrad</v>
          </cell>
          <cell r="C411" t="str">
            <v>FIN Approval - Internal</v>
          </cell>
          <cell r="D411">
            <v>11</v>
          </cell>
          <cell r="E411" t="str">
            <v>APPROVED</v>
          </cell>
          <cell r="F411">
            <v>43708</v>
          </cell>
          <cell r="G411">
            <v>43983</v>
          </cell>
          <cell r="H411">
            <v>73803.960000000006</v>
          </cell>
          <cell r="I411" t="str">
            <v>FIN Submission</v>
          </cell>
          <cell r="J411">
            <v>43906</v>
          </cell>
        </row>
        <row r="412">
          <cell r="A412" t="str">
            <v>C0016539</v>
          </cell>
          <cell r="B412" t="str">
            <v>CTBGT1 Generator Oil Cooler Upgrade</v>
          </cell>
          <cell r="C412" t="str">
            <v>FIN Approval - Internal</v>
          </cell>
          <cell r="D412">
            <v>11</v>
          </cell>
          <cell r="E412" t="str">
            <v>APPROVED</v>
          </cell>
          <cell r="F412">
            <v>43677</v>
          </cell>
          <cell r="G412">
            <v>43983</v>
          </cell>
          <cell r="H412">
            <v>75051.460000000006</v>
          </cell>
          <cell r="I412" t="str">
            <v>FIN Submission</v>
          </cell>
          <cell r="J412">
            <v>43906</v>
          </cell>
        </row>
        <row r="413">
          <cell r="A413" t="str">
            <v>C0016542</v>
          </cell>
          <cell r="B413" t="str">
            <v>CTBGT2 Generator Oil Cooler Upgrade</v>
          </cell>
          <cell r="C413" t="str">
            <v>FIN Approval - Internal</v>
          </cell>
          <cell r="D413">
            <v>11</v>
          </cell>
          <cell r="E413" t="str">
            <v>APPROVED</v>
          </cell>
          <cell r="F413">
            <v>43677</v>
          </cell>
          <cell r="G413">
            <v>43983</v>
          </cell>
          <cell r="H413">
            <v>74997.03</v>
          </cell>
          <cell r="I413" t="str">
            <v>FIN Submission</v>
          </cell>
          <cell r="J413">
            <v>43906</v>
          </cell>
        </row>
        <row r="414">
          <cell r="A414" t="str">
            <v>C0006921</v>
          </cell>
          <cell r="B414" t="str">
            <v>T-L5536-Bruce Honda Customer Rebuil</v>
          </cell>
          <cell r="C414" t="str">
            <v>FIN Approval - Internal</v>
          </cell>
          <cell r="D414">
            <v>20</v>
          </cell>
          <cell r="E414" t="str">
            <v>APPROVED</v>
          </cell>
          <cell r="F414">
            <v>43281</v>
          </cell>
          <cell r="G414">
            <v>43921</v>
          </cell>
          <cell r="H414">
            <v>0</v>
          </cell>
          <cell r="I414" t="str">
            <v>FIN Submission</v>
          </cell>
          <cell r="J414">
            <v>43906</v>
          </cell>
        </row>
        <row r="415">
          <cell r="A415" t="str">
            <v>C0005819</v>
          </cell>
          <cell r="B415" t="str">
            <v>D-126H-312 Marine Dr PH1- Insulator</v>
          </cell>
          <cell r="C415" t="str">
            <v>FIN Approval - Internal</v>
          </cell>
          <cell r="D415">
            <v>23</v>
          </cell>
          <cell r="E415" t="str">
            <v>APPROVED</v>
          </cell>
          <cell r="F415">
            <v>43404</v>
          </cell>
          <cell r="G415">
            <v>43890</v>
          </cell>
          <cell r="H415">
            <v>206059.19</v>
          </cell>
          <cell r="I415" t="str">
            <v>FIN Submission</v>
          </cell>
          <cell r="J415">
            <v>43906</v>
          </cell>
        </row>
        <row r="416">
          <cell r="A416" t="str">
            <v>C0004598</v>
          </cell>
          <cell r="B416" t="str">
            <v>20N-201 Charles St &amp; Academy St</v>
          </cell>
          <cell r="C416" t="str">
            <v>FIN Approval - Internal</v>
          </cell>
          <cell r="D416">
            <v>25</v>
          </cell>
          <cell r="E416" t="str">
            <v>APPROVED</v>
          </cell>
          <cell r="F416">
            <v>43251</v>
          </cell>
          <cell r="G416">
            <v>43646</v>
          </cell>
          <cell r="H416">
            <v>217076.17</v>
          </cell>
          <cell r="I416" t="str">
            <v>FIN Submission</v>
          </cell>
          <cell r="J416">
            <v>43906</v>
          </cell>
        </row>
        <row r="417">
          <cell r="A417" t="str">
            <v>52300</v>
          </cell>
          <cell r="B417" t="str">
            <v>TUC Facilities Upgrade Phase 2</v>
          </cell>
          <cell r="C417" t="str">
            <v>FIN Approval - Internal</v>
          </cell>
          <cell r="D417">
            <v>33</v>
          </cell>
          <cell r="E417" t="str">
            <v>APPROVED</v>
          </cell>
          <cell r="F417">
            <v>43462</v>
          </cell>
          <cell r="G417">
            <v>43860</v>
          </cell>
          <cell r="H417">
            <v>283386.51</v>
          </cell>
          <cell r="I417" t="str">
            <v>FIN Submission</v>
          </cell>
          <cell r="J417">
            <v>43906</v>
          </cell>
        </row>
        <row r="418">
          <cell r="A418" t="str">
            <v>51593</v>
          </cell>
          <cell r="B418" t="str">
            <v>HYD WRC WG Thrust Refurb U&amp;U</v>
          </cell>
          <cell r="C418" t="str">
            <v>FIN Approval - Internal</v>
          </cell>
          <cell r="D418">
            <v>37</v>
          </cell>
          <cell r="E418" t="str">
            <v>APPROVED</v>
          </cell>
          <cell r="F418">
            <v>43008</v>
          </cell>
          <cell r="G418">
            <v>43617</v>
          </cell>
          <cell r="H418">
            <v>904211.51</v>
          </cell>
          <cell r="I418" t="str">
            <v>FIN Submission</v>
          </cell>
          <cell r="J418">
            <v>43906</v>
          </cell>
        </row>
        <row r="419">
          <cell r="A419" t="str">
            <v>52143</v>
          </cell>
          <cell r="B419" t="str">
            <v>TUC 4 Engine S/N 191-332 Hot Sec</v>
          </cell>
          <cell r="C419" t="str">
            <v>FIN Approval - Internal</v>
          </cell>
          <cell r="D419">
            <v>37</v>
          </cell>
          <cell r="E419" t="str">
            <v>APPROVED</v>
          </cell>
          <cell r="F419">
            <v>43677</v>
          </cell>
          <cell r="G419">
            <v>43830</v>
          </cell>
          <cell r="H419">
            <v>3279706.25</v>
          </cell>
          <cell r="I419" t="str">
            <v>FIN Submission</v>
          </cell>
          <cell r="J419">
            <v>43906</v>
          </cell>
        </row>
        <row r="420">
          <cell r="A420" t="str">
            <v>46771-T823</v>
          </cell>
          <cell r="B420" t="str">
            <v>Sable Wind Collector System</v>
          </cell>
          <cell r="C420" t="str">
            <v>FIN Approval - Internal</v>
          </cell>
          <cell r="D420">
            <v>42</v>
          </cell>
          <cell r="E420" t="str">
            <v>APPROVED</v>
          </cell>
          <cell r="F420">
            <v>42004</v>
          </cell>
          <cell r="G420">
            <v>43861</v>
          </cell>
          <cell r="H420">
            <v>1085295.48</v>
          </cell>
          <cell r="I420" t="str">
            <v>FIN Submission</v>
          </cell>
          <cell r="J420">
            <v>43906</v>
          </cell>
        </row>
        <row r="421">
          <cell r="A421" t="str">
            <v>52008-G248</v>
          </cell>
          <cell r="B421" t="str">
            <v>Engine 191-253 Engine Refurbishment</v>
          </cell>
          <cell r="C421" t="str">
            <v>FIN Approval - Internal</v>
          </cell>
          <cell r="D421">
            <v>44</v>
          </cell>
          <cell r="E421" t="str">
            <v>APPROVED</v>
          </cell>
          <cell r="F421">
            <v>43266</v>
          </cell>
          <cell r="G421">
            <v>43860</v>
          </cell>
          <cell r="H421">
            <v>2921176.9</v>
          </cell>
          <cell r="I421" t="str">
            <v>FIN Submission</v>
          </cell>
          <cell r="J421">
            <v>43906</v>
          </cell>
        </row>
        <row r="422">
          <cell r="A422" t="str">
            <v>49292-P103</v>
          </cell>
          <cell r="B422" t="str">
            <v>PE Energy Storage Strategy</v>
          </cell>
          <cell r="C422" t="str">
            <v>FIN Approval - Internal</v>
          </cell>
          <cell r="D422">
            <v>51</v>
          </cell>
          <cell r="E422" t="str">
            <v>APPROVED</v>
          </cell>
          <cell r="F422">
            <v>43830</v>
          </cell>
          <cell r="G422">
            <v>43830</v>
          </cell>
          <cell r="H422">
            <v>0</v>
          </cell>
          <cell r="I422" t="str">
            <v>FIN Submission</v>
          </cell>
          <cell r="J422">
            <v>43906</v>
          </cell>
        </row>
        <row r="423">
          <cell r="A423" t="str">
            <v>48905-D734</v>
          </cell>
          <cell r="B423" t="str">
            <v xml:space="preserve">IR 522 Auld's Mountain II </v>
          </cell>
          <cell r="C423" t="str">
            <v>FIN Approval - Internal</v>
          </cell>
          <cell r="D423">
            <v>52</v>
          </cell>
          <cell r="E423" t="str">
            <v>APPROVED</v>
          </cell>
          <cell r="F423">
            <v>42735</v>
          </cell>
          <cell r="G423">
            <v>43830</v>
          </cell>
          <cell r="H423">
            <v>0</v>
          </cell>
          <cell r="I423" t="str">
            <v>FIN Submission</v>
          </cell>
          <cell r="J423">
            <v>43906</v>
          </cell>
        </row>
        <row r="424">
          <cell r="A424" t="str">
            <v>49052-T908</v>
          </cell>
          <cell r="B424" t="str">
            <v xml:space="preserve">L5506 Pictou Roundabout Line </v>
          </cell>
          <cell r="C424" t="str">
            <v>FIN Approval - Internal</v>
          </cell>
          <cell r="D424">
            <v>52</v>
          </cell>
          <cell r="E424" t="str">
            <v>APPROVED</v>
          </cell>
          <cell r="F424">
            <v>42582</v>
          </cell>
          <cell r="G424">
            <v>43069</v>
          </cell>
          <cell r="H424">
            <v>88052.53</v>
          </cell>
          <cell r="I424" t="str">
            <v>FIN Submission</v>
          </cell>
          <cell r="J424">
            <v>43906</v>
          </cell>
        </row>
        <row r="425">
          <cell r="A425" t="str">
            <v>48906-D735</v>
          </cell>
          <cell r="B425" t="str">
            <v>IR 459 Brooklyn COMFIT</v>
          </cell>
          <cell r="C425" t="str">
            <v>FIN Approval - Internal</v>
          </cell>
          <cell r="D425">
            <v>55</v>
          </cell>
          <cell r="E425" t="str">
            <v>APPROVED</v>
          </cell>
          <cell r="F425">
            <v>42643</v>
          </cell>
          <cell r="G425">
            <v>43830</v>
          </cell>
          <cell r="H425">
            <v>0</v>
          </cell>
          <cell r="I425" t="str">
            <v>FIN Submission</v>
          </cell>
          <cell r="J425">
            <v>43906</v>
          </cell>
        </row>
        <row r="426">
          <cell r="A426" t="str">
            <v>47475-D661</v>
          </cell>
          <cell r="B426" t="str">
            <v>IR 432 Walton</v>
          </cell>
          <cell r="C426" t="str">
            <v>FIN Approval - Internal</v>
          </cell>
          <cell r="D426">
            <v>59</v>
          </cell>
          <cell r="E426" t="str">
            <v>APPROVED</v>
          </cell>
          <cell r="F426">
            <v>42704</v>
          </cell>
          <cell r="G426">
            <v>43830</v>
          </cell>
          <cell r="H426">
            <v>0</v>
          </cell>
          <cell r="I426" t="str">
            <v>FIN Submission</v>
          </cell>
          <cell r="J426">
            <v>43906</v>
          </cell>
        </row>
        <row r="427">
          <cell r="A427" t="str">
            <v>47473-D660</v>
          </cell>
          <cell r="B427" t="str">
            <v>IR 457 Baddeck</v>
          </cell>
          <cell r="C427" t="str">
            <v>FIN Approval - Internal</v>
          </cell>
          <cell r="D427">
            <v>59</v>
          </cell>
          <cell r="E427" t="str">
            <v>APPROVED</v>
          </cell>
          <cell r="F427">
            <v>42704</v>
          </cell>
          <cell r="G427">
            <v>43830</v>
          </cell>
          <cell r="H427">
            <v>0</v>
          </cell>
          <cell r="I427" t="str">
            <v>FIN Submission</v>
          </cell>
          <cell r="J427">
            <v>43906</v>
          </cell>
        </row>
        <row r="428">
          <cell r="A428" t="str">
            <v>40883-T680</v>
          </cell>
          <cell r="B428" t="str">
            <v>NS-NB Interconnection</v>
          </cell>
          <cell r="C428" t="str">
            <v>FIN Approval - Internal</v>
          </cell>
          <cell r="D428">
            <v>63</v>
          </cell>
          <cell r="E428" t="str">
            <v>APPROVED</v>
          </cell>
          <cell r="F428">
            <v>40908</v>
          </cell>
          <cell r="G428">
            <v>40967</v>
          </cell>
          <cell r="H428">
            <v>250983.84</v>
          </cell>
          <cell r="I428" t="str">
            <v>FIN Submission</v>
          </cell>
          <cell r="J428">
            <v>43906</v>
          </cell>
        </row>
        <row r="429">
          <cell r="A429" t="str">
            <v>47474-D663</v>
          </cell>
          <cell r="B429" t="str">
            <v>IR 447 Brenton</v>
          </cell>
          <cell r="C429" t="str">
            <v>FIN Approval - Internal</v>
          </cell>
          <cell r="D429">
            <v>66</v>
          </cell>
          <cell r="E429" t="str">
            <v>APPROVED</v>
          </cell>
          <cell r="F429">
            <v>42614</v>
          </cell>
          <cell r="G429">
            <v>43890</v>
          </cell>
          <cell r="H429">
            <v>0</v>
          </cell>
          <cell r="I429" t="str">
            <v>FIN Submission</v>
          </cell>
          <cell r="J429">
            <v>43906</v>
          </cell>
        </row>
        <row r="430">
          <cell r="A430" t="str">
            <v>48893-SG41</v>
          </cell>
          <cell r="B430" t="str">
            <v>TUC3 IP Turbine Refurbishment</v>
          </cell>
          <cell r="C430" t="str">
            <v>FIN Approval - Internal</v>
          </cell>
          <cell r="D430">
            <v>67</v>
          </cell>
          <cell r="E430" t="str">
            <v>APPROVED</v>
          </cell>
          <cell r="F430">
            <v>43070</v>
          </cell>
          <cell r="G430">
            <v>43829</v>
          </cell>
          <cell r="H430">
            <v>5466520.46</v>
          </cell>
          <cell r="I430" t="str">
            <v>FIN Submission</v>
          </cell>
          <cell r="J430">
            <v>43906</v>
          </cell>
        </row>
        <row r="431">
          <cell r="A431" t="str">
            <v>47169-D646</v>
          </cell>
          <cell r="B431" t="str">
            <v>IR 453 Gardiner Mines  II</v>
          </cell>
          <cell r="C431" t="str">
            <v>FIN Approval - Internal</v>
          </cell>
          <cell r="D431">
            <v>69</v>
          </cell>
          <cell r="E431" t="str">
            <v>APPROVED</v>
          </cell>
          <cell r="F431">
            <v>42400</v>
          </cell>
          <cell r="G431">
            <v>43861</v>
          </cell>
          <cell r="H431">
            <v>0</v>
          </cell>
          <cell r="I431" t="str">
            <v>FIN Submission</v>
          </cell>
          <cell r="J431">
            <v>43906</v>
          </cell>
        </row>
        <row r="432">
          <cell r="A432" t="str">
            <v>47332-H736</v>
          </cell>
          <cell r="B432" t="str">
            <v>HYD - Methals Overhaul</v>
          </cell>
          <cell r="C432" t="str">
            <v>FIN Approval - Internal</v>
          </cell>
          <cell r="D432">
            <v>73</v>
          </cell>
          <cell r="E432" t="str">
            <v>APPROVED</v>
          </cell>
          <cell r="F432">
            <v>42916</v>
          </cell>
          <cell r="G432">
            <v>43737</v>
          </cell>
          <cell r="H432">
            <v>2622212.44</v>
          </cell>
          <cell r="I432" t="str">
            <v>FIN Submission</v>
          </cell>
          <cell r="J432">
            <v>43906</v>
          </cell>
        </row>
        <row r="433">
          <cell r="A433" t="str">
            <v>46873-D615</v>
          </cell>
          <cell r="B433" t="str">
            <v>IR 277 Point Aconi</v>
          </cell>
          <cell r="C433" t="str">
            <v>FIN Approval - Internal</v>
          </cell>
          <cell r="D433">
            <v>73</v>
          </cell>
          <cell r="E433" t="str">
            <v>APPROVED</v>
          </cell>
          <cell r="F433">
            <v>42231</v>
          </cell>
          <cell r="G433">
            <v>43890</v>
          </cell>
          <cell r="H433">
            <v>0</v>
          </cell>
          <cell r="I433" t="str">
            <v>FIN Submission</v>
          </cell>
          <cell r="J433">
            <v>43906</v>
          </cell>
        </row>
        <row r="434">
          <cell r="A434" t="str">
            <v>46712-D604</v>
          </cell>
          <cell r="B434" t="str">
            <v>IR 334 Fitzpatrick Mountain</v>
          </cell>
          <cell r="C434" t="str">
            <v>FIN Approval - Internal</v>
          </cell>
          <cell r="D434">
            <v>75</v>
          </cell>
          <cell r="E434" t="str">
            <v>APPROVED</v>
          </cell>
          <cell r="F434">
            <v>42271</v>
          </cell>
          <cell r="G434">
            <v>43830</v>
          </cell>
          <cell r="H434">
            <v>0</v>
          </cell>
          <cell r="I434" t="str">
            <v>FIN Submission</v>
          </cell>
          <cell r="J434">
            <v>43906</v>
          </cell>
        </row>
        <row r="435">
          <cell r="A435" t="str">
            <v>46633-D603</v>
          </cell>
          <cell r="B435" t="str">
            <v>IR 333 Limerock</v>
          </cell>
          <cell r="C435" t="str">
            <v>FIN Approval - Internal</v>
          </cell>
          <cell r="D435">
            <v>77</v>
          </cell>
          <cell r="E435" t="str">
            <v>APPROVED</v>
          </cell>
          <cell r="F435">
            <v>42257</v>
          </cell>
          <cell r="G435">
            <v>43830</v>
          </cell>
          <cell r="H435">
            <v>0</v>
          </cell>
          <cell r="I435" t="str">
            <v>FIN Submission</v>
          </cell>
          <cell r="J435">
            <v>43906</v>
          </cell>
        </row>
        <row r="436">
          <cell r="A436" t="str">
            <v>46499-SG20</v>
          </cell>
          <cell r="B436" t="str">
            <v>AMO Stator Rewind Kit Cap Spare</v>
          </cell>
          <cell r="C436" t="str">
            <v>FIN Approval - Internal</v>
          </cell>
          <cell r="D436">
            <v>80</v>
          </cell>
          <cell r="E436" t="str">
            <v>APPROVED</v>
          </cell>
          <cell r="F436">
            <v>43342</v>
          </cell>
          <cell r="G436">
            <v>43890</v>
          </cell>
          <cell r="H436">
            <v>2917465.75</v>
          </cell>
          <cell r="I436" t="str">
            <v>FIN Submission</v>
          </cell>
          <cell r="J436">
            <v>43906</v>
          </cell>
        </row>
        <row r="437">
          <cell r="A437" t="str">
            <v>40785-W116</v>
          </cell>
          <cell r="B437" t="str">
            <v>Sable Wind</v>
          </cell>
          <cell r="C437" t="str">
            <v>FIN Approval - Internal</v>
          </cell>
          <cell r="D437">
            <v>130</v>
          </cell>
          <cell r="E437" t="str">
            <v>APPROVED</v>
          </cell>
          <cell r="F437">
            <v>42003</v>
          </cell>
          <cell r="G437">
            <v>44196</v>
          </cell>
          <cell r="H437">
            <v>12366192.32</v>
          </cell>
          <cell r="I437" t="str">
            <v>FIN Submission</v>
          </cell>
          <cell r="J437">
            <v>43906</v>
          </cell>
        </row>
        <row r="438">
          <cell r="A438" t="str">
            <v>C0016358</v>
          </cell>
          <cell r="B438" t="str">
            <v>TUC1 Secondary Superheater Safety V</v>
          </cell>
          <cell r="C438" t="str">
            <v>FIN Approval - Internal</v>
          </cell>
          <cell r="D438">
            <v>12</v>
          </cell>
          <cell r="E438" t="str">
            <v>APPROVED</v>
          </cell>
          <cell r="F438">
            <v>43644</v>
          </cell>
          <cell r="G438">
            <v>43890</v>
          </cell>
          <cell r="H438">
            <v>83535.789999999994</v>
          </cell>
          <cell r="I438" t="str">
            <v>FIN Submission</v>
          </cell>
          <cell r="J438">
            <v>43892</v>
          </cell>
        </row>
        <row r="439">
          <cell r="A439" t="str">
            <v>C0013301</v>
          </cell>
          <cell r="B439" t="str">
            <v>HYD ANN Seal Water Piping UU</v>
          </cell>
          <cell r="C439" t="str">
            <v>FIN Approval - Internal</v>
          </cell>
          <cell r="D439">
            <v>13</v>
          </cell>
          <cell r="E439" t="str">
            <v>APPROVED</v>
          </cell>
          <cell r="F439">
            <v>43434</v>
          </cell>
          <cell r="G439">
            <v>43615</v>
          </cell>
          <cell r="H439">
            <v>72598.92</v>
          </cell>
          <cell r="I439" t="str">
            <v>FIN Submission</v>
          </cell>
          <cell r="J439">
            <v>43892</v>
          </cell>
        </row>
        <row r="440">
          <cell r="A440" t="str">
            <v>C0009058</v>
          </cell>
          <cell r="B440" t="str">
            <v>LIN Plant Light Upgrade Phase III</v>
          </cell>
          <cell r="C440" t="str">
            <v>FIN Approval - Internal</v>
          </cell>
          <cell r="D440">
            <v>18</v>
          </cell>
          <cell r="E440" t="str">
            <v>APPROVED</v>
          </cell>
          <cell r="F440">
            <v>43647</v>
          </cell>
          <cell r="G440">
            <v>43830</v>
          </cell>
          <cell r="H440">
            <v>239748.25</v>
          </cell>
          <cell r="I440" t="str">
            <v>FIN Submission</v>
          </cell>
          <cell r="J440">
            <v>43892</v>
          </cell>
        </row>
        <row r="441">
          <cell r="A441" t="str">
            <v>C0010419</v>
          </cell>
          <cell r="B441" t="str">
            <v>HYD UU Avon 2 Controls Refurb.</v>
          </cell>
          <cell r="C441" t="str">
            <v>FIN Approval - Internal</v>
          </cell>
          <cell r="D441">
            <v>19</v>
          </cell>
          <cell r="E441" t="str">
            <v>APPROVED</v>
          </cell>
          <cell r="F441">
            <v>43404</v>
          </cell>
          <cell r="G441">
            <v>43617</v>
          </cell>
          <cell r="H441">
            <v>244427.17</v>
          </cell>
          <cell r="I441" t="str">
            <v>FIN Submission</v>
          </cell>
          <cell r="J441">
            <v>43892</v>
          </cell>
        </row>
        <row r="442">
          <cell r="A442" t="str">
            <v>C0003238</v>
          </cell>
          <cell r="B442" t="str">
            <v>HYD LEQ Plant Output Cable Replacem</v>
          </cell>
          <cell r="C442" t="str">
            <v>FIN Approval - Internal</v>
          </cell>
          <cell r="D442">
            <v>20</v>
          </cell>
          <cell r="E442" t="str">
            <v>APPROVED</v>
          </cell>
          <cell r="F442">
            <v>43100</v>
          </cell>
          <cell r="G442">
            <v>43465</v>
          </cell>
          <cell r="H442">
            <v>657688.31999999995</v>
          </cell>
          <cell r="I442" t="str">
            <v>FIN Submission</v>
          </cell>
          <cell r="J442">
            <v>43892</v>
          </cell>
        </row>
        <row r="443">
          <cell r="A443" t="str">
            <v>C0009167</v>
          </cell>
          <cell r="B443" t="str">
            <v>TUC WWTP Clarifier Refurbishment</v>
          </cell>
          <cell r="C443" t="str">
            <v>FIN Approval - Internal</v>
          </cell>
          <cell r="D443">
            <v>20</v>
          </cell>
          <cell r="E443" t="str">
            <v>APPROVED</v>
          </cell>
          <cell r="F443">
            <v>43667</v>
          </cell>
          <cell r="G443">
            <v>43890</v>
          </cell>
          <cell r="H443">
            <v>57992.58</v>
          </cell>
          <cell r="I443" t="str">
            <v>FIN Submission</v>
          </cell>
          <cell r="J443">
            <v>43892</v>
          </cell>
        </row>
        <row r="444">
          <cell r="A444" t="str">
            <v>C0004638</v>
          </cell>
          <cell r="B444" t="str">
            <v>D-126H-312 Marine Dr PH2- Insul</v>
          </cell>
          <cell r="C444" t="str">
            <v>FIN Approval - Internal</v>
          </cell>
          <cell r="D444">
            <v>23</v>
          </cell>
          <cell r="E444" t="str">
            <v>APPROVED</v>
          </cell>
          <cell r="F444">
            <v>43373</v>
          </cell>
          <cell r="G444">
            <v>43889</v>
          </cell>
          <cell r="H444">
            <v>173249.86</v>
          </cell>
          <cell r="I444" t="str">
            <v>FIN Submission</v>
          </cell>
          <cell r="J444">
            <v>43892</v>
          </cell>
        </row>
        <row r="445">
          <cell r="A445" t="str">
            <v>C0005878</v>
          </cell>
          <cell r="B445" t="str">
            <v>D-129H-412 Bedford Highway- Recondu</v>
          </cell>
          <cell r="C445" t="str">
            <v>FIN Approval - Internal</v>
          </cell>
          <cell r="D445">
            <v>23</v>
          </cell>
          <cell r="E445" t="str">
            <v>APPROVED</v>
          </cell>
          <cell r="F445">
            <v>43373</v>
          </cell>
          <cell r="G445">
            <v>43890</v>
          </cell>
          <cell r="H445">
            <v>65191.16</v>
          </cell>
          <cell r="I445" t="str">
            <v>FIN Submission</v>
          </cell>
          <cell r="J445">
            <v>43892</v>
          </cell>
        </row>
        <row r="446">
          <cell r="A446" t="str">
            <v>C0002231</v>
          </cell>
          <cell r="B446" t="str">
            <v>HYD DHA Purchase</v>
          </cell>
          <cell r="C446" t="str">
            <v>FIN Approval - Internal</v>
          </cell>
          <cell r="D446">
            <v>23</v>
          </cell>
          <cell r="E446" t="str">
            <v>APPROVED</v>
          </cell>
          <cell r="F446">
            <v>43281</v>
          </cell>
          <cell r="G446">
            <v>43464</v>
          </cell>
          <cell r="H446">
            <v>53357</v>
          </cell>
          <cell r="I446" t="str">
            <v>FIN Submission</v>
          </cell>
          <cell r="J446">
            <v>43892</v>
          </cell>
        </row>
        <row r="447">
          <cell r="A447" t="str">
            <v>C0007599</v>
          </cell>
          <cell r="B447" t="str">
            <v>LM6000 TUC5 VBV Duct Upgrade</v>
          </cell>
          <cell r="C447" t="str">
            <v>FIN Approval - Internal</v>
          </cell>
          <cell r="D447">
            <v>23</v>
          </cell>
          <cell r="E447" t="str">
            <v>APPROVED</v>
          </cell>
          <cell r="F447">
            <v>43464</v>
          </cell>
          <cell r="G447">
            <v>43617</v>
          </cell>
          <cell r="H447">
            <v>228838.93</v>
          </cell>
          <cell r="I447" t="str">
            <v>FIN Submission</v>
          </cell>
          <cell r="J447">
            <v>43892</v>
          </cell>
        </row>
        <row r="448">
          <cell r="A448" t="str">
            <v>C0001660</v>
          </cell>
          <cell r="B448" t="str">
            <v>HYD ANN Stator Refurbishment</v>
          </cell>
          <cell r="C448" t="str">
            <v>FIN Approval - Internal</v>
          </cell>
          <cell r="D448">
            <v>25</v>
          </cell>
          <cell r="E448" t="str">
            <v>APPROVED</v>
          </cell>
          <cell r="F448">
            <v>43069</v>
          </cell>
          <cell r="G448">
            <v>44196</v>
          </cell>
          <cell r="H448">
            <v>378373.23</v>
          </cell>
          <cell r="I448" t="str">
            <v>FIN Submission</v>
          </cell>
          <cell r="J448">
            <v>43892</v>
          </cell>
        </row>
        <row r="449">
          <cell r="A449" t="str">
            <v>C0002738</v>
          </cell>
          <cell r="B449" t="str">
            <v>HYD WRC Backup Gen Install</v>
          </cell>
          <cell r="C449" t="str">
            <v>FIN Approval - Internal</v>
          </cell>
          <cell r="D449">
            <v>28</v>
          </cell>
          <cell r="E449" t="str">
            <v>APPROVED</v>
          </cell>
          <cell r="F449">
            <v>43084</v>
          </cell>
          <cell r="G449">
            <v>43617</v>
          </cell>
          <cell r="H449">
            <v>-10252.76</v>
          </cell>
          <cell r="I449" t="str">
            <v>FIN Submission</v>
          </cell>
          <cell r="J449">
            <v>43892</v>
          </cell>
        </row>
        <row r="450">
          <cell r="A450" t="str">
            <v>51491-D853</v>
          </cell>
          <cell r="B450" t="str">
            <v>622V-211 King St Replacements</v>
          </cell>
          <cell r="C450" t="str">
            <v>FIN Approval - Internal</v>
          </cell>
          <cell r="D450">
            <v>29</v>
          </cell>
          <cell r="E450" t="str">
            <v>APPROVED</v>
          </cell>
          <cell r="F450">
            <v>43281</v>
          </cell>
          <cell r="G450">
            <v>43465</v>
          </cell>
          <cell r="H450">
            <v>246198.37</v>
          </cell>
          <cell r="I450" t="str">
            <v>FIN Submission</v>
          </cell>
          <cell r="J450">
            <v>43892</v>
          </cell>
        </row>
        <row r="451">
          <cell r="A451" t="str">
            <v>51771-H834</v>
          </cell>
          <cell r="B451" t="str">
            <v>HYD WRC Tailrace Road Refurb</v>
          </cell>
          <cell r="C451" t="str">
            <v>FIN Approval - Internal</v>
          </cell>
          <cell r="D451">
            <v>30</v>
          </cell>
          <cell r="E451" t="str">
            <v>APPROVED</v>
          </cell>
          <cell r="F451">
            <v>43100</v>
          </cell>
          <cell r="G451">
            <v>43462</v>
          </cell>
          <cell r="H451">
            <v>329979.77</v>
          </cell>
          <cell r="I451" t="str">
            <v>FIN Submission</v>
          </cell>
          <cell r="J451">
            <v>43892</v>
          </cell>
        </row>
        <row r="452">
          <cell r="A452" t="str">
            <v>52252</v>
          </cell>
          <cell r="B452" t="str">
            <v>LIN1 SH5 Tube Replacement</v>
          </cell>
          <cell r="C452" t="str">
            <v>FIN Approval - Internal</v>
          </cell>
          <cell r="D452">
            <v>30</v>
          </cell>
          <cell r="E452" t="str">
            <v>APPROVED</v>
          </cell>
          <cell r="F452">
            <v>43370</v>
          </cell>
          <cell r="G452">
            <v>43612</v>
          </cell>
          <cell r="H452">
            <v>600706.04</v>
          </cell>
          <cell r="I452" t="str">
            <v>FIN Submission</v>
          </cell>
          <cell r="J452">
            <v>43892</v>
          </cell>
        </row>
        <row r="453">
          <cell r="A453" t="str">
            <v>C0001438</v>
          </cell>
          <cell r="B453" t="str">
            <v>POA - Coal Chute Refurbishment</v>
          </cell>
          <cell r="C453" t="str">
            <v>FIN Approval - Internal</v>
          </cell>
          <cell r="D453">
            <v>30</v>
          </cell>
          <cell r="E453" t="str">
            <v>APPROVED</v>
          </cell>
          <cell r="F453">
            <v>43385</v>
          </cell>
          <cell r="G453">
            <v>43617</v>
          </cell>
          <cell r="H453">
            <v>154909.81</v>
          </cell>
          <cell r="I453" t="str">
            <v>FIN Submission</v>
          </cell>
          <cell r="J453">
            <v>43892</v>
          </cell>
        </row>
        <row r="454">
          <cell r="A454" t="str">
            <v>50934-H817</v>
          </cell>
          <cell r="B454" t="str">
            <v>HYD HMS Lighting Upgrade</v>
          </cell>
          <cell r="C454" t="str">
            <v>FIN Approval - Internal</v>
          </cell>
          <cell r="D454">
            <v>31</v>
          </cell>
          <cell r="E454" t="str">
            <v>APPROVED</v>
          </cell>
          <cell r="F454">
            <v>43039</v>
          </cell>
          <cell r="G454">
            <v>43465</v>
          </cell>
          <cell r="H454">
            <v>61750.2</v>
          </cell>
          <cell r="I454" t="str">
            <v>FIN Submission</v>
          </cell>
          <cell r="J454">
            <v>43892</v>
          </cell>
        </row>
        <row r="455">
          <cell r="A455" t="str">
            <v>51318-T961</v>
          </cell>
          <cell r="B455" t="str">
            <v>L-5055 - 98W-Rio Algom Tin Mine</v>
          </cell>
          <cell r="C455" t="str">
            <v>FIN Approval - Internal</v>
          </cell>
          <cell r="D455">
            <v>31</v>
          </cell>
          <cell r="E455" t="str">
            <v>APPROVED</v>
          </cell>
          <cell r="F455">
            <v>43434</v>
          </cell>
          <cell r="G455">
            <v>43890</v>
          </cell>
          <cell r="H455">
            <v>12793.63</v>
          </cell>
          <cell r="I455" t="str">
            <v>FIN Submission</v>
          </cell>
          <cell r="J455">
            <v>43892</v>
          </cell>
        </row>
        <row r="456">
          <cell r="A456" t="str">
            <v>51805</v>
          </cell>
          <cell r="B456" t="str">
            <v>LIN4 Boiler Refurbishment 2018</v>
          </cell>
          <cell r="C456" t="str">
            <v>FIN Approval - Internal</v>
          </cell>
          <cell r="D456">
            <v>31</v>
          </cell>
          <cell r="E456" t="str">
            <v>APPROVED</v>
          </cell>
          <cell r="F456">
            <v>43280</v>
          </cell>
          <cell r="G456">
            <v>43830</v>
          </cell>
          <cell r="H456">
            <v>828066.94</v>
          </cell>
          <cell r="I456" t="str">
            <v>FIN Submission</v>
          </cell>
          <cell r="J456">
            <v>43892</v>
          </cell>
        </row>
        <row r="457">
          <cell r="A457" t="str">
            <v>52082</v>
          </cell>
          <cell r="B457" t="str">
            <v>POA Flame Scanners SUB Valve Train</v>
          </cell>
          <cell r="C457" t="str">
            <v>FIN Approval - Internal</v>
          </cell>
          <cell r="D457">
            <v>31</v>
          </cell>
          <cell r="E457" t="str">
            <v>APPROVED</v>
          </cell>
          <cell r="F457">
            <v>43393</v>
          </cell>
          <cell r="G457">
            <v>43819</v>
          </cell>
          <cell r="H457">
            <v>202422.61</v>
          </cell>
          <cell r="I457" t="str">
            <v>FIN Submission</v>
          </cell>
          <cell r="J457">
            <v>43892</v>
          </cell>
        </row>
        <row r="458">
          <cell r="A458" t="str">
            <v>50911-P136</v>
          </cell>
          <cell r="B458" t="str">
            <v>HYD - WRC Snowmobile Replacement</v>
          </cell>
          <cell r="C458" t="str">
            <v>FIN Approval - Internal</v>
          </cell>
          <cell r="D458">
            <v>32</v>
          </cell>
          <cell r="E458" t="str">
            <v>APPROVED</v>
          </cell>
          <cell r="F458">
            <v>42794</v>
          </cell>
          <cell r="G458">
            <v>42978</v>
          </cell>
          <cell r="H458">
            <v>10374</v>
          </cell>
          <cell r="I458" t="str">
            <v>FIN Submission</v>
          </cell>
          <cell r="J458">
            <v>43892</v>
          </cell>
        </row>
        <row r="459">
          <cell r="A459" t="str">
            <v>50851-H812</v>
          </cell>
          <cell r="B459" t="str">
            <v>HYD WRC Lighting Upgrades</v>
          </cell>
          <cell r="C459" t="str">
            <v>FIN Approval - Internal</v>
          </cell>
          <cell r="D459">
            <v>32</v>
          </cell>
          <cell r="E459" t="str">
            <v>APPROVED</v>
          </cell>
          <cell r="F459">
            <v>43100</v>
          </cell>
          <cell r="G459">
            <v>43312</v>
          </cell>
          <cell r="H459">
            <v>135571.4</v>
          </cell>
          <cell r="I459" t="str">
            <v>FIN Submission</v>
          </cell>
          <cell r="J459">
            <v>43892</v>
          </cell>
        </row>
        <row r="460">
          <cell r="A460" t="str">
            <v>52067</v>
          </cell>
          <cell r="B460" t="str">
            <v>POA Valve Component Replacement</v>
          </cell>
          <cell r="C460" t="str">
            <v>FIN Approval - Internal</v>
          </cell>
          <cell r="D460">
            <v>32</v>
          </cell>
          <cell r="E460" t="str">
            <v>APPROVED</v>
          </cell>
          <cell r="F460">
            <v>43393</v>
          </cell>
          <cell r="G460">
            <v>43617</v>
          </cell>
          <cell r="H460">
            <v>186838.71</v>
          </cell>
          <cell r="I460" t="str">
            <v>FIN Submission</v>
          </cell>
          <cell r="J460">
            <v>43892</v>
          </cell>
        </row>
        <row r="461">
          <cell r="A461" t="str">
            <v>52012-D882</v>
          </cell>
          <cell r="B461" t="str">
            <v xml:space="preserve">Voltage Regulator Replacement </v>
          </cell>
          <cell r="C461" t="str">
            <v>FIN Approval - Internal</v>
          </cell>
          <cell r="D461">
            <v>32</v>
          </cell>
          <cell r="E461" t="str">
            <v>APPROVED</v>
          </cell>
          <cell r="F461">
            <v>43159</v>
          </cell>
          <cell r="G461">
            <v>43861</v>
          </cell>
          <cell r="H461">
            <v>68246.95</v>
          </cell>
          <cell r="I461" t="str">
            <v>FIN Submission</v>
          </cell>
          <cell r="J461">
            <v>43892</v>
          </cell>
        </row>
        <row r="462">
          <cell r="A462" t="str">
            <v>51970-D878</v>
          </cell>
          <cell r="B462" t="str">
            <v>58C-405 Margaree Forks Rebuild</v>
          </cell>
          <cell r="C462" t="str">
            <v>FIN Approval - Internal</v>
          </cell>
          <cell r="D462">
            <v>33</v>
          </cell>
          <cell r="E462" t="str">
            <v>APPROVED</v>
          </cell>
          <cell r="F462">
            <v>43159</v>
          </cell>
          <cell r="G462">
            <v>43830</v>
          </cell>
          <cell r="H462">
            <v>199911.22</v>
          </cell>
          <cell r="I462" t="str">
            <v>FIN Submission</v>
          </cell>
          <cell r="J462">
            <v>43892</v>
          </cell>
        </row>
        <row r="463">
          <cell r="A463" t="str">
            <v>51779-H835</v>
          </cell>
          <cell r="B463" t="str">
            <v>HYD WRC Intake Gate Seal Replace</v>
          </cell>
          <cell r="C463" t="str">
            <v>FIN Approval - Internal</v>
          </cell>
          <cell r="D463">
            <v>34</v>
          </cell>
          <cell r="E463" t="str">
            <v>APPROVED</v>
          </cell>
          <cell r="F463">
            <v>43373</v>
          </cell>
          <cell r="G463">
            <v>43646</v>
          </cell>
          <cell r="H463">
            <v>21857.96</v>
          </cell>
          <cell r="I463" t="str">
            <v>FIN Submission</v>
          </cell>
          <cell r="J463">
            <v>43892</v>
          </cell>
        </row>
        <row r="464">
          <cell r="A464" t="str">
            <v>51096-T942</v>
          </cell>
          <cell r="B464" t="str">
            <v>L-5019 Replacements and Upgrades</v>
          </cell>
          <cell r="C464" t="str">
            <v>FIN Approval - Internal</v>
          </cell>
          <cell r="D464">
            <v>34</v>
          </cell>
          <cell r="E464" t="str">
            <v>APPROVED</v>
          </cell>
          <cell r="F464">
            <v>43100</v>
          </cell>
          <cell r="G464">
            <v>43890</v>
          </cell>
          <cell r="H464">
            <v>159521.62</v>
          </cell>
          <cell r="I464" t="str">
            <v>FIN Submission</v>
          </cell>
          <cell r="J464">
            <v>43892</v>
          </cell>
        </row>
        <row r="465">
          <cell r="A465" t="str">
            <v>51521-D857</v>
          </cell>
          <cell r="B465" t="str">
            <v>3S-302-3S-308 Reconfigure</v>
          </cell>
          <cell r="C465" t="str">
            <v>FIN Approval - Internal</v>
          </cell>
          <cell r="D465">
            <v>35</v>
          </cell>
          <cell r="E465" t="str">
            <v>APPROVED</v>
          </cell>
          <cell r="F465">
            <v>43677</v>
          </cell>
          <cell r="G465">
            <v>43890</v>
          </cell>
          <cell r="H465">
            <v>362054.11</v>
          </cell>
          <cell r="I465" t="str">
            <v>FIN Submission</v>
          </cell>
          <cell r="J465">
            <v>43892</v>
          </cell>
        </row>
        <row r="466">
          <cell r="A466" t="str">
            <v>51742-T966</v>
          </cell>
          <cell r="B466" t="str">
            <v>88S-302 Metal Clad Switchgear Repl.</v>
          </cell>
          <cell r="C466" t="str">
            <v>FIN Approval - Internal</v>
          </cell>
          <cell r="D466">
            <v>35</v>
          </cell>
          <cell r="E466" t="str">
            <v>APPROVED</v>
          </cell>
          <cell r="F466">
            <v>43343</v>
          </cell>
          <cell r="G466">
            <v>43890</v>
          </cell>
          <cell r="H466">
            <v>310725.88</v>
          </cell>
          <cell r="I466" t="str">
            <v>FIN Submission</v>
          </cell>
          <cell r="J466">
            <v>43892</v>
          </cell>
        </row>
        <row r="467">
          <cell r="A467" t="str">
            <v>50517-P131</v>
          </cell>
          <cell r="B467" t="str">
            <v>PTMT - Coal pile storage optimizati</v>
          </cell>
          <cell r="C467" t="str">
            <v>FIN Approval - Internal</v>
          </cell>
          <cell r="D467">
            <v>35</v>
          </cell>
          <cell r="E467" t="str">
            <v>APPROVED</v>
          </cell>
          <cell r="F467">
            <v>43099</v>
          </cell>
          <cell r="G467">
            <v>43433</v>
          </cell>
          <cell r="H467">
            <v>216659.82</v>
          </cell>
          <cell r="I467" t="str">
            <v>FIN Submission</v>
          </cell>
          <cell r="J467">
            <v>43892</v>
          </cell>
        </row>
        <row r="468">
          <cell r="A468" t="str">
            <v>51407-H824</v>
          </cell>
          <cell r="B468" t="str">
            <v>HYD PAR Pipe Leak Repair</v>
          </cell>
          <cell r="C468" t="str">
            <v>FIN Approval - Internal</v>
          </cell>
          <cell r="D468">
            <v>37</v>
          </cell>
          <cell r="E468" t="str">
            <v>APPROVED</v>
          </cell>
          <cell r="F468">
            <v>43281</v>
          </cell>
          <cell r="G468">
            <v>43617</v>
          </cell>
          <cell r="H468">
            <v>248727.95</v>
          </cell>
          <cell r="I468" t="str">
            <v>FIN Submission</v>
          </cell>
          <cell r="J468">
            <v>43892</v>
          </cell>
        </row>
        <row r="469">
          <cell r="A469" t="str">
            <v>50773-H801</v>
          </cell>
          <cell r="B469" t="str">
            <v>HYD HG1 ORRA</v>
          </cell>
          <cell r="C469" t="str">
            <v>FIN Approval - Internal</v>
          </cell>
          <cell r="D469">
            <v>38</v>
          </cell>
          <cell r="E469" t="str">
            <v>APPROVED</v>
          </cell>
          <cell r="F469">
            <v>43373</v>
          </cell>
          <cell r="G469">
            <v>43829</v>
          </cell>
          <cell r="H469">
            <v>231117.04</v>
          </cell>
          <cell r="I469" t="str">
            <v>FIN Submission</v>
          </cell>
          <cell r="J469">
            <v>43892</v>
          </cell>
        </row>
        <row r="470">
          <cell r="A470" t="str">
            <v>50832-H809</v>
          </cell>
          <cell r="B470" t="str">
            <v>HYD WHR HMI Replacement</v>
          </cell>
          <cell r="C470" t="str">
            <v>FIN Approval - Internal</v>
          </cell>
          <cell r="D470">
            <v>38</v>
          </cell>
          <cell r="E470" t="str">
            <v>APPROVED</v>
          </cell>
          <cell r="F470">
            <v>43465</v>
          </cell>
          <cell r="G470">
            <v>43830</v>
          </cell>
          <cell r="H470">
            <v>23195.59</v>
          </cell>
          <cell r="I470" t="str">
            <v>FIN Submission</v>
          </cell>
          <cell r="J470">
            <v>43892</v>
          </cell>
        </row>
        <row r="471">
          <cell r="A471" t="str">
            <v>49623-H783</v>
          </cell>
          <cell r="B471" t="str">
            <v>HYD - Grand Lake Radio Comm Upgrade</v>
          </cell>
          <cell r="C471" t="str">
            <v>FIN Approval - Internal</v>
          </cell>
          <cell r="D471">
            <v>46</v>
          </cell>
          <cell r="E471" t="str">
            <v>APPROVED</v>
          </cell>
          <cell r="F471">
            <v>43008</v>
          </cell>
          <cell r="G471">
            <v>43465</v>
          </cell>
          <cell r="H471">
            <v>83610.91</v>
          </cell>
          <cell r="I471" t="str">
            <v>FIN Submission</v>
          </cell>
          <cell r="J471">
            <v>43892</v>
          </cell>
        </row>
        <row r="472">
          <cell r="A472" t="str">
            <v>49632-H780</v>
          </cell>
          <cell r="B472" t="str">
            <v>HYD - White Rock Canal Refurb</v>
          </cell>
          <cell r="C472" t="str">
            <v>FIN Approval - Internal</v>
          </cell>
          <cell r="D472">
            <v>46</v>
          </cell>
          <cell r="E472" t="str">
            <v>APPROVED</v>
          </cell>
          <cell r="F472">
            <v>43099</v>
          </cell>
          <cell r="G472">
            <v>43464</v>
          </cell>
          <cell r="H472">
            <v>386339.85</v>
          </cell>
          <cell r="I472" t="str">
            <v>FIN Submission</v>
          </cell>
          <cell r="J472">
            <v>43892</v>
          </cell>
        </row>
        <row r="473">
          <cell r="A473" t="str">
            <v>49867-D789</v>
          </cell>
          <cell r="B473" t="str">
            <v>55V-313-Berwick North Upgrade</v>
          </cell>
          <cell r="C473" t="str">
            <v>FIN Approval - Internal</v>
          </cell>
          <cell r="D473">
            <v>47</v>
          </cell>
          <cell r="E473" t="str">
            <v>APPROVED</v>
          </cell>
          <cell r="F473">
            <v>43133</v>
          </cell>
          <cell r="G473">
            <v>43829</v>
          </cell>
          <cell r="H473">
            <v>417925.99</v>
          </cell>
          <cell r="I473" t="str">
            <v>FIN Submission</v>
          </cell>
          <cell r="J473">
            <v>43892</v>
          </cell>
        </row>
        <row r="474">
          <cell r="A474" t="str">
            <v>48019-H744</v>
          </cell>
          <cell r="B474" t="str">
            <v>HYD - WRC Common Facility Repairs</v>
          </cell>
          <cell r="C474" t="str">
            <v>FIN Approval - Internal</v>
          </cell>
          <cell r="D474">
            <v>47</v>
          </cell>
          <cell r="E474" t="str">
            <v>APPROVED</v>
          </cell>
          <cell r="F474">
            <v>43465</v>
          </cell>
          <cell r="G474">
            <v>43799</v>
          </cell>
          <cell r="H474">
            <v>217938.8</v>
          </cell>
          <cell r="I474" t="str">
            <v>FIN Submission</v>
          </cell>
          <cell r="J474">
            <v>43892</v>
          </cell>
        </row>
        <row r="475">
          <cell r="A475" t="str">
            <v>50017-G223</v>
          </cell>
          <cell r="B475" t="str">
            <v>TUC4 U&amp;U CEMS Installation</v>
          </cell>
          <cell r="C475" t="str">
            <v>FIN Approval - Internal</v>
          </cell>
          <cell r="D475">
            <v>47</v>
          </cell>
          <cell r="E475" t="str">
            <v>APPROVED</v>
          </cell>
          <cell r="F475">
            <v>42886</v>
          </cell>
          <cell r="G475">
            <v>43617</v>
          </cell>
          <cell r="H475">
            <v>420262.26</v>
          </cell>
          <cell r="I475" t="str">
            <v>FIN Submission</v>
          </cell>
          <cell r="J475">
            <v>43892</v>
          </cell>
        </row>
        <row r="476">
          <cell r="A476" t="str">
            <v>46582-T842</v>
          </cell>
          <cell r="B476" t="str">
            <v>L5569 Upgrade</v>
          </cell>
          <cell r="C476" t="str">
            <v>FIN Approval - Internal</v>
          </cell>
          <cell r="D476">
            <v>49</v>
          </cell>
          <cell r="E476" t="str">
            <v>APPROVED</v>
          </cell>
          <cell r="F476">
            <v>42459</v>
          </cell>
          <cell r="G476">
            <v>42916</v>
          </cell>
          <cell r="H476">
            <v>149514.29999999999</v>
          </cell>
          <cell r="I476" t="str">
            <v>FIN Submission</v>
          </cell>
          <cell r="J476">
            <v>43892</v>
          </cell>
        </row>
        <row r="477">
          <cell r="A477" t="str">
            <v>48774-H764</v>
          </cell>
          <cell r="B477" t="str">
            <v>HYD - Milton Shop HVAC Upgrade</v>
          </cell>
          <cell r="C477" t="str">
            <v>FIN Approval - Internal</v>
          </cell>
          <cell r="D477">
            <v>58</v>
          </cell>
          <cell r="E477" t="str">
            <v>APPROVED</v>
          </cell>
          <cell r="F477">
            <v>43312</v>
          </cell>
          <cell r="G477">
            <v>43616</v>
          </cell>
          <cell r="H477">
            <v>721810.16</v>
          </cell>
          <cell r="I477" t="str">
            <v>FIN Submission</v>
          </cell>
          <cell r="J477">
            <v>43892</v>
          </cell>
        </row>
        <row r="478">
          <cell r="A478" t="str">
            <v>48020-H746</v>
          </cell>
          <cell r="B478" t="str">
            <v>HYD - RUT3 Generator Refurb</v>
          </cell>
          <cell r="C478" t="str">
            <v>FIN Approval - Internal</v>
          </cell>
          <cell r="D478">
            <v>61</v>
          </cell>
          <cell r="E478" t="str">
            <v>APPROVED</v>
          </cell>
          <cell r="F478">
            <v>42643</v>
          </cell>
          <cell r="G478">
            <v>43312</v>
          </cell>
          <cell r="H478">
            <v>1213592.3700000001</v>
          </cell>
          <cell r="I478" t="str">
            <v>FIN Submission</v>
          </cell>
          <cell r="J478">
            <v>43892</v>
          </cell>
        </row>
        <row r="479">
          <cell r="A479" t="str">
            <v>48066-T880</v>
          </cell>
          <cell r="B479" t="str">
            <v>2016 PCB Removal - Substation</v>
          </cell>
          <cell r="C479" t="str">
            <v>FIN Approval - Internal</v>
          </cell>
          <cell r="D479">
            <v>62</v>
          </cell>
          <cell r="E479" t="str">
            <v>APPROVED</v>
          </cell>
          <cell r="F479">
            <v>42461</v>
          </cell>
          <cell r="G479">
            <v>43890</v>
          </cell>
          <cell r="H479">
            <v>3526302.04</v>
          </cell>
          <cell r="I479" t="str">
            <v>FIN Submission</v>
          </cell>
          <cell r="J479">
            <v>43892</v>
          </cell>
        </row>
        <row r="480">
          <cell r="A480" t="str">
            <v>47903-SI19</v>
          </cell>
          <cell r="B480" t="str">
            <v>TUC2 Lube Oil Coolers Refurbishment</v>
          </cell>
          <cell r="C480" t="str">
            <v>FIN Approval - Internal</v>
          </cell>
          <cell r="D480">
            <v>62</v>
          </cell>
          <cell r="E480" t="str">
            <v>APPROVED</v>
          </cell>
          <cell r="F480">
            <v>42899</v>
          </cell>
          <cell r="G480">
            <v>43860</v>
          </cell>
          <cell r="H480">
            <v>216656.11</v>
          </cell>
          <cell r="I480" t="str">
            <v>FIN Submission</v>
          </cell>
          <cell r="J480">
            <v>43892</v>
          </cell>
        </row>
        <row r="481">
          <cell r="A481" t="str">
            <v>48396-H749</v>
          </cell>
          <cell r="B481" t="str">
            <v>HYD - Bridge Remediation</v>
          </cell>
          <cell r="C481" t="str">
            <v>FIN Approval - Internal</v>
          </cell>
          <cell r="D481">
            <v>64</v>
          </cell>
          <cell r="E481" t="str">
            <v>APPROVED</v>
          </cell>
          <cell r="F481">
            <v>43434</v>
          </cell>
          <cell r="G481">
            <v>43830</v>
          </cell>
          <cell r="H481">
            <v>714833.46</v>
          </cell>
          <cell r="I481" t="str">
            <v>FIN Submission</v>
          </cell>
          <cell r="J481">
            <v>43892</v>
          </cell>
        </row>
        <row r="482">
          <cell r="A482" t="str">
            <v>47953-SH46</v>
          </cell>
          <cell r="B482" t="str">
            <v>LIN Railcar Positioner Upgrade</v>
          </cell>
          <cell r="C482" t="str">
            <v>FIN Approval - Internal</v>
          </cell>
          <cell r="D482">
            <v>66</v>
          </cell>
          <cell r="E482" t="str">
            <v>APPROVED</v>
          </cell>
          <cell r="F482">
            <v>42998</v>
          </cell>
          <cell r="G482">
            <v>43830</v>
          </cell>
          <cell r="H482">
            <v>607544.79</v>
          </cell>
          <cell r="I482" t="str">
            <v>FIN Submission</v>
          </cell>
          <cell r="J482">
            <v>43892</v>
          </cell>
        </row>
        <row r="483">
          <cell r="A483" t="str">
            <v>47648-H756</v>
          </cell>
          <cell r="B483" t="str">
            <v>HYD - Lequille Pipeline Replacement</v>
          </cell>
          <cell r="C483" t="str">
            <v>FIN Approval - Internal</v>
          </cell>
          <cell r="D483">
            <v>67</v>
          </cell>
          <cell r="E483" t="str">
            <v>APPROVED</v>
          </cell>
          <cell r="F483">
            <v>43008</v>
          </cell>
          <cell r="G483">
            <v>43709</v>
          </cell>
          <cell r="H483">
            <v>925166.74</v>
          </cell>
          <cell r="I483" t="str">
            <v>FIN Submission</v>
          </cell>
          <cell r="J483">
            <v>43892</v>
          </cell>
        </row>
        <row r="484">
          <cell r="A484" t="str">
            <v>47786-D777</v>
          </cell>
          <cell r="B484" t="str">
            <v>129H Kearney Lake Load Transfer</v>
          </cell>
          <cell r="C484" t="str">
            <v>FIN Approval - Internal</v>
          </cell>
          <cell r="D484">
            <v>69</v>
          </cell>
          <cell r="E484" t="str">
            <v>APPROVED</v>
          </cell>
          <cell r="F484">
            <v>43144</v>
          </cell>
          <cell r="G484">
            <v>43951</v>
          </cell>
          <cell r="H484">
            <v>315885.74</v>
          </cell>
          <cell r="I484" t="str">
            <v>FIN Submission</v>
          </cell>
          <cell r="J484">
            <v>43892</v>
          </cell>
        </row>
        <row r="485">
          <cell r="A485" t="str">
            <v>47876-H741</v>
          </cell>
          <cell r="B485" t="str">
            <v>HYD - Lequille Overhaul</v>
          </cell>
          <cell r="C485" t="str">
            <v>FIN Approval - Internal</v>
          </cell>
          <cell r="D485">
            <v>71</v>
          </cell>
          <cell r="E485" t="str">
            <v>APPROVED</v>
          </cell>
          <cell r="F485">
            <v>43190</v>
          </cell>
          <cell r="G485">
            <v>43800</v>
          </cell>
          <cell r="H485">
            <v>2378233.0099999998</v>
          </cell>
          <cell r="I485" t="str">
            <v>FIN Submission</v>
          </cell>
          <cell r="J485">
            <v>43892</v>
          </cell>
        </row>
        <row r="486">
          <cell r="A486" t="str">
            <v>46657-P959</v>
          </cell>
          <cell r="B486" t="str">
            <v>Inspection Serv Analyzer Rplcm</v>
          </cell>
          <cell r="C486" t="str">
            <v>FIN Approval - Internal</v>
          </cell>
          <cell r="D486">
            <v>71</v>
          </cell>
          <cell r="E486" t="str">
            <v>APPROVED</v>
          </cell>
          <cell r="F486">
            <v>42643</v>
          </cell>
          <cell r="G486">
            <v>42824</v>
          </cell>
          <cell r="H486">
            <v>322217.21999999997</v>
          </cell>
          <cell r="I486" t="str">
            <v>FIN Submission</v>
          </cell>
          <cell r="J486">
            <v>43892</v>
          </cell>
        </row>
        <row r="487">
          <cell r="A487" t="str">
            <v>47172-H735</v>
          </cell>
          <cell r="B487" t="str">
            <v>HYD - Tidewater 1 Overhaul</v>
          </cell>
          <cell r="C487" t="str">
            <v>FIN Approval - Internal</v>
          </cell>
          <cell r="D487">
            <v>73</v>
          </cell>
          <cell r="E487" t="str">
            <v>APPROVED</v>
          </cell>
          <cell r="F487">
            <v>42766</v>
          </cell>
          <cell r="G487">
            <v>43799</v>
          </cell>
          <cell r="H487">
            <v>2190991.29</v>
          </cell>
          <cell r="I487" t="str">
            <v>FIN Submission</v>
          </cell>
          <cell r="J487">
            <v>43892</v>
          </cell>
        </row>
        <row r="488">
          <cell r="A488" t="str">
            <v>46397-T855</v>
          </cell>
          <cell r="B488" t="str">
            <v>Substation Telemetry</v>
          </cell>
          <cell r="C488" t="str">
            <v>FIN Approval - Internal</v>
          </cell>
          <cell r="D488">
            <v>73</v>
          </cell>
          <cell r="E488" t="str">
            <v>APPROVED</v>
          </cell>
          <cell r="F488">
            <v>43008</v>
          </cell>
          <cell r="G488">
            <v>43465</v>
          </cell>
          <cell r="H488">
            <v>204833.29</v>
          </cell>
          <cell r="I488" t="str">
            <v>FIN Submission</v>
          </cell>
          <cell r="J488">
            <v>43892</v>
          </cell>
        </row>
        <row r="489">
          <cell r="A489" t="str">
            <v>28185-P707</v>
          </cell>
          <cell r="B489" t="str">
            <v>U &amp; U RETIREMENT - SALE OF NSPI LAN</v>
          </cell>
          <cell r="C489" t="str">
            <v>FIN Approval - Internal</v>
          </cell>
          <cell r="D489">
            <v>5</v>
          </cell>
          <cell r="E489" t="str">
            <v>APPROVED</v>
          </cell>
          <cell r="F489">
            <v>38898</v>
          </cell>
          <cell r="G489">
            <v>38960</v>
          </cell>
          <cell r="H489">
            <v>-500</v>
          </cell>
          <cell r="I489" t="str">
            <v>FIN Submission</v>
          </cell>
          <cell r="J489">
            <v>43889</v>
          </cell>
        </row>
        <row r="490">
          <cell r="A490" t="str">
            <v>43806-SB12</v>
          </cell>
          <cell r="B490" t="str">
            <v>U&amp;U RheoVac 950 Condenser</v>
          </cell>
          <cell r="C490" t="str">
            <v>FIN Approval - Internal</v>
          </cell>
          <cell r="D490">
            <v>25</v>
          </cell>
          <cell r="E490" t="str">
            <v>APPROVED</v>
          </cell>
          <cell r="F490">
            <v>41243</v>
          </cell>
          <cell r="G490">
            <v>41363</v>
          </cell>
          <cell r="H490">
            <v>43605.66</v>
          </cell>
          <cell r="I490" t="str">
            <v>FIN Submission</v>
          </cell>
          <cell r="J490">
            <v>43889</v>
          </cell>
        </row>
        <row r="491">
          <cell r="A491" t="str">
            <v>43046</v>
          </cell>
          <cell r="B491" t="str">
            <v>POA UU Front End Loader Replacement</v>
          </cell>
          <cell r="C491" t="str">
            <v>FIN Approval - Internal</v>
          </cell>
          <cell r="D491">
            <v>40</v>
          </cell>
          <cell r="E491" t="str">
            <v>APPROVED</v>
          </cell>
          <cell r="F491">
            <v>43419</v>
          </cell>
          <cell r="G491">
            <v>43646</v>
          </cell>
          <cell r="H491">
            <v>167632.62</v>
          </cell>
          <cell r="I491" t="str">
            <v>FIN Submission</v>
          </cell>
          <cell r="J491">
            <v>43889</v>
          </cell>
        </row>
        <row r="492">
          <cell r="A492" t="str">
            <v>45996-D588</v>
          </cell>
          <cell r="B492" t="str">
            <v>Shore Power Service Supply</v>
          </cell>
          <cell r="C492" t="str">
            <v>FIN Approval - Internal</v>
          </cell>
          <cell r="D492">
            <v>45</v>
          </cell>
          <cell r="E492" t="str">
            <v>APPROVED</v>
          </cell>
          <cell r="F492">
            <v>41943</v>
          </cell>
          <cell r="G492">
            <v>42094</v>
          </cell>
          <cell r="H492">
            <v>43644.42</v>
          </cell>
          <cell r="I492" t="str">
            <v>FIN Submission</v>
          </cell>
          <cell r="J492">
            <v>43889</v>
          </cell>
        </row>
        <row r="493">
          <cell r="A493" t="str">
            <v>40582-P830</v>
          </cell>
          <cell r="B493" t="str">
            <v>Power Consumption Monitoring Equip</v>
          </cell>
          <cell r="C493" t="str">
            <v>FIN Approval - Internal</v>
          </cell>
          <cell r="D493">
            <v>72</v>
          </cell>
          <cell r="E493" t="str">
            <v>APPROVED</v>
          </cell>
          <cell r="F493">
            <v>40633</v>
          </cell>
          <cell r="G493">
            <v>40654</v>
          </cell>
          <cell r="H493">
            <v>10580</v>
          </cell>
          <cell r="I493" t="str">
            <v>FIN Submission</v>
          </cell>
          <cell r="J493">
            <v>43889</v>
          </cell>
        </row>
        <row r="494">
          <cell r="A494" t="str">
            <v>27726-P686</v>
          </cell>
          <cell r="B494" t="str">
            <v>PURCHASE OF ANNAPOLIS ROYAL LAND</v>
          </cell>
          <cell r="C494" t="str">
            <v>FIN Approval - Internal</v>
          </cell>
          <cell r="D494">
            <v>78</v>
          </cell>
          <cell r="E494" t="str">
            <v>APPROVED</v>
          </cell>
          <cell r="F494">
            <v>40785</v>
          </cell>
          <cell r="G494">
            <v>43132</v>
          </cell>
          <cell r="H494">
            <v>1996</v>
          </cell>
          <cell r="I494" t="str">
            <v>FIN Submission</v>
          </cell>
          <cell r="J494">
            <v>43889</v>
          </cell>
        </row>
        <row r="495">
          <cell r="A495" t="str">
            <v>46333-T864</v>
          </cell>
          <cell r="B495" t="str">
            <v>L6538 Replacements</v>
          </cell>
          <cell r="C495" t="str">
            <v>FIN Approval - Internal</v>
          </cell>
          <cell r="D495">
            <v>80</v>
          </cell>
          <cell r="E495" t="str">
            <v>APPROVED</v>
          </cell>
          <cell r="F495">
            <v>42428</v>
          </cell>
          <cell r="G495">
            <v>43465</v>
          </cell>
          <cell r="H495">
            <v>911299.45</v>
          </cell>
          <cell r="I495" t="str">
            <v>FIN Submission</v>
          </cell>
          <cell r="J495">
            <v>43889</v>
          </cell>
        </row>
        <row r="496">
          <cell r="A496" t="str">
            <v>45171-H716</v>
          </cell>
          <cell r="B496" t="str">
            <v>HYD - Avon 1 Pipeline Replacement</v>
          </cell>
          <cell r="C496" t="str">
            <v>FIN Approval - Internal</v>
          </cell>
          <cell r="D496">
            <v>90</v>
          </cell>
          <cell r="E496" t="str">
            <v>APPROVED</v>
          </cell>
          <cell r="F496">
            <v>42338</v>
          </cell>
          <cell r="G496">
            <v>43465</v>
          </cell>
          <cell r="H496">
            <v>1128916.5900000001</v>
          </cell>
          <cell r="I496" t="str">
            <v>FIN Submission</v>
          </cell>
          <cell r="J496">
            <v>43889</v>
          </cell>
        </row>
        <row r="497">
          <cell r="A497" t="str">
            <v>44594-H701</v>
          </cell>
          <cell r="B497" t="str">
            <v>HYD - Ruth Falls Canal Repair</v>
          </cell>
          <cell r="C497" t="str">
            <v>FIN Approval - Internal</v>
          </cell>
          <cell r="D497">
            <v>90</v>
          </cell>
          <cell r="E497" t="str">
            <v>APPROVED</v>
          </cell>
          <cell r="F497">
            <v>42524</v>
          </cell>
          <cell r="G497">
            <v>42673</v>
          </cell>
          <cell r="H497">
            <v>125555.56</v>
          </cell>
          <cell r="I497" t="str">
            <v>FIN Submission</v>
          </cell>
          <cell r="J497">
            <v>43889</v>
          </cell>
        </row>
        <row r="498">
          <cell r="A498" t="str">
            <v>44981-T871</v>
          </cell>
          <cell r="B498" t="str">
            <v>2C Port Hastings Tx Replacement</v>
          </cell>
          <cell r="C498" t="str">
            <v>FIN Approval - Internal</v>
          </cell>
          <cell r="D498">
            <v>95</v>
          </cell>
          <cell r="E498" t="str">
            <v>APPROVED</v>
          </cell>
          <cell r="F498">
            <v>43069</v>
          </cell>
          <cell r="G498">
            <v>43861</v>
          </cell>
          <cell r="H498">
            <v>2006133.93</v>
          </cell>
          <cell r="I498" t="str">
            <v>FIN Submission</v>
          </cell>
          <cell r="J498">
            <v>43889</v>
          </cell>
        </row>
        <row r="499">
          <cell r="A499" t="str">
            <v>45189-H704</v>
          </cell>
          <cell r="B499" t="str">
            <v>HYD - ULF #2 Overhaul</v>
          </cell>
          <cell r="C499" t="str">
            <v>FIN Approval - Internal</v>
          </cell>
          <cell r="D499">
            <v>95</v>
          </cell>
          <cell r="E499" t="str">
            <v>APPROVED</v>
          </cell>
          <cell r="F499">
            <v>43434</v>
          </cell>
          <cell r="G499">
            <v>43830</v>
          </cell>
          <cell r="H499">
            <v>420736.9</v>
          </cell>
          <cell r="I499" t="str">
            <v>FIN Submission</v>
          </cell>
          <cell r="J499">
            <v>43889</v>
          </cell>
        </row>
        <row r="500">
          <cell r="A500" t="str">
            <v>44506-H693</v>
          </cell>
          <cell r="B500" t="str">
            <v>HYD - WRC 600V Breaker Refurb</v>
          </cell>
          <cell r="C500" t="str">
            <v>FIN Approval - Internal</v>
          </cell>
          <cell r="D500">
            <v>96</v>
          </cell>
          <cell r="E500" t="str">
            <v>APPROVED</v>
          </cell>
          <cell r="F500">
            <v>41943</v>
          </cell>
          <cell r="G500">
            <v>44177</v>
          </cell>
          <cell r="H500">
            <v>183579.46</v>
          </cell>
          <cell r="I500" t="str">
            <v>FIN Submission</v>
          </cell>
          <cell r="J500">
            <v>43889</v>
          </cell>
        </row>
        <row r="501">
          <cell r="A501" t="str">
            <v>44669-H714</v>
          </cell>
          <cell r="B501" t="str">
            <v>HYD - Wreck Cove Fire Sup. Upgrades</v>
          </cell>
          <cell r="C501" t="str">
            <v>FIN Approval - Internal</v>
          </cell>
          <cell r="D501">
            <v>97</v>
          </cell>
          <cell r="E501" t="str">
            <v>APPROVED</v>
          </cell>
          <cell r="F501">
            <v>43008</v>
          </cell>
          <cell r="G501">
            <v>43281</v>
          </cell>
          <cell r="H501">
            <v>1952659.86</v>
          </cell>
          <cell r="I501" t="str">
            <v>FIN Submission</v>
          </cell>
          <cell r="J501">
            <v>43889</v>
          </cell>
        </row>
        <row r="502">
          <cell r="A502" t="str">
            <v>43811-H671</v>
          </cell>
          <cell r="B502" t="str">
            <v xml:space="preserve">HYD ANN UU Albany Build. Replace </v>
          </cell>
          <cell r="C502" t="str">
            <v>FIN Approval - Internal</v>
          </cell>
          <cell r="D502">
            <v>101</v>
          </cell>
          <cell r="E502" t="str">
            <v>APPROVED</v>
          </cell>
          <cell r="F502">
            <v>42400</v>
          </cell>
          <cell r="G502">
            <v>43100</v>
          </cell>
          <cell r="H502">
            <v>99965.42</v>
          </cell>
          <cell r="I502" t="str">
            <v>FIN Submission</v>
          </cell>
          <cell r="J502">
            <v>43889</v>
          </cell>
        </row>
        <row r="503">
          <cell r="A503" t="str">
            <v>18881-S400</v>
          </cell>
          <cell r="B503" t="str">
            <v>PRE ENG FLUE GAS DESULPHURISATION (</v>
          </cell>
          <cell r="C503" t="str">
            <v>FIN Approval - Internal</v>
          </cell>
          <cell r="D503">
            <v>134</v>
          </cell>
          <cell r="E503" t="str">
            <v>APPROVED</v>
          </cell>
          <cell r="F503">
            <v>39903</v>
          </cell>
          <cell r="G503">
            <v>39903</v>
          </cell>
          <cell r="H503">
            <v>-2981.27</v>
          </cell>
          <cell r="I503" t="str">
            <v>FIN Submission</v>
          </cell>
          <cell r="J503">
            <v>43889</v>
          </cell>
        </row>
        <row r="504">
          <cell r="A504" t="str">
            <v>32242-P782</v>
          </cell>
          <cell r="B504" t="str">
            <v xml:space="preserve">GS Upgrade of Ambient Air Shelters </v>
          </cell>
          <cell r="C504" t="str">
            <v>FIN Approval - Internal</v>
          </cell>
          <cell r="D504">
            <v>135</v>
          </cell>
          <cell r="E504" t="str">
            <v>APPROVED</v>
          </cell>
          <cell r="F504">
            <v>43101</v>
          </cell>
          <cell r="G504">
            <v>43677</v>
          </cell>
          <cell r="H504">
            <v>125487.94</v>
          </cell>
          <cell r="I504" t="str">
            <v>FIN Submission</v>
          </cell>
          <cell r="J504">
            <v>43889</v>
          </cell>
        </row>
        <row r="505">
          <cell r="A505" t="str">
            <v>40266-T671</v>
          </cell>
          <cell r="B505" t="str">
            <v>L6002 Deteriorated Replacement 2012</v>
          </cell>
          <cell r="C505" t="str">
            <v>FIN Approval - Internal</v>
          </cell>
          <cell r="D505">
            <v>136</v>
          </cell>
          <cell r="E505" t="str">
            <v>APPROVED</v>
          </cell>
          <cell r="F505">
            <v>41179</v>
          </cell>
          <cell r="G505">
            <v>43465</v>
          </cell>
          <cell r="H505">
            <v>1102189.4099999999</v>
          </cell>
          <cell r="I505" t="str">
            <v>FIN Submission</v>
          </cell>
          <cell r="J505">
            <v>43889</v>
          </cell>
        </row>
        <row r="506">
          <cell r="A506" t="str">
            <v>41133-H666</v>
          </cell>
          <cell r="B506" t="str">
            <v>HYD - WRC Standby Generator Rplcmnt</v>
          </cell>
          <cell r="C506" t="str">
            <v>FIN Approval - Internal</v>
          </cell>
          <cell r="D506">
            <v>138</v>
          </cell>
          <cell r="E506" t="str">
            <v>APPROVED</v>
          </cell>
          <cell r="F506">
            <v>43008</v>
          </cell>
          <cell r="G506">
            <v>43465</v>
          </cell>
          <cell r="H506">
            <v>232413.62</v>
          </cell>
          <cell r="I506" t="str">
            <v>FIN Submission</v>
          </cell>
          <cell r="J506">
            <v>43889</v>
          </cell>
        </row>
        <row r="507">
          <cell r="A507" t="str">
            <v>39542-S672</v>
          </cell>
          <cell r="B507" t="str">
            <v>Generator Protection Improvements</v>
          </cell>
          <cell r="C507" t="str">
            <v>FIN Approval - Internal</v>
          </cell>
          <cell r="D507">
            <v>164</v>
          </cell>
          <cell r="E507" t="str">
            <v>APPROVED</v>
          </cell>
          <cell r="F507">
            <v>41608</v>
          </cell>
          <cell r="G507">
            <v>43100</v>
          </cell>
          <cell r="H507">
            <v>436061.53</v>
          </cell>
          <cell r="I507" t="str">
            <v>FIN Submission</v>
          </cell>
          <cell r="J507">
            <v>43889</v>
          </cell>
        </row>
        <row r="508">
          <cell r="A508" t="str">
            <v>39023-P792</v>
          </cell>
          <cell r="B508" t="str">
            <v>LIN 3 PE-Rotor Rewind</v>
          </cell>
          <cell r="C508" t="str">
            <v>FIN Approval - Internal</v>
          </cell>
          <cell r="D508">
            <v>177</v>
          </cell>
          <cell r="E508" t="str">
            <v>APPROVED</v>
          </cell>
          <cell r="F508">
            <v>42185</v>
          </cell>
          <cell r="G508">
            <v>42794</v>
          </cell>
          <cell r="H508">
            <v>17188.27</v>
          </cell>
          <cell r="I508" t="str">
            <v>FIN Submission</v>
          </cell>
          <cell r="J508">
            <v>43889</v>
          </cell>
        </row>
        <row r="509">
          <cell r="A509" t="str">
            <v>C0012860</v>
          </cell>
          <cell r="B509" t="str">
            <v>POA UU RH Tube Refurbishment 2018</v>
          </cell>
          <cell r="C509" t="str">
            <v>FIN Approval - Internal</v>
          </cell>
          <cell r="D509">
            <v>6</v>
          </cell>
          <cell r="E509" t="str">
            <v>APPROVED</v>
          </cell>
          <cell r="F509">
            <v>43388</v>
          </cell>
          <cell r="G509">
            <v>43830</v>
          </cell>
          <cell r="H509">
            <v>465996.43</v>
          </cell>
          <cell r="I509" t="str">
            <v>FIN Submission</v>
          </cell>
          <cell r="J509">
            <v>43885</v>
          </cell>
        </row>
        <row r="510">
          <cell r="A510" t="str">
            <v>C0007600</v>
          </cell>
          <cell r="B510" t="str">
            <v>LM6000 TUC5 SPRINT system upgrade</v>
          </cell>
          <cell r="C510" t="str">
            <v>FIN Approval - Internal</v>
          </cell>
          <cell r="D510">
            <v>20</v>
          </cell>
          <cell r="E510" t="str">
            <v>APPROVED</v>
          </cell>
          <cell r="F510">
            <v>43708</v>
          </cell>
          <cell r="G510">
            <v>43769</v>
          </cell>
          <cell r="H510">
            <v>138850.85</v>
          </cell>
          <cell r="I510" t="str">
            <v>FIN Submission</v>
          </cell>
          <cell r="J510">
            <v>43885</v>
          </cell>
        </row>
        <row r="511">
          <cell r="A511" t="str">
            <v>51319-H827</v>
          </cell>
          <cell r="B511" t="str">
            <v>HYD DEB Floor Extension</v>
          </cell>
          <cell r="C511" t="str">
            <v>FIN Approval - Internal</v>
          </cell>
          <cell r="D511">
            <v>29</v>
          </cell>
          <cell r="E511" t="str">
            <v>APPROVED</v>
          </cell>
          <cell r="F511">
            <v>42903</v>
          </cell>
          <cell r="G511">
            <v>43188</v>
          </cell>
          <cell r="H511">
            <v>7017.07</v>
          </cell>
          <cell r="I511" t="str">
            <v>FIN Submission</v>
          </cell>
          <cell r="J511">
            <v>43885</v>
          </cell>
        </row>
        <row r="512">
          <cell r="A512" t="str">
            <v>49683-SH71</v>
          </cell>
          <cell r="B512" t="str">
            <v>TUC2 Switchgear IR Windows and Refu</v>
          </cell>
          <cell r="C512" t="str">
            <v>FIN Approval - Internal</v>
          </cell>
          <cell r="D512">
            <v>47</v>
          </cell>
          <cell r="E512" t="str">
            <v>APPROVED</v>
          </cell>
          <cell r="F512">
            <v>42916</v>
          </cell>
          <cell r="G512">
            <v>43860</v>
          </cell>
          <cell r="H512">
            <v>31277.35</v>
          </cell>
          <cell r="I512" t="str">
            <v>FIN Submission</v>
          </cell>
          <cell r="J512">
            <v>43885</v>
          </cell>
        </row>
        <row r="513">
          <cell r="A513" t="str">
            <v>47155-H732</v>
          </cell>
          <cell r="B513" t="str">
            <v>HYD - ANN Chlorine Generator Replac</v>
          </cell>
          <cell r="C513" t="str">
            <v>FIN Approval - Internal</v>
          </cell>
          <cell r="D513">
            <v>55</v>
          </cell>
          <cell r="E513" t="str">
            <v>APPROVED</v>
          </cell>
          <cell r="F513">
            <v>42947</v>
          </cell>
          <cell r="G513">
            <v>44196</v>
          </cell>
          <cell r="H513">
            <v>88966.69</v>
          </cell>
          <cell r="I513" t="str">
            <v>FIN Submission</v>
          </cell>
          <cell r="J513">
            <v>43885</v>
          </cell>
        </row>
        <row r="514">
          <cell r="A514" t="str">
            <v>46757-T867</v>
          </cell>
          <cell r="B514" t="str">
            <v>88S Lingan 230kV BPS Upgrades</v>
          </cell>
          <cell r="C514" t="str">
            <v>FIN Approval - Internal</v>
          </cell>
          <cell r="D514">
            <v>80</v>
          </cell>
          <cell r="E514" t="str">
            <v>APPROVED</v>
          </cell>
          <cell r="F514">
            <v>43039</v>
          </cell>
          <cell r="G514">
            <v>43829</v>
          </cell>
          <cell r="H514">
            <v>3296759.76</v>
          </cell>
          <cell r="I514" t="str">
            <v>FIN Submission</v>
          </cell>
          <cell r="J514">
            <v>43885</v>
          </cell>
        </row>
        <row r="515">
          <cell r="A515" t="str">
            <v>40316-H608</v>
          </cell>
          <cell r="B515" t="str">
            <v>HYD - Barteaux Culvert Refurbish</v>
          </cell>
          <cell r="C515" t="str">
            <v>FIN Approval - Internal</v>
          </cell>
          <cell r="D515">
            <v>84</v>
          </cell>
          <cell r="E515" t="str">
            <v>APPROVED</v>
          </cell>
          <cell r="F515">
            <v>41153</v>
          </cell>
          <cell r="G515">
            <v>41304</v>
          </cell>
          <cell r="H515">
            <v>211188.82</v>
          </cell>
          <cell r="I515" t="str">
            <v>FIN Submission</v>
          </cell>
          <cell r="J515">
            <v>43885</v>
          </cell>
        </row>
        <row r="516">
          <cell r="A516" t="str">
            <v>40229-P860</v>
          </cell>
          <cell r="B516" t="str">
            <v>Protective Equip Test Center Upgrad</v>
          </cell>
          <cell r="C516" t="str">
            <v>FIN Approval - Internal</v>
          </cell>
          <cell r="D516">
            <v>86</v>
          </cell>
          <cell r="E516" t="str">
            <v>APPROVED</v>
          </cell>
          <cell r="F516">
            <v>41392</v>
          </cell>
          <cell r="G516">
            <v>43861</v>
          </cell>
          <cell r="H516">
            <v>1099235.68</v>
          </cell>
          <cell r="I516" t="str">
            <v>FIN Submission</v>
          </cell>
          <cell r="J516">
            <v>43885</v>
          </cell>
        </row>
        <row r="517">
          <cell r="A517" t="str">
            <v>28098-S353</v>
          </cell>
          <cell r="B517" t="str">
            <v xml:space="preserve">TUC 6  Waste Heat Recovery </v>
          </cell>
          <cell r="C517" t="str">
            <v>FIN Approval - Internal</v>
          </cell>
          <cell r="D517">
            <v>168</v>
          </cell>
          <cell r="E517" t="str">
            <v>APPROVED</v>
          </cell>
          <cell r="F517">
            <v>40940</v>
          </cell>
          <cell r="G517">
            <v>43890</v>
          </cell>
          <cell r="H517">
            <v>92996572.370000005</v>
          </cell>
          <cell r="I517" t="str">
            <v>FIN Submission</v>
          </cell>
          <cell r="J517">
            <v>43885</v>
          </cell>
        </row>
        <row r="518">
          <cell r="A518" t="str">
            <v>C0012379</v>
          </cell>
          <cell r="B518" t="str">
            <v>LIN UU Wheeled Dozer Engine Replace</v>
          </cell>
          <cell r="C518" t="str">
            <v>FIN Approval - Internal</v>
          </cell>
          <cell r="D518">
            <v>7</v>
          </cell>
          <cell r="E518" t="str">
            <v>APPROVED</v>
          </cell>
          <cell r="F518">
            <v>43403</v>
          </cell>
          <cell r="G518">
            <v>43830</v>
          </cell>
          <cell r="H518">
            <v>59264.26</v>
          </cell>
          <cell r="I518" t="str">
            <v>FIN Submission</v>
          </cell>
          <cell r="J518">
            <v>43874</v>
          </cell>
        </row>
        <row r="519">
          <cell r="A519" t="str">
            <v>C0008246</v>
          </cell>
          <cell r="B519" t="str">
            <v>LIN2 UU Boiler Refurbishment 2018</v>
          </cell>
          <cell r="C519" t="str">
            <v>FIN Approval - Internal</v>
          </cell>
          <cell r="D519">
            <v>13</v>
          </cell>
          <cell r="E519" t="str">
            <v>APPROVED</v>
          </cell>
          <cell r="F519">
            <v>43202</v>
          </cell>
          <cell r="G519">
            <v>43446</v>
          </cell>
          <cell r="H519">
            <v>98377.41</v>
          </cell>
          <cell r="I519" t="str">
            <v>FIN Submission</v>
          </cell>
          <cell r="J519">
            <v>43874</v>
          </cell>
        </row>
        <row r="520">
          <cell r="A520" t="str">
            <v>C0009315</v>
          </cell>
          <cell r="B520" t="str">
            <v>POA UU Solid Fuel Cracker Refurbish</v>
          </cell>
          <cell r="C520" t="str">
            <v>FIN Approval - Internal</v>
          </cell>
          <cell r="D520">
            <v>13</v>
          </cell>
          <cell r="E520" t="str">
            <v>APPROVED</v>
          </cell>
          <cell r="F520">
            <v>43404</v>
          </cell>
          <cell r="G520">
            <v>43464</v>
          </cell>
          <cell r="H520">
            <v>88379.71</v>
          </cell>
          <cell r="I520" t="str">
            <v>FIN Submission</v>
          </cell>
          <cell r="J520">
            <v>43874</v>
          </cell>
        </row>
        <row r="521">
          <cell r="A521" t="str">
            <v>C0007718</v>
          </cell>
          <cell r="B521" t="str">
            <v>LIN3 UU Burner Front Component Repl</v>
          </cell>
          <cell r="C521" t="str">
            <v>FIN Approval - Internal</v>
          </cell>
          <cell r="D521">
            <v>14</v>
          </cell>
          <cell r="E521" t="str">
            <v>APPROVED</v>
          </cell>
          <cell r="F521">
            <v>43250</v>
          </cell>
          <cell r="G521">
            <v>43464</v>
          </cell>
          <cell r="H521">
            <v>345902.61</v>
          </cell>
          <cell r="I521" t="str">
            <v>FIN Submission</v>
          </cell>
          <cell r="J521">
            <v>43874</v>
          </cell>
        </row>
        <row r="522">
          <cell r="A522" t="str">
            <v>C0003218</v>
          </cell>
          <cell r="B522" t="str">
            <v>ICP  UU Bridge Stringer Refurb.</v>
          </cell>
          <cell r="C522" t="str">
            <v>FIN Approval - Internal</v>
          </cell>
          <cell r="D522">
            <v>18</v>
          </cell>
          <cell r="E522" t="str">
            <v>APPROVED</v>
          </cell>
          <cell r="F522">
            <v>43187</v>
          </cell>
          <cell r="G522">
            <v>43462</v>
          </cell>
          <cell r="H522">
            <v>75870.94</v>
          </cell>
          <cell r="I522" t="str">
            <v>FIN Submission</v>
          </cell>
          <cell r="J522">
            <v>43874</v>
          </cell>
        </row>
        <row r="523">
          <cell r="A523" t="str">
            <v>52041</v>
          </cell>
          <cell r="B523" t="str">
            <v>LIN Siding Refurbishment Phase 2</v>
          </cell>
          <cell r="C523" t="str">
            <v>FIN Approval - Internal</v>
          </cell>
          <cell r="D523">
            <v>25</v>
          </cell>
          <cell r="E523" t="str">
            <v>APPROVED</v>
          </cell>
          <cell r="F523">
            <v>43363</v>
          </cell>
          <cell r="G523">
            <v>43454</v>
          </cell>
          <cell r="H523">
            <v>249445.73</v>
          </cell>
          <cell r="I523" t="str">
            <v>FIN Submission</v>
          </cell>
          <cell r="J523">
            <v>43874</v>
          </cell>
        </row>
        <row r="524">
          <cell r="A524" t="str">
            <v>51824</v>
          </cell>
          <cell r="B524" t="str">
            <v>LIN3 ID Fan VIVs</v>
          </cell>
          <cell r="C524" t="str">
            <v>FIN Approval - Internal</v>
          </cell>
          <cell r="D524">
            <v>25</v>
          </cell>
          <cell r="E524" t="str">
            <v>APPROVED</v>
          </cell>
          <cell r="F524">
            <v>43194</v>
          </cell>
          <cell r="G524">
            <v>43465</v>
          </cell>
          <cell r="H524">
            <v>464602.89</v>
          </cell>
          <cell r="I524" t="str">
            <v>FIN Submission</v>
          </cell>
          <cell r="J524">
            <v>43874</v>
          </cell>
        </row>
        <row r="525">
          <cell r="A525" t="str">
            <v>52074</v>
          </cell>
          <cell r="B525" t="str">
            <v>POA Automated Sweeper</v>
          </cell>
          <cell r="C525" t="str">
            <v>FIN Approval - Internal</v>
          </cell>
          <cell r="D525">
            <v>25</v>
          </cell>
          <cell r="E525" t="str">
            <v>APPROVED</v>
          </cell>
          <cell r="F525">
            <v>43271</v>
          </cell>
          <cell r="G525">
            <v>43454</v>
          </cell>
          <cell r="H525">
            <v>96638.04</v>
          </cell>
          <cell r="I525" t="str">
            <v>FIN Submission</v>
          </cell>
          <cell r="J525">
            <v>43874</v>
          </cell>
        </row>
        <row r="526">
          <cell r="A526" t="str">
            <v>52066</v>
          </cell>
          <cell r="B526" t="str">
            <v>POA Expansion Joint Replacement</v>
          </cell>
          <cell r="C526" t="str">
            <v>FIN Approval - Internal</v>
          </cell>
          <cell r="D526">
            <v>25</v>
          </cell>
          <cell r="E526" t="str">
            <v>APPROVED</v>
          </cell>
          <cell r="F526">
            <v>43393</v>
          </cell>
          <cell r="G526">
            <v>43454</v>
          </cell>
          <cell r="H526">
            <v>181557.93</v>
          </cell>
          <cell r="I526" t="str">
            <v>FIN Submission</v>
          </cell>
          <cell r="J526">
            <v>43874</v>
          </cell>
        </row>
        <row r="527">
          <cell r="A527" t="str">
            <v>52078</v>
          </cell>
          <cell r="B527" t="str">
            <v>POA Frontwall Pipe Replacement</v>
          </cell>
          <cell r="C527" t="str">
            <v>FIN Approval - Internal</v>
          </cell>
          <cell r="D527">
            <v>25</v>
          </cell>
          <cell r="E527" t="str">
            <v>APPROVED</v>
          </cell>
          <cell r="F527">
            <v>43383</v>
          </cell>
          <cell r="G527">
            <v>43454</v>
          </cell>
          <cell r="H527">
            <v>165216.64000000001</v>
          </cell>
          <cell r="I527" t="str">
            <v>FIN Submission</v>
          </cell>
          <cell r="J527">
            <v>43874</v>
          </cell>
        </row>
        <row r="528">
          <cell r="A528" t="str">
            <v>52071</v>
          </cell>
          <cell r="B528" t="str">
            <v>POA Plant Lighting Upgrade</v>
          </cell>
          <cell r="C528" t="str">
            <v>FIN Approval - Internal</v>
          </cell>
          <cell r="D528">
            <v>25</v>
          </cell>
          <cell r="E528" t="str">
            <v>APPROVED</v>
          </cell>
          <cell r="F528">
            <v>43320</v>
          </cell>
          <cell r="G528">
            <v>43454</v>
          </cell>
          <cell r="H528">
            <v>170079.83</v>
          </cell>
          <cell r="I528" t="str">
            <v>FIN Submission</v>
          </cell>
          <cell r="J528">
            <v>43874</v>
          </cell>
        </row>
        <row r="529">
          <cell r="A529" t="str">
            <v>52051</v>
          </cell>
          <cell r="B529" t="str">
            <v xml:space="preserve">LIN3  Misc. Valve Refurbishment </v>
          </cell>
          <cell r="C529" t="str">
            <v>FIN Approval - Internal</v>
          </cell>
          <cell r="D529">
            <v>26</v>
          </cell>
          <cell r="E529" t="str">
            <v>APPROVED</v>
          </cell>
          <cell r="F529">
            <v>43179</v>
          </cell>
          <cell r="G529">
            <v>43454</v>
          </cell>
          <cell r="H529">
            <v>247579.49</v>
          </cell>
          <cell r="I529" t="str">
            <v>FIN Submission</v>
          </cell>
          <cell r="J529">
            <v>43874</v>
          </cell>
        </row>
        <row r="530">
          <cell r="A530" t="str">
            <v>49917-SI38</v>
          </cell>
          <cell r="B530" t="str">
            <v>ICP Coal Load Out Hydraulics Upgd</v>
          </cell>
          <cell r="C530" t="str">
            <v>FIN Approval - Internal</v>
          </cell>
          <cell r="D530">
            <v>40</v>
          </cell>
          <cell r="E530" t="str">
            <v>APPROVED</v>
          </cell>
          <cell r="F530">
            <v>43024</v>
          </cell>
          <cell r="G530">
            <v>43450</v>
          </cell>
          <cell r="H530">
            <v>66932.47</v>
          </cell>
          <cell r="I530" t="str">
            <v>FIN Submission</v>
          </cell>
          <cell r="J530">
            <v>43874</v>
          </cell>
        </row>
        <row r="531">
          <cell r="A531" t="str">
            <v>49451</v>
          </cell>
          <cell r="B531" t="str">
            <v>LIN Fan Positioner Replacement</v>
          </cell>
          <cell r="C531" t="str">
            <v>FIN Approval - Internal</v>
          </cell>
          <cell r="D531">
            <v>45</v>
          </cell>
          <cell r="E531" t="str">
            <v>APPROVED</v>
          </cell>
          <cell r="F531">
            <v>43360</v>
          </cell>
          <cell r="G531">
            <v>43451</v>
          </cell>
          <cell r="H531">
            <v>118892.89</v>
          </cell>
          <cell r="I531" t="str">
            <v>FIN Submission</v>
          </cell>
          <cell r="J531">
            <v>43874</v>
          </cell>
        </row>
        <row r="532">
          <cell r="A532" t="str">
            <v>49474-SI07</v>
          </cell>
          <cell r="B532" t="str">
            <v>POA Coal Sys Guard Upg Ph 3</v>
          </cell>
          <cell r="C532" t="str">
            <v>FIN Approval - Internal</v>
          </cell>
          <cell r="D532">
            <v>45</v>
          </cell>
          <cell r="E532" t="str">
            <v>APPROVED</v>
          </cell>
          <cell r="F532">
            <v>43027</v>
          </cell>
          <cell r="G532">
            <v>43453</v>
          </cell>
          <cell r="H532">
            <v>92552.960000000006</v>
          </cell>
          <cell r="I532" t="str">
            <v>FIN Submission</v>
          </cell>
          <cell r="J532">
            <v>43874</v>
          </cell>
        </row>
        <row r="533">
          <cell r="A533" t="str">
            <v>49478-SJ03</v>
          </cell>
          <cell r="B533" t="str">
            <v>POA Pedestrian Bridge Replacement</v>
          </cell>
          <cell r="C533" t="str">
            <v>FIN Approval - Internal</v>
          </cell>
          <cell r="D533">
            <v>45</v>
          </cell>
          <cell r="E533" t="str">
            <v>APPROVED</v>
          </cell>
          <cell r="F533">
            <v>43392</v>
          </cell>
          <cell r="G533">
            <v>43453</v>
          </cell>
          <cell r="H533">
            <v>233767.98</v>
          </cell>
          <cell r="I533" t="str">
            <v>FIN Submission</v>
          </cell>
          <cell r="J533">
            <v>43874</v>
          </cell>
        </row>
        <row r="534">
          <cell r="A534" t="str">
            <v>49313-SH73</v>
          </cell>
          <cell r="B534" t="str">
            <v>ICP UU Mile 8.0 Track Replacment</v>
          </cell>
          <cell r="C534" t="str">
            <v>FIN Approval - Internal</v>
          </cell>
          <cell r="D534">
            <v>47</v>
          </cell>
          <cell r="E534" t="str">
            <v>APPROVED</v>
          </cell>
          <cell r="F534">
            <v>43005</v>
          </cell>
          <cell r="G534">
            <v>43096</v>
          </cell>
          <cell r="H534">
            <v>248084.27</v>
          </cell>
          <cell r="I534" t="str">
            <v>FIN Submission</v>
          </cell>
          <cell r="J534">
            <v>43874</v>
          </cell>
        </row>
        <row r="535">
          <cell r="A535" t="str">
            <v>47684</v>
          </cell>
          <cell r="B535" t="str">
            <v>LIN3 - Boiler Refurbishment 2018</v>
          </cell>
          <cell r="C535" t="str">
            <v>FIN Approval - Internal</v>
          </cell>
          <cell r="D535">
            <v>58</v>
          </cell>
          <cell r="E535" t="str">
            <v>APPROVED</v>
          </cell>
          <cell r="F535">
            <v>43194</v>
          </cell>
          <cell r="G535">
            <v>43375</v>
          </cell>
          <cell r="H535">
            <v>791057.55</v>
          </cell>
          <cell r="I535" t="str">
            <v>FIN Submission</v>
          </cell>
          <cell r="J535">
            <v>43874</v>
          </cell>
        </row>
        <row r="536">
          <cell r="A536" t="str">
            <v>43244-SE23</v>
          </cell>
          <cell r="B536" t="str">
            <v>POA - Stack Lighting</v>
          </cell>
          <cell r="C536" t="str">
            <v>FIN Approval - Internal</v>
          </cell>
          <cell r="D536">
            <v>103</v>
          </cell>
          <cell r="E536" t="str">
            <v>APPROVED</v>
          </cell>
          <cell r="F536">
            <v>42612</v>
          </cell>
          <cell r="G536">
            <v>43465</v>
          </cell>
          <cell r="H536">
            <v>149709.15</v>
          </cell>
          <cell r="I536" t="str">
            <v>FIN Submission</v>
          </cell>
          <cell r="J536">
            <v>43874</v>
          </cell>
        </row>
        <row r="537">
          <cell r="A537" t="str">
            <v>27936-S121</v>
          </cell>
          <cell r="B537" t="str">
            <v>REFURBISH MOBILE EMERGENCY BACKUP D</v>
          </cell>
          <cell r="C537" t="str">
            <v>FIN Approval - Internal</v>
          </cell>
          <cell r="D537">
            <v>134</v>
          </cell>
          <cell r="E537" t="str">
            <v>APPROVED</v>
          </cell>
          <cell r="F537">
            <v>39213</v>
          </cell>
          <cell r="G537">
            <v>39691</v>
          </cell>
          <cell r="H537">
            <v>67476.13</v>
          </cell>
          <cell r="I537" t="str">
            <v>FIN Submission</v>
          </cell>
          <cell r="J537">
            <v>43874</v>
          </cell>
        </row>
        <row r="538">
          <cell r="A538" t="str">
            <v>12070-P249</v>
          </cell>
          <cell r="B538" t="str">
            <v>TREASURY AUTOMATION OF PAYMENT PROC</v>
          </cell>
          <cell r="C538" t="str">
            <v>FIN Approval - Internal</v>
          </cell>
          <cell r="D538">
            <v>5</v>
          </cell>
          <cell r="E538" t="str">
            <v>APPROVED</v>
          </cell>
          <cell r="F538">
            <v>36647</v>
          </cell>
          <cell r="G538">
            <v>36770</v>
          </cell>
          <cell r="H538">
            <v>36382.33</v>
          </cell>
          <cell r="I538" t="str">
            <v>FIN Submission</v>
          </cell>
          <cell r="J538">
            <v>43867</v>
          </cell>
        </row>
        <row r="539">
          <cell r="A539" t="str">
            <v>11674-S143</v>
          </cell>
          <cell r="B539" t="str">
            <v xml:space="preserve">LINGAN -REPLACE WATERWALL PANELS - </v>
          </cell>
          <cell r="C539" t="str">
            <v>FIN Approval - Internal</v>
          </cell>
          <cell r="D539">
            <v>18</v>
          </cell>
          <cell r="E539" t="str">
            <v>APPROVED</v>
          </cell>
          <cell r="F539">
            <v>35564</v>
          </cell>
          <cell r="G539">
            <v>43455</v>
          </cell>
          <cell r="H539">
            <v>987020.2</v>
          </cell>
          <cell r="I539" t="str">
            <v>FIN Submission</v>
          </cell>
          <cell r="J539">
            <v>43867</v>
          </cell>
        </row>
        <row r="540">
          <cell r="A540" t="str">
            <v>C0007258</v>
          </cell>
          <cell r="B540" t="str">
            <v xml:space="preserve">D-104H-421 Barrington St Automatic </v>
          </cell>
          <cell r="C540" t="str">
            <v>FIN Approval - Internal</v>
          </cell>
          <cell r="D540">
            <v>19</v>
          </cell>
          <cell r="E540" t="str">
            <v>APPROVED</v>
          </cell>
          <cell r="F540">
            <v>43404</v>
          </cell>
          <cell r="G540">
            <v>43889</v>
          </cell>
          <cell r="H540">
            <v>170424.55</v>
          </cell>
          <cell r="I540" t="str">
            <v>FIN Submission</v>
          </cell>
          <cell r="J540">
            <v>43867</v>
          </cell>
        </row>
        <row r="541">
          <cell r="A541" t="str">
            <v>C0005898</v>
          </cell>
          <cell r="B541" t="str">
            <v>D-709H-221 Lister Dr Replacements a</v>
          </cell>
          <cell r="C541" t="str">
            <v>FIN Approval - Internal</v>
          </cell>
          <cell r="D541">
            <v>22</v>
          </cell>
          <cell r="E541" t="str">
            <v>APPROVED</v>
          </cell>
          <cell r="F541">
            <v>43343</v>
          </cell>
          <cell r="G541">
            <v>43889</v>
          </cell>
          <cell r="H541">
            <v>55701.68</v>
          </cell>
          <cell r="I541" t="str">
            <v>FIN Submission</v>
          </cell>
          <cell r="J541">
            <v>43867</v>
          </cell>
        </row>
        <row r="542">
          <cell r="A542" t="str">
            <v>C0003939</v>
          </cell>
          <cell r="B542" t="str">
            <v>AMO CBT &amp; Procedure Mgmt Ph III</v>
          </cell>
          <cell r="C542" t="str">
            <v>FIN Approval - Internal</v>
          </cell>
          <cell r="D542">
            <v>23</v>
          </cell>
          <cell r="E542" t="str">
            <v>APPROVED</v>
          </cell>
          <cell r="F542">
            <v>43388</v>
          </cell>
          <cell r="G542">
            <v>44196</v>
          </cell>
          <cell r="H542">
            <v>247878.35</v>
          </cell>
          <cell r="I542" t="str">
            <v>FIN Submission</v>
          </cell>
          <cell r="J542">
            <v>43867</v>
          </cell>
        </row>
        <row r="543">
          <cell r="A543" t="str">
            <v>C0001802</v>
          </cell>
          <cell r="B543" t="str">
            <v>D-54C-211 Queen Street Conversion</v>
          </cell>
          <cell r="C543" t="str">
            <v>FIN Approval - Internal</v>
          </cell>
          <cell r="D543">
            <v>28</v>
          </cell>
          <cell r="E543" t="str">
            <v>APPROVED</v>
          </cell>
          <cell r="F543">
            <v>43310</v>
          </cell>
          <cell r="G543">
            <v>43861</v>
          </cell>
          <cell r="H543">
            <v>953678.2</v>
          </cell>
          <cell r="I543" t="str">
            <v>FIN Submission</v>
          </cell>
          <cell r="J543">
            <v>43867</v>
          </cell>
        </row>
        <row r="544">
          <cell r="A544" t="str">
            <v>51151-SI51</v>
          </cell>
          <cell r="B544" t="str">
            <v>POA UU 2017 LS System Refurb</v>
          </cell>
          <cell r="C544" t="str">
            <v>FIN Approval - Internal</v>
          </cell>
          <cell r="D544">
            <v>29</v>
          </cell>
          <cell r="E544" t="str">
            <v>APPROVED</v>
          </cell>
          <cell r="F544">
            <v>42998</v>
          </cell>
          <cell r="G544">
            <v>43454</v>
          </cell>
          <cell r="H544">
            <v>478949.18</v>
          </cell>
          <cell r="I544" t="str">
            <v>FIN Submission</v>
          </cell>
          <cell r="J544">
            <v>43867</v>
          </cell>
        </row>
        <row r="545">
          <cell r="A545" t="str">
            <v>48177-SE79</v>
          </cell>
          <cell r="B545" t="str">
            <v>POA UU Coal Feeder System Refurb.</v>
          </cell>
          <cell r="C545" t="str">
            <v>FIN Approval - Internal</v>
          </cell>
          <cell r="D545">
            <v>30</v>
          </cell>
          <cell r="E545" t="str">
            <v>APPROVED</v>
          </cell>
          <cell r="F545">
            <v>42308</v>
          </cell>
          <cell r="G545">
            <v>42794</v>
          </cell>
          <cell r="H545">
            <v>244409.71</v>
          </cell>
          <cell r="I545" t="str">
            <v>FIN Submission</v>
          </cell>
          <cell r="J545">
            <v>43867</v>
          </cell>
        </row>
        <row r="546">
          <cell r="A546" t="str">
            <v>50813-SI15</v>
          </cell>
          <cell r="B546" t="str">
            <v>POA UU Seal Oil Vac. Pump Repl.</v>
          </cell>
          <cell r="C546" t="str">
            <v>FIN Approval - Internal</v>
          </cell>
          <cell r="D546">
            <v>32</v>
          </cell>
          <cell r="E546" t="str">
            <v>APPROVED</v>
          </cell>
          <cell r="F546">
            <v>42802</v>
          </cell>
          <cell r="G546">
            <v>43077</v>
          </cell>
          <cell r="H546">
            <v>55014.31</v>
          </cell>
          <cell r="I546" t="str">
            <v>FIN Submission</v>
          </cell>
          <cell r="J546">
            <v>43867</v>
          </cell>
        </row>
        <row r="547">
          <cell r="A547" t="str">
            <v>52290</v>
          </cell>
          <cell r="B547" t="str">
            <v xml:space="preserve">TUC1 Opacity Meter </v>
          </cell>
          <cell r="C547" t="str">
            <v>FIN Approval - Internal</v>
          </cell>
          <cell r="D547">
            <v>32</v>
          </cell>
          <cell r="E547" t="str">
            <v>APPROVED</v>
          </cell>
          <cell r="F547">
            <v>43524</v>
          </cell>
          <cell r="G547">
            <v>43860</v>
          </cell>
          <cell r="H547">
            <v>26797.49</v>
          </cell>
          <cell r="I547" t="str">
            <v>FIN Submission</v>
          </cell>
          <cell r="J547">
            <v>43867</v>
          </cell>
        </row>
        <row r="548">
          <cell r="A548" t="str">
            <v>47848-SG87</v>
          </cell>
          <cell r="B548" t="str">
            <v>POA Boiler Arrowhead Replacmnt 2016</v>
          </cell>
          <cell r="C548" t="str">
            <v>FIN Approval - Internal</v>
          </cell>
          <cell r="D548">
            <v>33</v>
          </cell>
          <cell r="E548" t="str">
            <v>APPROVED</v>
          </cell>
          <cell r="F548">
            <v>42674</v>
          </cell>
          <cell r="G548">
            <v>43100</v>
          </cell>
          <cell r="H548">
            <v>242553.29</v>
          </cell>
          <cell r="I548" t="str">
            <v>FIN Submission</v>
          </cell>
          <cell r="J548">
            <v>43867</v>
          </cell>
        </row>
        <row r="549">
          <cell r="A549" t="str">
            <v>47690-SF06</v>
          </cell>
          <cell r="B549" t="str">
            <v>LIN4 Burner Front Components Repl.</v>
          </cell>
          <cell r="C549" t="str">
            <v>FIN Approval - Internal</v>
          </cell>
          <cell r="D549">
            <v>35</v>
          </cell>
          <cell r="E549" t="str">
            <v>APPROVED</v>
          </cell>
          <cell r="F549">
            <v>42523</v>
          </cell>
          <cell r="G549">
            <v>43071</v>
          </cell>
          <cell r="H549">
            <v>561307.88</v>
          </cell>
          <cell r="I549" t="str">
            <v>FIN Submission</v>
          </cell>
          <cell r="J549">
            <v>43867</v>
          </cell>
        </row>
        <row r="550">
          <cell r="A550" t="str">
            <v>47793-SE65</v>
          </cell>
          <cell r="B550" t="str">
            <v>POA UU Heavy Electrical Cable Repl.</v>
          </cell>
          <cell r="C550" t="str">
            <v>FIN Approval - Internal</v>
          </cell>
          <cell r="D550">
            <v>36</v>
          </cell>
          <cell r="E550" t="str">
            <v>APPROVED</v>
          </cell>
          <cell r="F550">
            <v>42301</v>
          </cell>
          <cell r="G550">
            <v>43093</v>
          </cell>
          <cell r="H550">
            <v>409450.67</v>
          </cell>
          <cell r="I550" t="str">
            <v>FIN Submission</v>
          </cell>
          <cell r="J550">
            <v>43867</v>
          </cell>
        </row>
        <row r="551">
          <cell r="A551" t="str">
            <v>50333-SH25</v>
          </cell>
          <cell r="B551" t="str">
            <v>POA UU RH1 to RH2 Line Refurb.</v>
          </cell>
          <cell r="C551" t="str">
            <v>FIN Approval - Internal</v>
          </cell>
          <cell r="D551">
            <v>36</v>
          </cell>
          <cell r="E551" t="str">
            <v>APPROVED</v>
          </cell>
          <cell r="F551">
            <v>42700</v>
          </cell>
          <cell r="G551">
            <v>43095</v>
          </cell>
          <cell r="H551">
            <v>255664.07</v>
          </cell>
          <cell r="I551" t="str">
            <v>FIN Submission</v>
          </cell>
          <cell r="J551">
            <v>43867</v>
          </cell>
        </row>
        <row r="552">
          <cell r="A552" t="str">
            <v>47689-SE76</v>
          </cell>
          <cell r="B552" t="str">
            <v>LIN4 - Air Heater Baskets and Seals</v>
          </cell>
          <cell r="C552" t="str">
            <v>FIN Approval - Internal</v>
          </cell>
          <cell r="D552">
            <v>37</v>
          </cell>
          <cell r="E552" t="str">
            <v>APPROVED</v>
          </cell>
          <cell r="F552">
            <v>42523</v>
          </cell>
          <cell r="G552">
            <v>42855</v>
          </cell>
          <cell r="H552">
            <v>550719.66</v>
          </cell>
          <cell r="I552" t="str">
            <v>FIN Submission</v>
          </cell>
          <cell r="J552">
            <v>43867</v>
          </cell>
        </row>
        <row r="553">
          <cell r="A553" t="str">
            <v>50143-SH58</v>
          </cell>
          <cell r="B553" t="str">
            <v>POA BA Center Drain Valves Repl.</v>
          </cell>
          <cell r="C553" t="str">
            <v>FIN Approval - Internal</v>
          </cell>
          <cell r="D553">
            <v>37</v>
          </cell>
          <cell r="E553" t="str">
            <v>APPROVED</v>
          </cell>
          <cell r="F553">
            <v>42932</v>
          </cell>
          <cell r="G553">
            <v>43085</v>
          </cell>
          <cell r="H553">
            <v>153276.92000000001</v>
          </cell>
          <cell r="I553" t="str">
            <v>FIN Submission</v>
          </cell>
          <cell r="J553">
            <v>43867</v>
          </cell>
        </row>
        <row r="554">
          <cell r="A554" t="str">
            <v>50142-SH82</v>
          </cell>
          <cell r="B554" t="str">
            <v>POA Frontwall Pipe Replacement</v>
          </cell>
          <cell r="C554" t="str">
            <v>FIN Approval - Internal</v>
          </cell>
          <cell r="D554">
            <v>37</v>
          </cell>
          <cell r="E554" t="str">
            <v>APPROVED</v>
          </cell>
          <cell r="F554">
            <v>42932</v>
          </cell>
          <cell r="G554">
            <v>43085</v>
          </cell>
          <cell r="H554">
            <v>204270.45</v>
          </cell>
          <cell r="I554" t="str">
            <v>FIN Submission</v>
          </cell>
          <cell r="J554">
            <v>43867</v>
          </cell>
        </row>
        <row r="555">
          <cell r="A555" t="str">
            <v>50011-SI13</v>
          </cell>
          <cell r="B555" t="str">
            <v>ICP Ranger Cvry Struct. Refurb Ph 2</v>
          </cell>
          <cell r="C555" t="str">
            <v>FIN Approval - Internal</v>
          </cell>
          <cell r="D555">
            <v>38</v>
          </cell>
          <cell r="E555" t="str">
            <v>APPROVED</v>
          </cell>
          <cell r="F555">
            <v>43000</v>
          </cell>
          <cell r="G555">
            <v>43456</v>
          </cell>
          <cell r="H555">
            <v>97085.01</v>
          </cell>
          <cell r="I555" t="str">
            <v>FIN Submission</v>
          </cell>
          <cell r="J555">
            <v>43867</v>
          </cell>
        </row>
        <row r="556">
          <cell r="A556" t="str">
            <v>50131-SH81</v>
          </cell>
          <cell r="B556" t="str">
            <v>POA Coal Cracker Refurbishment</v>
          </cell>
          <cell r="C556" t="str">
            <v>FIN Approval - Internal</v>
          </cell>
          <cell r="D556">
            <v>38</v>
          </cell>
          <cell r="E556" t="str">
            <v>APPROVED</v>
          </cell>
          <cell r="F556">
            <v>42931</v>
          </cell>
          <cell r="G556">
            <v>43084</v>
          </cell>
          <cell r="H556">
            <v>104012.36</v>
          </cell>
          <cell r="I556" t="str">
            <v>FIN Submission</v>
          </cell>
          <cell r="J556">
            <v>43867</v>
          </cell>
        </row>
        <row r="557">
          <cell r="A557" t="str">
            <v>50314-SH24</v>
          </cell>
          <cell r="B557" t="str">
            <v>POA UU B Station Air Comp Rebuild</v>
          </cell>
          <cell r="C557" t="str">
            <v>FIN Approval - Internal</v>
          </cell>
          <cell r="D557">
            <v>38</v>
          </cell>
          <cell r="E557" t="str">
            <v>APPROVED</v>
          </cell>
          <cell r="F557">
            <v>42704</v>
          </cell>
          <cell r="G557">
            <v>43465</v>
          </cell>
          <cell r="H557">
            <v>205890.22</v>
          </cell>
          <cell r="I557" t="str">
            <v>FIN Submission</v>
          </cell>
          <cell r="J557">
            <v>43867</v>
          </cell>
        </row>
        <row r="558">
          <cell r="A558" t="str">
            <v>47274-SE40</v>
          </cell>
          <cell r="B558" t="str">
            <v>POA UU LS Feeder Deck &amp; Hopper Refu</v>
          </cell>
          <cell r="C558" t="str">
            <v>FIN Approval - Internal</v>
          </cell>
          <cell r="D558">
            <v>38</v>
          </cell>
          <cell r="E558" t="str">
            <v>APPROVED</v>
          </cell>
          <cell r="F558">
            <v>42185</v>
          </cell>
          <cell r="G558">
            <v>42947</v>
          </cell>
          <cell r="H558">
            <v>67091.03</v>
          </cell>
          <cell r="I558" t="str">
            <v>FIN Submission</v>
          </cell>
          <cell r="J558">
            <v>43867</v>
          </cell>
        </row>
        <row r="559">
          <cell r="A559" t="str">
            <v>49913-SI11</v>
          </cell>
          <cell r="B559" t="str">
            <v>ICP-Railway Tie Upgrade Program</v>
          </cell>
          <cell r="C559" t="str">
            <v>FIN Approval - Internal</v>
          </cell>
          <cell r="D559">
            <v>40</v>
          </cell>
          <cell r="E559" t="str">
            <v>APPROVED</v>
          </cell>
          <cell r="F559">
            <v>42962</v>
          </cell>
          <cell r="G559">
            <v>43465</v>
          </cell>
          <cell r="H559">
            <v>152753.54</v>
          </cell>
          <cell r="I559" t="str">
            <v>FIN Submission</v>
          </cell>
          <cell r="J559">
            <v>43867</v>
          </cell>
        </row>
        <row r="560">
          <cell r="A560" t="str">
            <v>41792-SA12</v>
          </cell>
          <cell r="B560" t="str">
            <v>TUC6 Non-reg</v>
          </cell>
          <cell r="C560" t="str">
            <v>FIN Approval - Internal</v>
          </cell>
          <cell r="D560">
            <v>40</v>
          </cell>
          <cell r="E560" t="str">
            <v>APPROVED</v>
          </cell>
          <cell r="F560">
            <v>40999</v>
          </cell>
          <cell r="G560">
            <v>41273</v>
          </cell>
          <cell r="H560">
            <v>2400000</v>
          </cell>
          <cell r="I560" t="str">
            <v>FIN Submission</v>
          </cell>
          <cell r="J560">
            <v>43867</v>
          </cell>
        </row>
        <row r="561">
          <cell r="A561" t="str">
            <v>49435-SH99</v>
          </cell>
          <cell r="B561" t="str">
            <v>LIN Heavy Oil Line Refurb. Phase 2</v>
          </cell>
          <cell r="C561" t="str">
            <v>FIN Approval - Internal</v>
          </cell>
          <cell r="D561">
            <v>45</v>
          </cell>
          <cell r="E561" t="str">
            <v>APPROVED</v>
          </cell>
          <cell r="F561">
            <v>43024</v>
          </cell>
          <cell r="G561">
            <v>43450</v>
          </cell>
          <cell r="H561">
            <v>201451.42</v>
          </cell>
          <cell r="I561" t="str">
            <v>FIN Submission</v>
          </cell>
          <cell r="J561">
            <v>43867</v>
          </cell>
        </row>
        <row r="562">
          <cell r="A562" t="str">
            <v>49492-SI54</v>
          </cell>
          <cell r="B562" t="str">
            <v>POA 2017 4kV 600V Brkr Refurb</v>
          </cell>
          <cell r="C562" t="str">
            <v>FIN Approval - Internal</v>
          </cell>
          <cell r="D562">
            <v>45</v>
          </cell>
          <cell r="E562" t="str">
            <v>APPROVED</v>
          </cell>
          <cell r="F562">
            <v>42938</v>
          </cell>
          <cell r="G562">
            <v>43091</v>
          </cell>
          <cell r="H562">
            <v>68346.84</v>
          </cell>
          <cell r="I562" t="str">
            <v>FIN Submission</v>
          </cell>
          <cell r="J562">
            <v>43867</v>
          </cell>
        </row>
        <row r="563">
          <cell r="A563" t="str">
            <v>49475-SI34</v>
          </cell>
          <cell r="B563" t="str">
            <v>POA Air Heater Tube Replacement</v>
          </cell>
          <cell r="C563" t="str">
            <v>FIN Approval - Internal</v>
          </cell>
          <cell r="D563">
            <v>45</v>
          </cell>
          <cell r="E563" t="str">
            <v>APPROVED</v>
          </cell>
          <cell r="F563">
            <v>42935</v>
          </cell>
          <cell r="G563">
            <v>43088</v>
          </cell>
          <cell r="H563">
            <v>650580.30000000005</v>
          </cell>
          <cell r="I563" t="str">
            <v>FIN Submission</v>
          </cell>
          <cell r="J563">
            <v>43867</v>
          </cell>
        </row>
        <row r="564">
          <cell r="A564" t="str">
            <v>49494-SI36</v>
          </cell>
          <cell r="B564" t="str">
            <v>POA CW 4160V Cable Replacement</v>
          </cell>
          <cell r="C564" t="str">
            <v>FIN Approval - Internal</v>
          </cell>
          <cell r="D564">
            <v>45</v>
          </cell>
          <cell r="E564" t="str">
            <v>APPROVED</v>
          </cell>
          <cell r="F564">
            <v>43000</v>
          </cell>
          <cell r="G564">
            <v>43091</v>
          </cell>
          <cell r="H564">
            <v>263763.27</v>
          </cell>
          <cell r="I564" t="str">
            <v>FIN Submission</v>
          </cell>
          <cell r="J564">
            <v>43867</v>
          </cell>
        </row>
        <row r="565">
          <cell r="A565" t="str">
            <v>49496-SH80</v>
          </cell>
          <cell r="B565" t="str">
            <v>POA LS Fan Replacement</v>
          </cell>
          <cell r="C565" t="str">
            <v>FIN Approval - Internal</v>
          </cell>
          <cell r="D565">
            <v>46</v>
          </cell>
          <cell r="E565" t="str">
            <v>APPROVED</v>
          </cell>
          <cell r="F565">
            <v>42938</v>
          </cell>
          <cell r="G565">
            <v>43091</v>
          </cell>
          <cell r="H565">
            <v>243422.86</v>
          </cell>
          <cell r="I565" t="str">
            <v>FIN Submission</v>
          </cell>
          <cell r="J565">
            <v>43867</v>
          </cell>
        </row>
        <row r="566">
          <cell r="A566" t="str">
            <v>49472-SH55</v>
          </cell>
          <cell r="B566" t="str">
            <v>POA Valve Component Repl. 2017</v>
          </cell>
          <cell r="C566" t="str">
            <v>FIN Approval - Internal</v>
          </cell>
          <cell r="D566">
            <v>46</v>
          </cell>
          <cell r="E566" t="str">
            <v>APPROVED</v>
          </cell>
          <cell r="F566">
            <v>42935</v>
          </cell>
          <cell r="G566">
            <v>43465</v>
          </cell>
          <cell r="H566">
            <v>382992.5</v>
          </cell>
          <cell r="I566" t="str">
            <v>FIN Submission</v>
          </cell>
          <cell r="J566">
            <v>43867</v>
          </cell>
        </row>
        <row r="567">
          <cell r="A567" t="str">
            <v>49418-SG68</v>
          </cell>
          <cell r="B567" t="str">
            <v>POA UU ST2 Transformer Bus Upgr</v>
          </cell>
          <cell r="C567" t="str">
            <v>FIN Approval - Internal</v>
          </cell>
          <cell r="D567">
            <v>49</v>
          </cell>
          <cell r="E567" t="str">
            <v>APPROVED</v>
          </cell>
          <cell r="F567">
            <v>42690</v>
          </cell>
          <cell r="G567">
            <v>43085</v>
          </cell>
          <cell r="H567">
            <v>565440.11</v>
          </cell>
          <cell r="I567" t="str">
            <v>FIN Submission</v>
          </cell>
          <cell r="J567">
            <v>43867</v>
          </cell>
        </row>
        <row r="568">
          <cell r="A568" t="str">
            <v>46355-SD25</v>
          </cell>
          <cell r="B568" t="str">
            <v xml:space="preserve">POA UU Fire Protection Supply Line </v>
          </cell>
          <cell r="C568" t="str">
            <v>FIN Approval - Internal</v>
          </cell>
          <cell r="D568">
            <v>51</v>
          </cell>
          <cell r="E568" t="str">
            <v>APPROVED</v>
          </cell>
          <cell r="F568">
            <v>41942</v>
          </cell>
          <cell r="G568">
            <v>42947</v>
          </cell>
          <cell r="H568">
            <v>175128.98</v>
          </cell>
          <cell r="I568" t="str">
            <v>FIN Submission</v>
          </cell>
          <cell r="J568">
            <v>43867</v>
          </cell>
        </row>
        <row r="569">
          <cell r="A569" t="str">
            <v>47991-SE78</v>
          </cell>
          <cell r="B569" t="str">
            <v>ICP UU Locomotive Truck Set Refur.</v>
          </cell>
          <cell r="C569" t="str">
            <v>FIN Approval - Internal</v>
          </cell>
          <cell r="D569">
            <v>56</v>
          </cell>
          <cell r="E569" t="str">
            <v>APPROVED</v>
          </cell>
          <cell r="F569">
            <v>42453</v>
          </cell>
          <cell r="G569">
            <v>43281</v>
          </cell>
          <cell r="H569">
            <v>161221.82999999999</v>
          </cell>
          <cell r="I569" t="str">
            <v>FIN Submission</v>
          </cell>
          <cell r="J569">
            <v>43867</v>
          </cell>
        </row>
        <row r="570">
          <cell r="A570" t="str">
            <v>48831-G200</v>
          </cell>
          <cell r="B570" t="str">
            <v>CT's BGT Enclosure Heaters</v>
          </cell>
          <cell r="C570" t="str">
            <v>FIN Approval - Internal</v>
          </cell>
          <cell r="D570">
            <v>57</v>
          </cell>
          <cell r="E570" t="str">
            <v>APPROVED</v>
          </cell>
          <cell r="F570">
            <v>42488</v>
          </cell>
          <cell r="G570">
            <v>43860</v>
          </cell>
          <cell r="H570">
            <v>6499.22</v>
          </cell>
          <cell r="I570" t="str">
            <v>FIN Submission</v>
          </cell>
          <cell r="J570">
            <v>43867</v>
          </cell>
        </row>
        <row r="571">
          <cell r="A571" t="str">
            <v>47839-SG22</v>
          </cell>
          <cell r="B571" t="str">
            <v>ICP Locomotive Truck Refurbishment</v>
          </cell>
          <cell r="C571" t="str">
            <v>FIN Approval - Internal</v>
          </cell>
          <cell r="D571">
            <v>57</v>
          </cell>
          <cell r="E571" t="str">
            <v>APPROVED</v>
          </cell>
          <cell r="F571">
            <v>42674</v>
          </cell>
          <cell r="G571">
            <v>43220</v>
          </cell>
          <cell r="H571">
            <v>170133.9</v>
          </cell>
          <cell r="I571" t="str">
            <v>FIN Submission</v>
          </cell>
          <cell r="J571">
            <v>43867</v>
          </cell>
        </row>
        <row r="572">
          <cell r="A572" t="str">
            <v>47836-SG38</v>
          </cell>
          <cell r="B572" t="str">
            <v>ICP Ranger BeltConveyor Struct. Rfb</v>
          </cell>
          <cell r="C572" t="str">
            <v>FIN Approval - Internal</v>
          </cell>
          <cell r="D572">
            <v>57</v>
          </cell>
          <cell r="E572" t="str">
            <v>APPROVED</v>
          </cell>
          <cell r="F572">
            <v>42674</v>
          </cell>
          <cell r="G572">
            <v>43312</v>
          </cell>
          <cell r="H572">
            <v>122699.19</v>
          </cell>
          <cell r="I572" t="str">
            <v>FIN Submission</v>
          </cell>
          <cell r="J572">
            <v>43867</v>
          </cell>
        </row>
        <row r="573">
          <cell r="A573" t="str">
            <v>47858-SH17</v>
          </cell>
          <cell r="B573" t="str">
            <v xml:space="preserve">POA Equipment Fuel StorageTanks Re </v>
          </cell>
          <cell r="C573" t="str">
            <v>FIN Approval - Internal</v>
          </cell>
          <cell r="D573">
            <v>58</v>
          </cell>
          <cell r="E573" t="str">
            <v>APPROVED</v>
          </cell>
          <cell r="F573">
            <v>42855</v>
          </cell>
          <cell r="G573">
            <v>43465</v>
          </cell>
          <cell r="H573">
            <v>125329.22</v>
          </cell>
          <cell r="I573" t="str">
            <v>FIN Submission</v>
          </cell>
          <cell r="J573">
            <v>43867</v>
          </cell>
        </row>
        <row r="574">
          <cell r="A574" t="str">
            <v>47860-SG44</v>
          </cell>
          <cell r="B574" t="str">
            <v>POA Opacity Meter Upgrade</v>
          </cell>
          <cell r="C574" t="str">
            <v>FIN Approval - Internal</v>
          </cell>
          <cell r="D574">
            <v>58</v>
          </cell>
          <cell r="E574" t="str">
            <v>APPROVED</v>
          </cell>
          <cell r="F574">
            <v>42735</v>
          </cell>
          <cell r="G574">
            <v>43465</v>
          </cell>
          <cell r="H574">
            <v>98306.54</v>
          </cell>
          <cell r="I574" t="str">
            <v>FIN Submission</v>
          </cell>
          <cell r="J574">
            <v>43867</v>
          </cell>
        </row>
        <row r="575">
          <cell r="A575" t="str">
            <v>47847-SG86</v>
          </cell>
          <cell r="B575" t="str">
            <v>POA Boiler Refractory Replcmnt 2016</v>
          </cell>
          <cell r="C575" t="str">
            <v>FIN Approval - Internal</v>
          </cell>
          <cell r="D575">
            <v>60</v>
          </cell>
          <cell r="E575" t="str">
            <v>APPROVED</v>
          </cell>
          <cell r="F575">
            <v>42674</v>
          </cell>
          <cell r="G575">
            <v>43465</v>
          </cell>
          <cell r="H575">
            <v>842956.72</v>
          </cell>
          <cell r="I575" t="str">
            <v>FIN Submission</v>
          </cell>
          <cell r="J575">
            <v>43867</v>
          </cell>
        </row>
        <row r="576">
          <cell r="A576" t="str">
            <v>47491-SE58</v>
          </cell>
          <cell r="B576" t="str">
            <v>ICP UU Coal Silo Re-lining</v>
          </cell>
          <cell r="C576" t="str">
            <v>FIN Approval - Internal</v>
          </cell>
          <cell r="D576">
            <v>61</v>
          </cell>
          <cell r="E576" t="str">
            <v>APPROVED</v>
          </cell>
          <cell r="F576">
            <v>42238</v>
          </cell>
          <cell r="G576">
            <v>43091</v>
          </cell>
          <cell r="H576">
            <v>112348.88</v>
          </cell>
          <cell r="I576" t="str">
            <v>FIN Submission</v>
          </cell>
          <cell r="J576">
            <v>43867</v>
          </cell>
        </row>
        <row r="577">
          <cell r="A577" t="str">
            <v>46069-SD96</v>
          </cell>
          <cell r="B577" t="str">
            <v>POA Limestone Mill Refurbishment</v>
          </cell>
          <cell r="C577" t="str">
            <v>FIN Approval - Internal</v>
          </cell>
          <cell r="D577">
            <v>61</v>
          </cell>
          <cell r="E577" t="str">
            <v>APPROVED</v>
          </cell>
          <cell r="F577">
            <v>42308</v>
          </cell>
          <cell r="G577">
            <v>43312</v>
          </cell>
          <cell r="H577">
            <v>149195.82999999999</v>
          </cell>
          <cell r="I577" t="str">
            <v>FIN Submission</v>
          </cell>
          <cell r="J577">
            <v>43867</v>
          </cell>
        </row>
        <row r="578">
          <cell r="A578" t="str">
            <v>48063-T879</v>
          </cell>
          <cell r="B578" t="str">
            <v>2016 Capacitor Bank Breaker Repl.</v>
          </cell>
          <cell r="C578" t="str">
            <v>FIN Approval - Internal</v>
          </cell>
          <cell r="D578">
            <v>63</v>
          </cell>
          <cell r="E578" t="str">
            <v>APPROVED</v>
          </cell>
          <cell r="F578">
            <v>43190</v>
          </cell>
          <cell r="G578">
            <v>43861</v>
          </cell>
          <cell r="H578">
            <v>253153.88</v>
          </cell>
          <cell r="I578" t="str">
            <v>FIN Submission</v>
          </cell>
          <cell r="J578">
            <v>43867</v>
          </cell>
        </row>
        <row r="579">
          <cell r="A579" t="str">
            <v>47375-SE45</v>
          </cell>
          <cell r="B579" t="str">
            <v>LIN UU Locker Room HVAC Replacement</v>
          </cell>
          <cell r="C579" t="str">
            <v>FIN Approval - Internal</v>
          </cell>
          <cell r="D579">
            <v>65</v>
          </cell>
          <cell r="E579" t="str">
            <v>APPROVED</v>
          </cell>
          <cell r="F579">
            <v>42308</v>
          </cell>
          <cell r="G579">
            <v>43312</v>
          </cell>
          <cell r="H579">
            <v>80973.42</v>
          </cell>
          <cell r="I579" t="str">
            <v>FIN Submission</v>
          </cell>
          <cell r="J579">
            <v>43867</v>
          </cell>
        </row>
        <row r="580">
          <cell r="A580" t="str">
            <v>46653-SE33</v>
          </cell>
          <cell r="B580" t="str">
            <v>ICP Chute Gate  #1 Conveyor Repl.</v>
          </cell>
          <cell r="C580" t="str">
            <v>FIN Approval - Internal</v>
          </cell>
          <cell r="D580">
            <v>70</v>
          </cell>
          <cell r="E580" t="str">
            <v>APPROVED</v>
          </cell>
          <cell r="F580">
            <v>42245</v>
          </cell>
          <cell r="G580">
            <v>43098</v>
          </cell>
          <cell r="H580">
            <v>243891.35</v>
          </cell>
          <cell r="I580" t="str">
            <v>FIN Submission</v>
          </cell>
          <cell r="J580">
            <v>43867</v>
          </cell>
        </row>
        <row r="581">
          <cell r="A581" t="str">
            <v>46654-SE34</v>
          </cell>
          <cell r="B581" t="str">
            <v>ICP Conveyor Belt Replacement</v>
          </cell>
          <cell r="C581" t="str">
            <v>FIN Approval - Internal</v>
          </cell>
          <cell r="D581">
            <v>70</v>
          </cell>
          <cell r="E581" t="str">
            <v>APPROVED</v>
          </cell>
          <cell r="F581">
            <v>42276</v>
          </cell>
          <cell r="G581">
            <v>43098</v>
          </cell>
          <cell r="H581">
            <v>210084.24</v>
          </cell>
          <cell r="I581" t="str">
            <v>FIN Submission</v>
          </cell>
          <cell r="J581">
            <v>43867</v>
          </cell>
        </row>
        <row r="582">
          <cell r="A582" t="str">
            <v>46365-P108</v>
          </cell>
          <cell r="B582" t="str">
            <v>Maximo Enhancements Subst Field Mob</v>
          </cell>
          <cell r="C582" t="str">
            <v>FIN Approval - Internal</v>
          </cell>
          <cell r="D582">
            <v>74</v>
          </cell>
          <cell r="E582" t="str">
            <v>APPROVED</v>
          </cell>
          <cell r="F582">
            <v>43190</v>
          </cell>
          <cell r="G582">
            <v>43373</v>
          </cell>
          <cell r="H582">
            <v>257306.61</v>
          </cell>
          <cell r="I582" t="str">
            <v>FIN Submission</v>
          </cell>
          <cell r="J582">
            <v>43867</v>
          </cell>
        </row>
        <row r="583">
          <cell r="A583" t="str">
            <v>46364-P945</v>
          </cell>
          <cell r="B583" t="str">
            <v>Maximo Enhancements Telecom &amp; Relay</v>
          </cell>
          <cell r="C583" t="str">
            <v>FIN Approval - Internal</v>
          </cell>
          <cell r="D583">
            <v>78</v>
          </cell>
          <cell r="E583" t="str">
            <v>APPROVED</v>
          </cell>
          <cell r="F583">
            <v>42824</v>
          </cell>
          <cell r="G583">
            <v>43101</v>
          </cell>
          <cell r="H583">
            <v>293872.89</v>
          </cell>
          <cell r="I583" t="str">
            <v>FIN Submission</v>
          </cell>
          <cell r="J583">
            <v>43867</v>
          </cell>
        </row>
        <row r="584">
          <cell r="A584" t="str">
            <v>46339-T825</v>
          </cell>
          <cell r="B584" t="str">
            <v>120H Replace SVC Controls</v>
          </cell>
          <cell r="C584" t="str">
            <v>FIN Approval - Internal</v>
          </cell>
          <cell r="D584">
            <v>79</v>
          </cell>
          <cell r="E584" t="str">
            <v>APPROVED</v>
          </cell>
          <cell r="F584">
            <v>42916</v>
          </cell>
          <cell r="G584">
            <v>43861</v>
          </cell>
          <cell r="H584">
            <v>10027941.279999999</v>
          </cell>
          <cell r="I584" t="str">
            <v>FIN Submission</v>
          </cell>
          <cell r="J584">
            <v>43867</v>
          </cell>
        </row>
        <row r="585">
          <cell r="A585" t="str">
            <v>46055-SD80</v>
          </cell>
          <cell r="B585" t="str">
            <v>LIN - Mill Refurbishment 2015</v>
          </cell>
          <cell r="C585" t="str">
            <v>FIN Approval - Internal</v>
          </cell>
          <cell r="D585">
            <v>79</v>
          </cell>
          <cell r="E585" t="str">
            <v>APPROVED</v>
          </cell>
          <cell r="F585">
            <v>42308</v>
          </cell>
          <cell r="G585">
            <v>43281</v>
          </cell>
          <cell r="H585">
            <v>777173.28</v>
          </cell>
          <cell r="I585" t="str">
            <v>FIN Submission</v>
          </cell>
          <cell r="J585">
            <v>43867</v>
          </cell>
        </row>
        <row r="586">
          <cell r="A586" t="str">
            <v>43141-SE67</v>
          </cell>
          <cell r="B586" t="str">
            <v>POA - CW Screen Refurbishment</v>
          </cell>
          <cell r="C586" t="str">
            <v>FIN Approval - Internal</v>
          </cell>
          <cell r="D586">
            <v>80</v>
          </cell>
          <cell r="E586" t="str">
            <v>APPROVED</v>
          </cell>
          <cell r="F586">
            <v>42308</v>
          </cell>
          <cell r="G586">
            <v>43099</v>
          </cell>
          <cell r="H586">
            <v>65842.63</v>
          </cell>
          <cell r="I586" t="str">
            <v>FIN Submission</v>
          </cell>
          <cell r="J586">
            <v>43867</v>
          </cell>
        </row>
        <row r="587">
          <cell r="A587" t="str">
            <v>46493-SE54</v>
          </cell>
          <cell r="B587" t="str">
            <v>TUC2 - Polisher Upgrade</v>
          </cell>
          <cell r="C587" t="str">
            <v>FIN Approval - Internal</v>
          </cell>
          <cell r="D587">
            <v>80</v>
          </cell>
          <cell r="E587" t="str">
            <v>APPROVED</v>
          </cell>
          <cell r="F587">
            <v>42936</v>
          </cell>
          <cell r="G587">
            <v>43860</v>
          </cell>
          <cell r="H587">
            <v>209972.12</v>
          </cell>
          <cell r="I587" t="str">
            <v>FIN Submission</v>
          </cell>
          <cell r="J587">
            <v>43867</v>
          </cell>
        </row>
        <row r="588">
          <cell r="A588" t="str">
            <v>40259-P840</v>
          </cell>
          <cell r="B588" t="str">
            <v>Ambient Air Monitoring &amp; Modeling</v>
          </cell>
          <cell r="C588" t="str">
            <v>FIN Approval - Internal</v>
          </cell>
          <cell r="D588">
            <v>81</v>
          </cell>
          <cell r="E588" t="str">
            <v>APPROVED</v>
          </cell>
          <cell r="F588">
            <v>40908</v>
          </cell>
          <cell r="G588">
            <v>41274</v>
          </cell>
          <cell r="H588">
            <v>74684.77</v>
          </cell>
          <cell r="I588" t="str">
            <v>FIN Submission</v>
          </cell>
          <cell r="J588">
            <v>43867</v>
          </cell>
        </row>
        <row r="589">
          <cell r="A589" t="str">
            <v>43114-SC43</v>
          </cell>
          <cell r="B589" t="str">
            <v>POA - Screw Cooler Trough Replace</v>
          </cell>
          <cell r="C589" t="str">
            <v>FIN Approval - Internal</v>
          </cell>
          <cell r="D589">
            <v>81</v>
          </cell>
          <cell r="E589" t="str">
            <v>APPROVED</v>
          </cell>
          <cell r="F589">
            <v>42246</v>
          </cell>
          <cell r="G589">
            <v>43100</v>
          </cell>
          <cell r="H589">
            <v>181318.74</v>
          </cell>
          <cell r="I589" t="str">
            <v>FIN Submission</v>
          </cell>
          <cell r="J589">
            <v>43867</v>
          </cell>
        </row>
        <row r="590">
          <cell r="A590" t="str">
            <v>40409-S784</v>
          </cell>
          <cell r="B590" t="str">
            <v>POA-CW Oulet Piping Refurbishment</v>
          </cell>
          <cell r="C590" t="str">
            <v>FIN Approval - Internal</v>
          </cell>
          <cell r="D590">
            <v>84</v>
          </cell>
          <cell r="E590" t="str">
            <v>APPROVED</v>
          </cell>
          <cell r="F590">
            <v>40709</v>
          </cell>
          <cell r="G590">
            <v>43100</v>
          </cell>
          <cell r="H590">
            <v>17577.03</v>
          </cell>
          <cell r="I590" t="str">
            <v>FIN Submission</v>
          </cell>
          <cell r="J590">
            <v>43867</v>
          </cell>
        </row>
        <row r="591">
          <cell r="A591" t="str">
            <v>45176-SF68</v>
          </cell>
          <cell r="B591" t="str">
            <v>ICP Pier Belting</v>
          </cell>
          <cell r="C591" t="str">
            <v>FIN Approval - Internal</v>
          </cell>
          <cell r="D591">
            <v>85</v>
          </cell>
          <cell r="E591" t="str">
            <v>APPROVED</v>
          </cell>
          <cell r="F591">
            <v>42674</v>
          </cell>
          <cell r="G591">
            <v>43100</v>
          </cell>
          <cell r="H591">
            <v>243356.5</v>
          </cell>
          <cell r="I591" t="str">
            <v>FIN Submission</v>
          </cell>
          <cell r="J591">
            <v>43867</v>
          </cell>
        </row>
        <row r="592">
          <cell r="A592" t="str">
            <v>45043-D581</v>
          </cell>
          <cell r="B592" t="str">
            <v>57 Main Ave Primary Service Upgrade</v>
          </cell>
          <cell r="C592" t="str">
            <v>FIN Approval - Internal</v>
          </cell>
          <cell r="D592">
            <v>89</v>
          </cell>
          <cell r="E592" t="str">
            <v>APPROVED</v>
          </cell>
          <cell r="F592">
            <v>42093</v>
          </cell>
          <cell r="G592">
            <v>42979</v>
          </cell>
          <cell r="H592">
            <v>10810.67</v>
          </cell>
          <cell r="I592" t="str">
            <v>FIN Submission</v>
          </cell>
          <cell r="J592">
            <v>43867</v>
          </cell>
        </row>
        <row r="593">
          <cell r="A593" t="str">
            <v>46191-G181</v>
          </cell>
          <cell r="B593" t="str">
            <v>Tusket Fuel System Upgrade</v>
          </cell>
          <cell r="C593" t="str">
            <v>FIN Approval - Internal</v>
          </cell>
          <cell r="D593">
            <v>91</v>
          </cell>
          <cell r="E593" t="str">
            <v>APPROVED</v>
          </cell>
          <cell r="F593">
            <v>42993</v>
          </cell>
          <cell r="G593">
            <v>43860</v>
          </cell>
          <cell r="H593">
            <v>2137210.98</v>
          </cell>
          <cell r="I593" t="str">
            <v>FIN Submission</v>
          </cell>
          <cell r="J593">
            <v>43867</v>
          </cell>
        </row>
        <row r="594">
          <cell r="A594" t="str">
            <v>44030-SC02</v>
          </cell>
          <cell r="B594" t="str">
            <v>U&amp;U International Coal Pier</v>
          </cell>
          <cell r="C594" t="str">
            <v>FIN Approval - Internal</v>
          </cell>
          <cell r="D594">
            <v>101</v>
          </cell>
          <cell r="E594" t="str">
            <v>APPROVED</v>
          </cell>
          <cell r="F594">
            <v>41455</v>
          </cell>
          <cell r="G594">
            <v>42947</v>
          </cell>
          <cell r="H594">
            <v>6514980.3600000003</v>
          </cell>
          <cell r="I594" t="str">
            <v>FIN Submission</v>
          </cell>
          <cell r="J594">
            <v>43867</v>
          </cell>
        </row>
        <row r="595">
          <cell r="A595" t="str">
            <v>43138-SG64</v>
          </cell>
          <cell r="B595" t="str">
            <v>POA - Air Heater Retube</v>
          </cell>
          <cell r="C595" t="str">
            <v>FIN Approval - Internal</v>
          </cell>
          <cell r="D595">
            <v>106</v>
          </cell>
          <cell r="E595" t="str">
            <v>APPROVED</v>
          </cell>
          <cell r="F595">
            <v>42643</v>
          </cell>
          <cell r="G595">
            <v>43343</v>
          </cell>
          <cell r="H595">
            <v>598207.80000000005</v>
          </cell>
          <cell r="I595" t="str">
            <v>FIN Submission</v>
          </cell>
          <cell r="J595">
            <v>43867</v>
          </cell>
        </row>
        <row r="596">
          <cell r="A596" t="str">
            <v>43245-SE24</v>
          </cell>
          <cell r="B596" t="str">
            <v>POA - Plant Communication</v>
          </cell>
          <cell r="C596" t="str">
            <v>FIN Approval - Internal</v>
          </cell>
          <cell r="D596">
            <v>106</v>
          </cell>
          <cell r="E596" t="str">
            <v>APPROVED</v>
          </cell>
          <cell r="F596">
            <v>42215</v>
          </cell>
          <cell r="G596">
            <v>43312</v>
          </cell>
          <cell r="H596">
            <v>68661.39</v>
          </cell>
          <cell r="I596" t="str">
            <v>FIN Submission</v>
          </cell>
          <cell r="J596">
            <v>43867</v>
          </cell>
        </row>
        <row r="597">
          <cell r="A597" t="str">
            <v>43240-SE87</v>
          </cell>
          <cell r="B597" t="str">
            <v>POA HVAC Equipment Replacement 2015</v>
          </cell>
          <cell r="C597" t="str">
            <v>FIN Approval - Internal</v>
          </cell>
          <cell r="D597">
            <v>106</v>
          </cell>
          <cell r="E597" t="str">
            <v>APPROVED</v>
          </cell>
          <cell r="F597">
            <v>42704</v>
          </cell>
          <cell r="G597">
            <v>43100</v>
          </cell>
          <cell r="H597">
            <v>124137.5</v>
          </cell>
          <cell r="I597" t="str">
            <v>FIN Submission</v>
          </cell>
          <cell r="J597">
            <v>43867</v>
          </cell>
        </row>
        <row r="598">
          <cell r="A598" t="str">
            <v>34367-S621</v>
          </cell>
          <cell r="B598" t="str">
            <v>POA - 2010 Refractory Program</v>
          </cell>
          <cell r="C598" t="str">
            <v>FIN Approval - Internal</v>
          </cell>
          <cell r="D598">
            <v>119</v>
          </cell>
          <cell r="E598" t="str">
            <v>APPROVED</v>
          </cell>
          <cell r="F598">
            <v>40482</v>
          </cell>
          <cell r="G598">
            <v>43829</v>
          </cell>
          <cell r="H598">
            <v>716474.19</v>
          </cell>
          <cell r="I598" t="str">
            <v>FIN Submission</v>
          </cell>
          <cell r="J598">
            <v>43867</v>
          </cell>
        </row>
        <row r="599">
          <cell r="A599" t="str">
            <v>31726-S391</v>
          </cell>
          <cell r="B599" t="str">
            <v>POA Generator Field Circuit Breaker</v>
          </cell>
          <cell r="C599" t="str">
            <v>FIN Approval - Internal</v>
          </cell>
          <cell r="D599">
            <v>128</v>
          </cell>
          <cell r="E599" t="str">
            <v>APPROVED</v>
          </cell>
          <cell r="F599">
            <v>40847</v>
          </cell>
          <cell r="G599">
            <v>43099</v>
          </cell>
          <cell r="H599">
            <v>1546.68</v>
          </cell>
          <cell r="I599" t="str">
            <v>FIN Submission</v>
          </cell>
          <cell r="J599">
            <v>43867</v>
          </cell>
        </row>
        <row r="600">
          <cell r="A600" t="str">
            <v>41705-P871</v>
          </cell>
          <cell r="B600" t="str">
            <v>Milton Hydro Office Construction</v>
          </cell>
          <cell r="C600" t="str">
            <v>FIN Approval - Internal</v>
          </cell>
          <cell r="D600">
            <v>135</v>
          </cell>
          <cell r="E600" t="str">
            <v>APPROVED</v>
          </cell>
          <cell r="F600">
            <v>42094</v>
          </cell>
          <cell r="G600">
            <v>43861</v>
          </cell>
          <cell r="H600">
            <v>739021.33</v>
          </cell>
          <cell r="I600" t="str">
            <v>FIN Submission</v>
          </cell>
          <cell r="J600">
            <v>43867</v>
          </cell>
        </row>
        <row r="601">
          <cell r="A601" t="str">
            <v>28959-P756</v>
          </cell>
          <cell r="B601" t="str">
            <v xml:space="preserve">REPLACEMENT OF POWER PRODUCTION PI </v>
          </cell>
          <cell r="C601" t="str">
            <v>FIN Approval - Internal</v>
          </cell>
          <cell r="D601">
            <v>136</v>
          </cell>
          <cell r="E601" t="str">
            <v>APPROVED</v>
          </cell>
          <cell r="F601">
            <v>39691</v>
          </cell>
          <cell r="G601">
            <v>39995</v>
          </cell>
          <cell r="H601">
            <v>49073.34</v>
          </cell>
          <cell r="I601" t="str">
            <v>FIN Submission</v>
          </cell>
          <cell r="J601">
            <v>43867</v>
          </cell>
        </row>
        <row r="602">
          <cell r="A602" t="str">
            <v>38841-P828</v>
          </cell>
          <cell r="B602" t="str">
            <v>New Minas Land Purchase and ROW</v>
          </cell>
          <cell r="C602" t="str">
            <v>FIN Approval - Internal</v>
          </cell>
          <cell r="D602">
            <v>147</v>
          </cell>
          <cell r="E602" t="str">
            <v>APPROVED</v>
          </cell>
          <cell r="F602">
            <v>41250</v>
          </cell>
          <cell r="G602">
            <v>41670</v>
          </cell>
          <cell r="H602">
            <v>346677.22</v>
          </cell>
          <cell r="I602" t="str">
            <v>FIN Submission</v>
          </cell>
          <cell r="J602">
            <v>43867</v>
          </cell>
        </row>
        <row r="603">
          <cell r="A603" t="str">
            <v>CONV-H335</v>
          </cell>
          <cell r="B603" t="str">
            <v>H335-WRC-ACQU. &amp; INTEREST IN LAND</v>
          </cell>
          <cell r="C603" t="str">
            <v>FIN Approval - Internal</v>
          </cell>
          <cell r="D603">
            <v>4</v>
          </cell>
          <cell r="E603" t="str">
            <v>APPROVED</v>
          </cell>
          <cell r="F603">
            <v>37256</v>
          </cell>
          <cell r="G603">
            <v>38717</v>
          </cell>
          <cell r="H603">
            <v>374126.04</v>
          </cell>
          <cell r="I603" t="str">
            <v>FIN Submission</v>
          </cell>
          <cell r="J603">
            <v>43857</v>
          </cell>
        </row>
        <row r="604">
          <cell r="A604" t="str">
            <v>C0018660</v>
          </cell>
          <cell r="B604" t="str">
            <v>TUC2 High Energy Piping Refurbishme</v>
          </cell>
          <cell r="C604" t="str">
            <v>FIN Approval - Internal</v>
          </cell>
          <cell r="D604">
            <v>10</v>
          </cell>
          <cell r="E604" t="str">
            <v>APPROVED</v>
          </cell>
          <cell r="F604">
            <v>43738</v>
          </cell>
          <cell r="G604">
            <v>43860</v>
          </cell>
          <cell r="H604">
            <v>74418.320000000007</v>
          </cell>
          <cell r="I604" t="str">
            <v>FIN Submission</v>
          </cell>
          <cell r="J604">
            <v>43857</v>
          </cell>
        </row>
        <row r="605">
          <cell r="A605" t="str">
            <v>C0012701</v>
          </cell>
          <cell r="B605" t="str">
            <v xml:space="preserve">CT LM6000 Rep U4 and U5 24V Nicad </v>
          </cell>
          <cell r="C605" t="str">
            <v>FIN Approval - Internal</v>
          </cell>
          <cell r="D605">
            <v>12</v>
          </cell>
          <cell r="E605" t="str">
            <v>APPROVED</v>
          </cell>
          <cell r="F605">
            <v>43799</v>
          </cell>
          <cell r="G605">
            <v>43860</v>
          </cell>
          <cell r="H605">
            <v>56200.01</v>
          </cell>
          <cell r="I605" t="str">
            <v>FIN Submission</v>
          </cell>
          <cell r="J605">
            <v>43857</v>
          </cell>
        </row>
        <row r="606">
          <cell r="A606" t="str">
            <v>C0016318</v>
          </cell>
          <cell r="B606" t="str">
            <v>TUC1 Boiler Cyclone Tubing Refurbis</v>
          </cell>
          <cell r="C606" t="str">
            <v>FIN Approval - Internal</v>
          </cell>
          <cell r="D606">
            <v>12</v>
          </cell>
          <cell r="E606" t="str">
            <v>APPROVED</v>
          </cell>
          <cell r="F606">
            <v>43646</v>
          </cell>
          <cell r="G606">
            <v>43860</v>
          </cell>
          <cell r="H606">
            <v>187555.87</v>
          </cell>
          <cell r="I606" t="str">
            <v>FIN Submission</v>
          </cell>
          <cell r="J606">
            <v>43857</v>
          </cell>
        </row>
        <row r="607">
          <cell r="A607" t="str">
            <v>C0012239</v>
          </cell>
          <cell r="B607" t="str">
            <v>ADMS Enhancement- Fixed ETR</v>
          </cell>
          <cell r="C607" t="str">
            <v>FIN Approval - Internal</v>
          </cell>
          <cell r="D607">
            <v>17</v>
          </cell>
          <cell r="E607" t="str">
            <v>APPROVED</v>
          </cell>
          <cell r="F607">
            <v>43555</v>
          </cell>
          <cell r="G607">
            <v>43830</v>
          </cell>
          <cell r="H607">
            <v>104566.58</v>
          </cell>
          <cell r="I607" t="str">
            <v>FIN Submission</v>
          </cell>
          <cell r="J607">
            <v>43857</v>
          </cell>
        </row>
        <row r="608">
          <cell r="A608" t="str">
            <v>C0011538</v>
          </cell>
          <cell r="B608" t="str">
            <v>Ambient Air Network Upgrades</v>
          </cell>
          <cell r="C608" t="str">
            <v>FIN Approval - Internal</v>
          </cell>
          <cell r="D608">
            <v>18</v>
          </cell>
          <cell r="E608" t="str">
            <v>APPROVED</v>
          </cell>
          <cell r="F608">
            <v>43555</v>
          </cell>
          <cell r="G608">
            <v>43860</v>
          </cell>
          <cell r="H608">
            <v>204748.01</v>
          </cell>
          <cell r="I608" t="str">
            <v>FIN Submission</v>
          </cell>
          <cell r="J608">
            <v>43857</v>
          </cell>
        </row>
        <row r="609">
          <cell r="A609" t="str">
            <v>C0002779</v>
          </cell>
          <cell r="B609" t="str">
            <v>2018 Transmission LiDAR</v>
          </cell>
          <cell r="C609" t="str">
            <v>FIN Approval - Internal</v>
          </cell>
          <cell r="D609">
            <v>31</v>
          </cell>
          <cell r="E609" t="str">
            <v>APPROVED</v>
          </cell>
          <cell r="F609">
            <v>43312</v>
          </cell>
          <cell r="G609">
            <v>43951</v>
          </cell>
          <cell r="H609">
            <v>0</v>
          </cell>
          <cell r="I609" t="str">
            <v>FIN Submission</v>
          </cell>
          <cell r="J609">
            <v>43857</v>
          </cell>
        </row>
        <row r="610">
          <cell r="A610" t="str">
            <v>52282</v>
          </cell>
          <cell r="B610" t="str">
            <v>TUC Anion Chromatograph Replacement</v>
          </cell>
          <cell r="C610" t="str">
            <v>FIN Approval - Internal</v>
          </cell>
          <cell r="D610">
            <v>31</v>
          </cell>
          <cell r="E610" t="str">
            <v>APPROVED</v>
          </cell>
          <cell r="F610">
            <v>43613</v>
          </cell>
          <cell r="G610">
            <v>43860</v>
          </cell>
          <cell r="H610">
            <v>42570.35</v>
          </cell>
          <cell r="I610" t="str">
            <v>FIN Submission</v>
          </cell>
          <cell r="J610">
            <v>43857</v>
          </cell>
        </row>
        <row r="611">
          <cell r="A611" t="str">
            <v>52239</v>
          </cell>
          <cell r="B611" t="str">
            <v xml:space="preserve">TUC6 Main and Induction Stop Valve </v>
          </cell>
          <cell r="C611" t="str">
            <v>FIN Approval - Internal</v>
          </cell>
          <cell r="D611">
            <v>31</v>
          </cell>
          <cell r="E611" t="str">
            <v>APPROVED</v>
          </cell>
          <cell r="F611">
            <v>43370</v>
          </cell>
          <cell r="G611">
            <v>43860</v>
          </cell>
          <cell r="H611">
            <v>300397.71999999997</v>
          </cell>
          <cell r="I611" t="str">
            <v>FIN Submission</v>
          </cell>
          <cell r="J611">
            <v>43857</v>
          </cell>
        </row>
        <row r="612">
          <cell r="A612" t="str">
            <v>51356-SJ09</v>
          </cell>
          <cell r="B612" t="str">
            <v>TUC3 UU TG Fire System and Detectio</v>
          </cell>
          <cell r="C612" t="str">
            <v>FIN Approval - Internal</v>
          </cell>
          <cell r="D612">
            <v>35</v>
          </cell>
          <cell r="E612" t="str">
            <v>APPROVED</v>
          </cell>
          <cell r="F612">
            <v>43583</v>
          </cell>
          <cell r="G612">
            <v>43860</v>
          </cell>
          <cell r="H612">
            <v>190336.59</v>
          </cell>
          <cell r="I612" t="str">
            <v>FIN Submission</v>
          </cell>
          <cell r="J612">
            <v>43857</v>
          </cell>
        </row>
        <row r="613">
          <cell r="A613" t="str">
            <v>51482-D852</v>
          </cell>
          <cell r="B613" t="str">
            <v>67C-411H Mabou Harbor Crossing Reb.</v>
          </cell>
          <cell r="C613" t="str">
            <v>FIN Approval - Internal</v>
          </cell>
          <cell r="D613">
            <v>37</v>
          </cell>
          <cell r="E613" t="str">
            <v>APPROVED</v>
          </cell>
          <cell r="F613">
            <v>43248</v>
          </cell>
          <cell r="G613">
            <v>43861</v>
          </cell>
          <cell r="H613">
            <v>356613.06</v>
          </cell>
          <cell r="I613" t="str">
            <v>FIN Submission</v>
          </cell>
          <cell r="J613">
            <v>43857</v>
          </cell>
        </row>
        <row r="614">
          <cell r="A614" t="str">
            <v>49671</v>
          </cell>
          <cell r="B614" t="str">
            <v>TUC1 Condensate Extraction Pump Re</v>
          </cell>
          <cell r="C614" t="str">
            <v>FIN Approval - Internal</v>
          </cell>
          <cell r="D614">
            <v>49</v>
          </cell>
          <cell r="E614" t="str">
            <v>APPROVED</v>
          </cell>
          <cell r="F614">
            <v>43797</v>
          </cell>
          <cell r="G614">
            <v>43860</v>
          </cell>
          <cell r="H614">
            <v>72418.14</v>
          </cell>
          <cell r="I614" t="str">
            <v>FIN Submission</v>
          </cell>
          <cell r="J614">
            <v>43857</v>
          </cell>
        </row>
        <row r="615">
          <cell r="A615" t="str">
            <v>49591-D763</v>
          </cell>
          <cell r="B615" t="str">
            <v xml:space="preserve">3S Feeder Exit Cable Replacement	</v>
          </cell>
          <cell r="C615" t="str">
            <v>FIN Approval - Internal</v>
          </cell>
          <cell r="D615">
            <v>51</v>
          </cell>
          <cell r="E615" t="str">
            <v>APPROVED</v>
          </cell>
          <cell r="F615">
            <v>43100</v>
          </cell>
          <cell r="G615">
            <v>43465</v>
          </cell>
          <cell r="H615">
            <v>581560.68999999994</v>
          </cell>
          <cell r="I615" t="str">
            <v>FIN Submission</v>
          </cell>
          <cell r="J615">
            <v>43857</v>
          </cell>
        </row>
        <row r="616">
          <cell r="A616" t="str">
            <v>47765-D704</v>
          </cell>
          <cell r="B616" t="str">
            <v>58C-405 Belle Cote Phase 2</v>
          </cell>
          <cell r="C616" t="str">
            <v>FIN Approval - Internal</v>
          </cell>
          <cell r="D616">
            <v>64</v>
          </cell>
          <cell r="E616" t="str">
            <v>APPROVED</v>
          </cell>
          <cell r="F616">
            <v>43251</v>
          </cell>
          <cell r="G616">
            <v>43829</v>
          </cell>
          <cell r="H616">
            <v>508943.46</v>
          </cell>
          <cell r="I616" t="str">
            <v>FIN Submission</v>
          </cell>
          <cell r="J616">
            <v>43857</v>
          </cell>
        </row>
        <row r="617">
          <cell r="A617" t="str">
            <v>47909</v>
          </cell>
          <cell r="B617" t="str">
            <v>TUC Nat Gas Valves' Refurbishment</v>
          </cell>
          <cell r="C617" t="str">
            <v>FIN Approval - Internal</v>
          </cell>
          <cell r="D617">
            <v>64</v>
          </cell>
          <cell r="E617" t="str">
            <v>APPROVED</v>
          </cell>
          <cell r="F617">
            <v>43784</v>
          </cell>
          <cell r="G617">
            <v>43860</v>
          </cell>
          <cell r="H617">
            <v>124509.2</v>
          </cell>
          <cell r="I617" t="str">
            <v>FIN Submission</v>
          </cell>
          <cell r="J617">
            <v>43857</v>
          </cell>
        </row>
        <row r="618">
          <cell r="A618" t="str">
            <v>40210-S748</v>
          </cell>
          <cell r="B618" t="str">
            <v>LIN Fall Protection</v>
          </cell>
          <cell r="C618" t="str">
            <v>FIN Approval - Internal</v>
          </cell>
          <cell r="D618">
            <v>70</v>
          </cell>
          <cell r="E618" t="str">
            <v>APPROVED</v>
          </cell>
          <cell r="F618">
            <v>40899</v>
          </cell>
          <cell r="G618">
            <v>42875</v>
          </cell>
          <cell r="H618">
            <v>246445.77</v>
          </cell>
          <cell r="I618" t="str">
            <v>FIN Submission</v>
          </cell>
          <cell r="J618">
            <v>43857</v>
          </cell>
        </row>
        <row r="619">
          <cell r="A619" t="str">
            <v>46591-T828</v>
          </cell>
          <cell r="B619" t="str">
            <v>88S Lingan Replace 230kV GIS</v>
          </cell>
          <cell r="C619" t="str">
            <v>FIN Approval - Internal</v>
          </cell>
          <cell r="D619">
            <v>82</v>
          </cell>
          <cell r="E619" t="str">
            <v>APPROVED</v>
          </cell>
          <cell r="F619">
            <v>43404</v>
          </cell>
          <cell r="G619">
            <v>43830</v>
          </cell>
          <cell r="H619">
            <v>14838098.359999999</v>
          </cell>
          <cell r="I619" t="str">
            <v>FIN Submission</v>
          </cell>
          <cell r="J619">
            <v>43857</v>
          </cell>
        </row>
        <row r="620">
          <cell r="A620" t="str">
            <v>44969-P929</v>
          </cell>
          <cell r="B620" t="str">
            <v>2014 Multiplexer &amp; Teleprotect Equi</v>
          </cell>
          <cell r="C620" t="str">
            <v>FIN Approval - Internal</v>
          </cell>
          <cell r="D620">
            <v>95</v>
          </cell>
          <cell r="E620" t="str">
            <v>APPROVED</v>
          </cell>
          <cell r="F620">
            <v>42825</v>
          </cell>
          <cell r="G620">
            <v>43861</v>
          </cell>
          <cell r="H620">
            <v>126921.57</v>
          </cell>
          <cell r="I620" t="str">
            <v>FIN Submission</v>
          </cell>
          <cell r="J620">
            <v>43857</v>
          </cell>
        </row>
        <row r="621">
          <cell r="A621" t="str">
            <v>33782-S378</v>
          </cell>
          <cell r="B621" t="str">
            <v xml:space="preserve">LIN4-LP Gland &amp; Packing Refurb  </v>
          </cell>
          <cell r="C621" t="str">
            <v>FIN Approval - Internal</v>
          </cell>
          <cell r="D621">
            <v>110</v>
          </cell>
          <cell r="E621" t="str">
            <v>APPROVED</v>
          </cell>
          <cell r="F621">
            <v>39738</v>
          </cell>
          <cell r="G621">
            <v>42825</v>
          </cell>
          <cell r="H621">
            <v>654513.21</v>
          </cell>
          <cell r="I621" t="str">
            <v>FIN Submission</v>
          </cell>
          <cell r="J621">
            <v>43857</v>
          </cell>
        </row>
        <row r="622">
          <cell r="A622" t="str">
            <v>41537-T706</v>
          </cell>
          <cell r="B622" t="str">
            <v>Amherst 138kV Substation</v>
          </cell>
          <cell r="C622" t="str">
            <v>FIN Approval - Internal</v>
          </cell>
          <cell r="D622">
            <v>117</v>
          </cell>
          <cell r="E622" t="str">
            <v>APPROVED</v>
          </cell>
          <cell r="F622">
            <v>40982</v>
          </cell>
          <cell r="G622">
            <v>43830</v>
          </cell>
          <cell r="H622">
            <v>2718541.73</v>
          </cell>
          <cell r="I622" t="str">
            <v>FIN Submission</v>
          </cell>
          <cell r="J622">
            <v>43857</v>
          </cell>
        </row>
        <row r="623">
          <cell r="A623" t="str">
            <v>41383-D418</v>
          </cell>
          <cell r="B623" t="str">
            <v>2012 Halifax UG Feeder Cable Replmt</v>
          </cell>
          <cell r="C623" t="str">
            <v>FIN Approval - Internal</v>
          </cell>
          <cell r="D623">
            <v>135</v>
          </cell>
          <cell r="E623" t="str">
            <v>APPROVED</v>
          </cell>
          <cell r="F623">
            <v>41204</v>
          </cell>
          <cell r="G623">
            <v>43861</v>
          </cell>
          <cell r="H623">
            <v>533107.53</v>
          </cell>
          <cell r="I623" t="str">
            <v>FIN Submission</v>
          </cell>
          <cell r="J623">
            <v>43857</v>
          </cell>
        </row>
        <row r="624">
          <cell r="A624" t="str">
            <v>C0010099</v>
          </cell>
          <cell r="B624" t="str">
            <v>IT- Varonis Licenses True Up</v>
          </cell>
          <cell r="C624" t="str">
            <v>FIN Approval - Internal</v>
          </cell>
          <cell r="D624">
            <v>12</v>
          </cell>
          <cell r="E624" t="str">
            <v>APPROVED</v>
          </cell>
          <cell r="F624">
            <v>43281</v>
          </cell>
          <cell r="G624">
            <v>43342</v>
          </cell>
          <cell r="H624">
            <v>234784.88</v>
          </cell>
          <cell r="I624" t="str">
            <v>FIN Submission</v>
          </cell>
          <cell r="J624">
            <v>43819</v>
          </cell>
        </row>
        <row r="625">
          <cell r="A625" t="str">
            <v>C0006942</v>
          </cell>
          <cell r="B625" t="str">
            <v>IT- ADMS Release Upgrade 2018</v>
          </cell>
          <cell r="C625" t="str">
            <v>FIN Approval - Internal</v>
          </cell>
          <cell r="D625">
            <v>14</v>
          </cell>
          <cell r="E625" t="str">
            <v>APPROVED</v>
          </cell>
          <cell r="F625">
            <v>43274</v>
          </cell>
          <cell r="G625">
            <v>43465</v>
          </cell>
          <cell r="H625">
            <v>188430.18</v>
          </cell>
          <cell r="I625" t="str">
            <v>FIN Submission</v>
          </cell>
          <cell r="J625">
            <v>43819</v>
          </cell>
        </row>
        <row r="626">
          <cell r="A626" t="str">
            <v>50171-P118</v>
          </cell>
          <cell r="B626" t="str">
            <v>IT - ADMS Release Upgrade</v>
          </cell>
          <cell r="C626" t="str">
            <v>FIN Approval - Internal</v>
          </cell>
          <cell r="D626">
            <v>43</v>
          </cell>
          <cell r="E626" t="str">
            <v>APPROVED</v>
          </cell>
          <cell r="F626">
            <v>42916</v>
          </cell>
          <cell r="G626">
            <v>43159</v>
          </cell>
          <cell r="H626">
            <v>249396.49</v>
          </cell>
          <cell r="I626" t="str">
            <v>FIN Submission</v>
          </cell>
          <cell r="J626">
            <v>43819</v>
          </cell>
        </row>
        <row r="627">
          <cell r="A627" t="str">
            <v>49212-P997</v>
          </cell>
          <cell r="B627" t="str">
            <v>IT - My Account Single Sign-On</v>
          </cell>
          <cell r="C627" t="str">
            <v>FIN Approval - Internal</v>
          </cell>
          <cell r="D627">
            <v>48</v>
          </cell>
          <cell r="E627" t="str">
            <v>APPROVED</v>
          </cell>
          <cell r="F627">
            <v>42858</v>
          </cell>
          <cell r="G627">
            <v>43435</v>
          </cell>
          <cell r="H627">
            <v>642485</v>
          </cell>
          <cell r="I627" t="str">
            <v>FIN Submission</v>
          </cell>
          <cell r="J627">
            <v>43819</v>
          </cell>
        </row>
        <row r="628">
          <cell r="A628" t="str">
            <v>49680-SI81</v>
          </cell>
          <cell r="B628" t="str">
            <v>TUC- Heavy/Light Oil Pump Area Fire</v>
          </cell>
          <cell r="C628" t="str">
            <v>FIN Approval - Internal</v>
          </cell>
          <cell r="D628">
            <v>49</v>
          </cell>
          <cell r="E628" t="str">
            <v>APPROVED</v>
          </cell>
          <cell r="F628">
            <v>43187</v>
          </cell>
          <cell r="G628">
            <v>43829</v>
          </cell>
          <cell r="H628">
            <v>172291.65</v>
          </cell>
          <cell r="I628" t="str">
            <v>FIN Submission</v>
          </cell>
          <cell r="J628">
            <v>43819</v>
          </cell>
        </row>
        <row r="629">
          <cell r="A629" t="str">
            <v>46739-P958</v>
          </cell>
          <cell r="B629" t="str">
            <v>IT - Outage Map Technology Upgrades</v>
          </cell>
          <cell r="C629" t="str">
            <v>FIN Approval - Internal</v>
          </cell>
          <cell r="D629">
            <v>83</v>
          </cell>
          <cell r="E629" t="str">
            <v>APPROVED</v>
          </cell>
          <cell r="F629">
            <v>42338</v>
          </cell>
          <cell r="G629">
            <v>43613</v>
          </cell>
          <cell r="H629">
            <v>3135583.7</v>
          </cell>
          <cell r="I629" t="str">
            <v>FIN Submission</v>
          </cell>
          <cell r="J629">
            <v>43819</v>
          </cell>
        </row>
        <row r="630">
          <cell r="A630" t="str">
            <v>C0013682</v>
          </cell>
          <cell r="B630" t="str">
            <v>Partial Discharge Test Equipment</v>
          </cell>
          <cell r="C630" t="str">
            <v>FIN Approval - Internal</v>
          </cell>
          <cell r="D630">
            <v>11</v>
          </cell>
          <cell r="E630" t="str">
            <v>APPROVED</v>
          </cell>
          <cell r="F630">
            <v>43465</v>
          </cell>
          <cell r="G630">
            <v>43617</v>
          </cell>
          <cell r="H630">
            <v>90544.19</v>
          </cell>
          <cell r="I630" t="str">
            <v>FIN Submission</v>
          </cell>
          <cell r="J630">
            <v>43817</v>
          </cell>
        </row>
        <row r="631">
          <cell r="A631" t="str">
            <v>C0012458</v>
          </cell>
          <cell r="B631" t="str">
            <v xml:space="preserve">TRE Plant Lighting Upgrade U&amp;U </v>
          </cell>
          <cell r="C631" t="str">
            <v>FIN Approval - Internal</v>
          </cell>
          <cell r="D631">
            <v>11</v>
          </cell>
          <cell r="E631" t="str">
            <v>APPROVED</v>
          </cell>
          <cell r="F631">
            <v>43388</v>
          </cell>
          <cell r="G631">
            <v>43814</v>
          </cell>
          <cell r="H631">
            <v>158887.81</v>
          </cell>
          <cell r="I631" t="str">
            <v>FIN Submission</v>
          </cell>
          <cell r="J631">
            <v>43817</v>
          </cell>
        </row>
        <row r="632">
          <cell r="A632" t="str">
            <v>C0013878</v>
          </cell>
          <cell r="B632" t="str">
            <v>TRE5 U&amp;U Boiler Tube Replacement</v>
          </cell>
          <cell r="C632" t="str">
            <v>FIN Approval - Internal</v>
          </cell>
          <cell r="D632">
            <v>11</v>
          </cell>
          <cell r="E632" t="str">
            <v>APPROVED</v>
          </cell>
          <cell r="F632">
            <v>43449</v>
          </cell>
          <cell r="G632">
            <v>43511</v>
          </cell>
          <cell r="H632">
            <v>98180.55</v>
          </cell>
          <cell r="I632" t="str">
            <v>FIN Submission</v>
          </cell>
          <cell r="J632">
            <v>43817</v>
          </cell>
        </row>
        <row r="633">
          <cell r="A633" t="str">
            <v>C0011980</v>
          </cell>
          <cell r="B633" t="str">
            <v>TRE5 Boiler Lower Water Wall U&amp;U</v>
          </cell>
          <cell r="C633" t="str">
            <v>FIN Approval - Internal</v>
          </cell>
          <cell r="D633">
            <v>12</v>
          </cell>
          <cell r="E633" t="str">
            <v>APPROVED</v>
          </cell>
          <cell r="F633">
            <v>43358</v>
          </cell>
          <cell r="G633">
            <v>43830</v>
          </cell>
          <cell r="H633">
            <v>249496.01</v>
          </cell>
          <cell r="I633" t="str">
            <v>FIN Submission</v>
          </cell>
          <cell r="J633">
            <v>43817</v>
          </cell>
        </row>
        <row r="634">
          <cell r="A634" t="str">
            <v>C0009064</v>
          </cell>
          <cell r="B634" t="str">
            <v>TRE5 Bottom Ash Crusher U&amp;U</v>
          </cell>
          <cell r="C634" t="str">
            <v>FIN Approval - Internal</v>
          </cell>
          <cell r="D634">
            <v>14</v>
          </cell>
          <cell r="E634" t="str">
            <v>APPROVED</v>
          </cell>
          <cell r="F634">
            <v>43358</v>
          </cell>
          <cell r="G634">
            <v>43449</v>
          </cell>
          <cell r="H634">
            <v>154523.01</v>
          </cell>
          <cell r="I634" t="str">
            <v>FIN Submission</v>
          </cell>
          <cell r="J634">
            <v>43817</v>
          </cell>
        </row>
        <row r="635">
          <cell r="A635" t="str">
            <v>C0011244</v>
          </cell>
          <cell r="B635" t="str">
            <v>TUC Scaffolding Program</v>
          </cell>
          <cell r="C635" t="str">
            <v>FIN Approval - Internal</v>
          </cell>
          <cell r="D635">
            <v>18</v>
          </cell>
          <cell r="E635" t="str">
            <v>APPROVED</v>
          </cell>
          <cell r="F635">
            <v>43449</v>
          </cell>
          <cell r="G635">
            <v>43799</v>
          </cell>
          <cell r="H635">
            <v>109039.54</v>
          </cell>
          <cell r="I635" t="str">
            <v>FIN Submission</v>
          </cell>
          <cell r="J635">
            <v>43817</v>
          </cell>
        </row>
        <row r="636">
          <cell r="A636" t="str">
            <v>C0010898</v>
          </cell>
          <cell r="B636" t="str">
            <v>TRE5 Air Heat Diaphragm Refurb U&amp;U</v>
          </cell>
          <cell r="C636" t="str">
            <v>FIN Approval - Internal</v>
          </cell>
          <cell r="D636">
            <v>19</v>
          </cell>
          <cell r="E636" t="str">
            <v>APPROVED</v>
          </cell>
          <cell r="F636">
            <v>43358</v>
          </cell>
          <cell r="G636">
            <v>43511</v>
          </cell>
          <cell r="H636">
            <v>228118.7</v>
          </cell>
          <cell r="I636" t="str">
            <v>FIN Submission</v>
          </cell>
          <cell r="J636">
            <v>43817</v>
          </cell>
        </row>
        <row r="637">
          <cell r="A637" t="str">
            <v>C0012058</v>
          </cell>
          <cell r="B637" t="str">
            <v>TRE5 HEP and FAC Refurb 2018 U&amp;U</v>
          </cell>
          <cell r="C637" t="str">
            <v>FIN Approval - Internal</v>
          </cell>
          <cell r="D637">
            <v>19</v>
          </cell>
          <cell r="E637" t="str">
            <v>APPROVED</v>
          </cell>
          <cell r="F637">
            <v>43388</v>
          </cell>
          <cell r="G637">
            <v>43600</v>
          </cell>
          <cell r="H637">
            <v>148476.89000000001</v>
          </cell>
          <cell r="I637" t="str">
            <v>FIN Submission</v>
          </cell>
          <cell r="J637">
            <v>43817</v>
          </cell>
        </row>
        <row r="638">
          <cell r="A638" t="str">
            <v>C0009138</v>
          </cell>
          <cell r="B638" t="str">
            <v>TRE 4160V 600V Breaker Refurb U&amp;U</v>
          </cell>
          <cell r="C638" t="str">
            <v>FIN Approval - Internal</v>
          </cell>
          <cell r="D638">
            <v>20</v>
          </cell>
          <cell r="E638" t="str">
            <v>APPROVED</v>
          </cell>
          <cell r="F638">
            <v>43358</v>
          </cell>
          <cell r="G638">
            <v>43799</v>
          </cell>
          <cell r="H638">
            <v>151569.45000000001</v>
          </cell>
          <cell r="I638" t="str">
            <v>FIN Submission</v>
          </cell>
          <cell r="J638">
            <v>43817</v>
          </cell>
        </row>
        <row r="639">
          <cell r="A639" t="str">
            <v>C0006279</v>
          </cell>
          <cell r="B639" t="str">
            <v>TRE Shakerhouse Structural Beam U&amp;U</v>
          </cell>
          <cell r="C639" t="str">
            <v>FIN Approval - Internal</v>
          </cell>
          <cell r="D639">
            <v>22</v>
          </cell>
          <cell r="E639" t="str">
            <v>APPROVED</v>
          </cell>
          <cell r="F639">
            <v>43358</v>
          </cell>
          <cell r="G639">
            <v>43511</v>
          </cell>
          <cell r="H639">
            <v>209881.54</v>
          </cell>
          <cell r="I639" t="str">
            <v>FIN Submission</v>
          </cell>
          <cell r="J639">
            <v>43817</v>
          </cell>
        </row>
        <row r="640">
          <cell r="A640" t="str">
            <v>C0006238</v>
          </cell>
          <cell r="B640" t="str">
            <v>TRE5 Baghouse Bag Replacement P&amp;A</v>
          </cell>
          <cell r="C640" t="str">
            <v>FIN Approval - Internal</v>
          </cell>
          <cell r="D640">
            <v>22</v>
          </cell>
          <cell r="E640" t="str">
            <v>APPROVED</v>
          </cell>
          <cell r="F640">
            <v>43358</v>
          </cell>
          <cell r="G640">
            <v>43814</v>
          </cell>
          <cell r="H640">
            <v>441167.77</v>
          </cell>
          <cell r="I640" t="str">
            <v>FIN Submission</v>
          </cell>
          <cell r="J640">
            <v>43817</v>
          </cell>
        </row>
        <row r="641">
          <cell r="A641" t="str">
            <v>C0001978</v>
          </cell>
          <cell r="B641" t="str">
            <v>It-Workstations for PW2</v>
          </cell>
          <cell r="C641" t="str">
            <v>FIN Approval - Internal</v>
          </cell>
          <cell r="D641">
            <v>24</v>
          </cell>
          <cell r="E641" t="str">
            <v>APPROVED</v>
          </cell>
          <cell r="F641">
            <v>43040</v>
          </cell>
          <cell r="G641">
            <v>43252</v>
          </cell>
          <cell r="H641">
            <v>71264.45</v>
          </cell>
          <cell r="I641" t="str">
            <v>FIN Submission</v>
          </cell>
          <cell r="J641">
            <v>43817</v>
          </cell>
        </row>
        <row r="642">
          <cell r="A642" t="str">
            <v>51857</v>
          </cell>
          <cell r="B642" t="str">
            <v>TRE5 Burner Refurbishments 2018</v>
          </cell>
          <cell r="C642" t="str">
            <v>FIN Approval - Internal</v>
          </cell>
          <cell r="D642">
            <v>25</v>
          </cell>
          <cell r="E642" t="str">
            <v>APPROVED</v>
          </cell>
          <cell r="F642">
            <v>43358</v>
          </cell>
          <cell r="G642">
            <v>43449</v>
          </cell>
          <cell r="H642">
            <v>214409.75</v>
          </cell>
          <cell r="I642" t="str">
            <v>FIN Submission</v>
          </cell>
          <cell r="J642">
            <v>43817</v>
          </cell>
        </row>
        <row r="643">
          <cell r="A643" t="str">
            <v>52137</v>
          </cell>
          <cell r="B643" t="str">
            <v>TRE A Conveyor Structural Refurb</v>
          </cell>
          <cell r="C643" t="str">
            <v>FIN Approval - Internal</v>
          </cell>
          <cell r="D643">
            <v>26</v>
          </cell>
          <cell r="E643" t="str">
            <v>APPROVED</v>
          </cell>
          <cell r="F643">
            <v>43327</v>
          </cell>
          <cell r="G643">
            <v>43388</v>
          </cell>
          <cell r="H643">
            <v>246147.86</v>
          </cell>
          <cell r="I643" t="str">
            <v>FIN Submission</v>
          </cell>
          <cell r="J643">
            <v>43817</v>
          </cell>
        </row>
        <row r="644">
          <cell r="A644" t="str">
            <v>52140</v>
          </cell>
          <cell r="B644" t="str">
            <v>TRE5 4 kV Motor Refurbishments</v>
          </cell>
          <cell r="C644" t="str">
            <v>FIN Approval - Internal</v>
          </cell>
          <cell r="D644">
            <v>27</v>
          </cell>
          <cell r="E644" t="str">
            <v>APPROVED</v>
          </cell>
          <cell r="F644">
            <v>43419</v>
          </cell>
          <cell r="G644">
            <v>43449</v>
          </cell>
          <cell r="H644">
            <v>80492.429999999993</v>
          </cell>
          <cell r="I644" t="str">
            <v>FIN Submission</v>
          </cell>
          <cell r="J644">
            <v>43817</v>
          </cell>
        </row>
        <row r="645">
          <cell r="A645" t="str">
            <v>51901-T972</v>
          </cell>
          <cell r="B645" t="str">
            <v>L-6010 2017R Replacements and Upg</v>
          </cell>
          <cell r="C645" t="str">
            <v>FIN Approval - Internal</v>
          </cell>
          <cell r="D645">
            <v>28</v>
          </cell>
          <cell r="E645" t="str">
            <v>APPROVED</v>
          </cell>
          <cell r="F645">
            <v>43069</v>
          </cell>
          <cell r="G645">
            <v>43830</v>
          </cell>
          <cell r="H645">
            <v>139181.78</v>
          </cell>
          <cell r="I645" t="str">
            <v>FIN Submission</v>
          </cell>
          <cell r="J645">
            <v>43817</v>
          </cell>
        </row>
        <row r="646">
          <cell r="A646" t="str">
            <v>51519-D875</v>
          </cell>
          <cell r="B646" t="str">
            <v>15N-401/402 Willow Street Pole Repl</v>
          </cell>
          <cell r="C646" t="str">
            <v>FIN Approval - Internal</v>
          </cell>
          <cell r="D646">
            <v>29</v>
          </cell>
          <cell r="E646" t="str">
            <v>APPROVED</v>
          </cell>
          <cell r="F646">
            <v>43343</v>
          </cell>
          <cell r="G646">
            <v>43524</v>
          </cell>
          <cell r="H646">
            <v>285357.21000000002</v>
          </cell>
          <cell r="I646" t="str">
            <v>FIN Submission</v>
          </cell>
          <cell r="J646">
            <v>43817</v>
          </cell>
        </row>
        <row r="647">
          <cell r="A647" t="str">
            <v>51738-P154</v>
          </cell>
          <cell r="B647" t="str">
            <v>Kantech Server Upgrade</v>
          </cell>
          <cell r="C647" t="str">
            <v>FIN Approval - Internal</v>
          </cell>
          <cell r="D647">
            <v>29</v>
          </cell>
          <cell r="E647" t="str">
            <v>APPROVED</v>
          </cell>
          <cell r="F647">
            <v>43039</v>
          </cell>
          <cell r="G647">
            <v>43190</v>
          </cell>
          <cell r="H647">
            <v>162388.17000000001</v>
          </cell>
          <cell r="I647" t="str">
            <v>FIN Submission</v>
          </cell>
          <cell r="J647">
            <v>43817</v>
          </cell>
        </row>
        <row r="648">
          <cell r="A648" t="str">
            <v>52208</v>
          </cell>
          <cell r="B648" t="str">
            <v xml:space="preserve">D-3S Feeder Exit Cable Replacement </v>
          </cell>
          <cell r="C648" t="str">
            <v>FIN Approval - Internal</v>
          </cell>
          <cell r="D648">
            <v>30</v>
          </cell>
          <cell r="E648" t="str">
            <v>APPROVED</v>
          </cell>
          <cell r="F648">
            <v>43343</v>
          </cell>
          <cell r="G648">
            <v>43646</v>
          </cell>
          <cell r="H648">
            <v>540983.74</v>
          </cell>
          <cell r="I648" t="str">
            <v>FIN Submission</v>
          </cell>
          <cell r="J648">
            <v>43817</v>
          </cell>
        </row>
        <row r="649">
          <cell r="A649" t="str">
            <v>51696-T964</v>
          </cell>
          <cell r="B649" t="str">
            <v>L7015 Replacements and Upgrades</v>
          </cell>
          <cell r="C649" t="str">
            <v>FIN Approval - Internal</v>
          </cell>
          <cell r="D649">
            <v>30</v>
          </cell>
          <cell r="E649" t="str">
            <v>APPROVED</v>
          </cell>
          <cell r="F649">
            <v>42978</v>
          </cell>
          <cell r="G649">
            <v>43465</v>
          </cell>
          <cell r="H649">
            <v>400214.81</v>
          </cell>
          <cell r="I649" t="str">
            <v>FIN Submission</v>
          </cell>
          <cell r="J649">
            <v>43817</v>
          </cell>
        </row>
        <row r="650">
          <cell r="A650" t="str">
            <v>51694-SI84</v>
          </cell>
          <cell r="B650" t="str">
            <v>TUC3 UU HFO Piping Replacement</v>
          </cell>
          <cell r="C650" t="str">
            <v>FIN Approval - Internal</v>
          </cell>
          <cell r="D650">
            <v>30</v>
          </cell>
          <cell r="E650" t="str">
            <v>APPROVED</v>
          </cell>
          <cell r="F650">
            <v>43008</v>
          </cell>
          <cell r="G650">
            <v>43768</v>
          </cell>
          <cell r="H650">
            <v>123392.93</v>
          </cell>
          <cell r="I650" t="str">
            <v>FIN Submission</v>
          </cell>
          <cell r="J650">
            <v>43817</v>
          </cell>
        </row>
        <row r="651">
          <cell r="A651" t="str">
            <v>52182</v>
          </cell>
          <cell r="B651" t="str">
            <v>TRE5 Condenser Tubesheet Coating</v>
          </cell>
          <cell r="C651" t="str">
            <v>FIN Approval - Internal</v>
          </cell>
          <cell r="D651">
            <v>31</v>
          </cell>
          <cell r="E651" t="str">
            <v>APPROVED</v>
          </cell>
          <cell r="F651">
            <v>43358</v>
          </cell>
          <cell r="G651">
            <v>43511</v>
          </cell>
          <cell r="H651">
            <v>193914.51</v>
          </cell>
          <cell r="I651" t="str">
            <v>FIN Submission</v>
          </cell>
          <cell r="J651">
            <v>43817</v>
          </cell>
        </row>
        <row r="652">
          <cell r="A652" t="str">
            <v>51860</v>
          </cell>
          <cell r="B652" t="str">
            <v>TRE5 PF Mill Line Replacement</v>
          </cell>
          <cell r="C652" t="str">
            <v>FIN Approval - Internal</v>
          </cell>
          <cell r="D652">
            <v>31</v>
          </cell>
          <cell r="E652" t="str">
            <v>APPROVED</v>
          </cell>
          <cell r="F652">
            <v>43358</v>
          </cell>
          <cell r="G652">
            <v>43511</v>
          </cell>
          <cell r="H652">
            <v>264570.99</v>
          </cell>
          <cell r="I652" t="str">
            <v>FIN Submission</v>
          </cell>
          <cell r="J652">
            <v>43817</v>
          </cell>
        </row>
        <row r="653">
          <cell r="A653" t="str">
            <v>52296</v>
          </cell>
          <cell r="B653" t="str">
            <v>TUC Asbestos Abatement</v>
          </cell>
          <cell r="C653" t="str">
            <v>FIN Approval - Internal</v>
          </cell>
          <cell r="D653">
            <v>31</v>
          </cell>
          <cell r="E653" t="str">
            <v>APPROVED</v>
          </cell>
          <cell r="F653">
            <v>43462</v>
          </cell>
          <cell r="G653">
            <v>43827</v>
          </cell>
          <cell r="H653">
            <v>189681.8</v>
          </cell>
          <cell r="I653" t="str">
            <v>FIN Submission</v>
          </cell>
          <cell r="J653">
            <v>43817</v>
          </cell>
        </row>
        <row r="654">
          <cell r="A654" t="str">
            <v>52153</v>
          </cell>
          <cell r="B654" t="str">
            <v>TRE5 Stack Refurbishment</v>
          </cell>
          <cell r="C654" t="str">
            <v>FIN Approval - Internal</v>
          </cell>
          <cell r="D654">
            <v>32</v>
          </cell>
          <cell r="E654" t="str">
            <v>APPROVED</v>
          </cell>
          <cell r="F654">
            <v>43358</v>
          </cell>
          <cell r="G654">
            <v>43600</v>
          </cell>
          <cell r="H654">
            <v>107925.65</v>
          </cell>
          <cell r="I654" t="str">
            <v>FIN Submission</v>
          </cell>
          <cell r="J654">
            <v>43817</v>
          </cell>
        </row>
        <row r="655">
          <cell r="A655" t="str">
            <v>51802</v>
          </cell>
          <cell r="B655" t="str">
            <v>TRE5 Boiler Refurbishment 2018</v>
          </cell>
          <cell r="C655" t="str">
            <v>FIN Approval - Internal</v>
          </cell>
          <cell r="D655">
            <v>33</v>
          </cell>
          <cell r="E655" t="str">
            <v>APPROVED</v>
          </cell>
          <cell r="F655">
            <v>43358</v>
          </cell>
          <cell r="G655">
            <v>43661</v>
          </cell>
          <cell r="H655">
            <v>1384485.46</v>
          </cell>
          <cell r="I655" t="str">
            <v>FIN Submission</v>
          </cell>
          <cell r="J655">
            <v>43817</v>
          </cell>
        </row>
        <row r="656">
          <cell r="A656" t="str">
            <v>52139</v>
          </cell>
          <cell r="B656" t="str">
            <v>TRE Common Water Piping Replacement</v>
          </cell>
          <cell r="C656" t="str">
            <v>FIN Approval - Internal</v>
          </cell>
          <cell r="D656">
            <v>35</v>
          </cell>
          <cell r="E656" t="str">
            <v>APPROVED</v>
          </cell>
          <cell r="F656">
            <v>43358</v>
          </cell>
          <cell r="G656">
            <v>43677</v>
          </cell>
          <cell r="H656">
            <v>163464.57</v>
          </cell>
          <cell r="I656" t="str">
            <v>FIN Submission</v>
          </cell>
          <cell r="J656">
            <v>43817</v>
          </cell>
        </row>
        <row r="657">
          <cell r="A657" t="str">
            <v>50735-D814</v>
          </cell>
          <cell r="B657" t="str">
            <v>79V-401 - Windsor Deteriorated Pole</v>
          </cell>
          <cell r="C657" t="str">
            <v>FIN Approval - Internal</v>
          </cell>
          <cell r="D657">
            <v>38</v>
          </cell>
          <cell r="E657" t="str">
            <v>APPROVED</v>
          </cell>
          <cell r="F657">
            <v>43251</v>
          </cell>
          <cell r="G657">
            <v>43646</v>
          </cell>
          <cell r="H657">
            <v>127155.29</v>
          </cell>
          <cell r="I657" t="str">
            <v>FIN Submission</v>
          </cell>
          <cell r="J657">
            <v>43817</v>
          </cell>
        </row>
        <row r="658">
          <cell r="A658" t="str">
            <v>50581-D795</v>
          </cell>
          <cell r="B658" t="str">
            <v xml:space="preserve">585C-311 Jimtown Rebuild </v>
          </cell>
          <cell r="C658" t="str">
            <v>FIN Approval - Internal</v>
          </cell>
          <cell r="D658">
            <v>40</v>
          </cell>
          <cell r="E658" t="str">
            <v>APPROVED</v>
          </cell>
          <cell r="F658">
            <v>42946</v>
          </cell>
          <cell r="G658">
            <v>43830</v>
          </cell>
          <cell r="H658">
            <v>136994.68</v>
          </cell>
          <cell r="I658" t="str">
            <v>FIN Submission</v>
          </cell>
          <cell r="J658">
            <v>43817</v>
          </cell>
        </row>
        <row r="659">
          <cell r="A659" t="str">
            <v>51017-D833</v>
          </cell>
          <cell r="B659" t="str">
            <v>99V-312 North Kentville Phase Exten</v>
          </cell>
          <cell r="C659" t="str">
            <v>FIN Approval - Internal</v>
          </cell>
          <cell r="D659">
            <v>40</v>
          </cell>
          <cell r="E659" t="str">
            <v>APPROVED</v>
          </cell>
          <cell r="F659">
            <v>43131</v>
          </cell>
          <cell r="G659">
            <v>43830</v>
          </cell>
          <cell r="H659">
            <v>217761.14</v>
          </cell>
          <cell r="I659" t="str">
            <v>FIN Submission</v>
          </cell>
          <cell r="J659">
            <v>43817</v>
          </cell>
        </row>
        <row r="660">
          <cell r="A660" t="str">
            <v>49215-P100</v>
          </cell>
          <cell r="B660" t="str">
            <v>IT - Outage  Reporting Dashboard</v>
          </cell>
          <cell r="C660" t="str">
            <v>FIN Approval - Internal</v>
          </cell>
          <cell r="D660">
            <v>46</v>
          </cell>
          <cell r="E660" t="str">
            <v>APPROVED</v>
          </cell>
          <cell r="F660">
            <v>43190</v>
          </cell>
          <cell r="G660">
            <v>43465</v>
          </cell>
          <cell r="H660">
            <v>247548.25</v>
          </cell>
          <cell r="I660" t="str">
            <v>FIN Submission</v>
          </cell>
          <cell r="J660">
            <v>43817</v>
          </cell>
        </row>
        <row r="661">
          <cell r="A661" t="str">
            <v>49571-P107</v>
          </cell>
          <cell r="B661" t="str">
            <v>IT - Outage Map BCP</v>
          </cell>
          <cell r="C661" t="str">
            <v>FIN Approval - Internal</v>
          </cell>
          <cell r="D661">
            <v>46</v>
          </cell>
          <cell r="E661" t="str">
            <v>APPROVED</v>
          </cell>
          <cell r="F661">
            <v>42855</v>
          </cell>
          <cell r="G661">
            <v>42979</v>
          </cell>
          <cell r="H661">
            <v>242748.12</v>
          </cell>
          <cell r="I661" t="str">
            <v>FIN Submission</v>
          </cell>
          <cell r="J661">
            <v>43817</v>
          </cell>
        </row>
        <row r="662">
          <cell r="A662" t="str">
            <v>49674-SI21</v>
          </cell>
          <cell r="B662" t="str">
            <v xml:space="preserve">TUC2 Boiler Waterwall Tube Replac </v>
          </cell>
          <cell r="C662" t="str">
            <v>FIN Approval - Internal</v>
          </cell>
          <cell r="D662">
            <v>46</v>
          </cell>
          <cell r="E662" t="str">
            <v>APPROVED</v>
          </cell>
          <cell r="F662">
            <v>42916</v>
          </cell>
          <cell r="G662">
            <v>43768</v>
          </cell>
          <cell r="H662">
            <v>656905.81000000006</v>
          </cell>
          <cell r="I662" t="str">
            <v>FIN Submission</v>
          </cell>
          <cell r="J662">
            <v>43817</v>
          </cell>
        </row>
        <row r="663">
          <cell r="A663" t="str">
            <v>49681-SI08</v>
          </cell>
          <cell r="B663" t="str">
            <v>TUC2 DCS Modulating Controls Upgr</v>
          </cell>
          <cell r="C663" t="str">
            <v>FIN Approval - Internal</v>
          </cell>
          <cell r="D663">
            <v>46</v>
          </cell>
          <cell r="E663" t="str">
            <v>APPROVED</v>
          </cell>
          <cell r="F663">
            <v>42916</v>
          </cell>
          <cell r="G663">
            <v>43738</v>
          </cell>
          <cell r="H663">
            <v>112912.02</v>
          </cell>
          <cell r="I663" t="str">
            <v>FIN Submission</v>
          </cell>
          <cell r="J663">
            <v>43817</v>
          </cell>
        </row>
        <row r="664">
          <cell r="A664" t="str">
            <v>49704-SH69</v>
          </cell>
          <cell r="B664" t="str">
            <v>TUC3 Replace Coils in SCAH</v>
          </cell>
          <cell r="C664" t="str">
            <v>FIN Approval - Internal</v>
          </cell>
          <cell r="D664">
            <v>46</v>
          </cell>
          <cell r="E664" t="str">
            <v>APPROVED</v>
          </cell>
          <cell r="F664">
            <v>43072</v>
          </cell>
          <cell r="G664">
            <v>43799</v>
          </cell>
          <cell r="H664">
            <v>235127</v>
          </cell>
          <cell r="I664" t="str">
            <v>FIN Submission</v>
          </cell>
          <cell r="J664">
            <v>43817</v>
          </cell>
        </row>
        <row r="665">
          <cell r="A665" t="str">
            <v>49381-T919</v>
          </cell>
          <cell r="B665" t="str">
            <v>L7014 Replacements and Upgrades</v>
          </cell>
          <cell r="C665" t="str">
            <v>FIN Approval - Internal</v>
          </cell>
          <cell r="D665">
            <v>47</v>
          </cell>
          <cell r="E665" t="str">
            <v>APPROVED</v>
          </cell>
          <cell r="F665">
            <v>42977</v>
          </cell>
          <cell r="G665">
            <v>43465</v>
          </cell>
          <cell r="H665">
            <v>304954.38</v>
          </cell>
          <cell r="I665" t="str">
            <v>FIN Submission</v>
          </cell>
          <cell r="J665">
            <v>43817</v>
          </cell>
        </row>
        <row r="666">
          <cell r="A666" t="str">
            <v>49374-T913</v>
          </cell>
          <cell r="B666" t="str">
            <v>L6002 Replacements and Upgrades</v>
          </cell>
          <cell r="C666" t="str">
            <v>FIN Approval - Internal</v>
          </cell>
          <cell r="D666">
            <v>48</v>
          </cell>
          <cell r="E666" t="str">
            <v>APPROVED</v>
          </cell>
          <cell r="F666">
            <v>43008</v>
          </cell>
          <cell r="G666">
            <v>44195</v>
          </cell>
          <cell r="H666">
            <v>96089.919999999998</v>
          </cell>
          <cell r="I666" t="str">
            <v>FIN Submission</v>
          </cell>
          <cell r="J666">
            <v>43817</v>
          </cell>
        </row>
        <row r="667">
          <cell r="A667" t="str">
            <v>49751-SG80</v>
          </cell>
          <cell r="B667" t="str">
            <v>TUC1 LP Blading Refurbishment</v>
          </cell>
          <cell r="C667" t="str">
            <v>FIN Approval - Internal</v>
          </cell>
          <cell r="D667">
            <v>48</v>
          </cell>
          <cell r="E667" t="str">
            <v>APPROVED</v>
          </cell>
          <cell r="F667">
            <v>42752</v>
          </cell>
          <cell r="G667">
            <v>43768</v>
          </cell>
          <cell r="H667">
            <v>952315.02</v>
          </cell>
          <cell r="I667" t="str">
            <v>FIN Submission</v>
          </cell>
          <cell r="J667">
            <v>43817</v>
          </cell>
        </row>
        <row r="668">
          <cell r="A668" t="str">
            <v>48474-P984</v>
          </cell>
          <cell r="B668" t="str">
            <v>IT - Windfarm Report Automation</v>
          </cell>
          <cell r="C668" t="str">
            <v>FIN Approval - Internal</v>
          </cell>
          <cell r="D668">
            <v>49</v>
          </cell>
          <cell r="E668" t="str">
            <v>APPROVED</v>
          </cell>
          <cell r="F668">
            <v>42855</v>
          </cell>
          <cell r="G668">
            <v>42947</v>
          </cell>
          <cell r="H668">
            <v>98896.89</v>
          </cell>
          <cell r="I668" t="str">
            <v>FIN Submission</v>
          </cell>
          <cell r="J668">
            <v>43817</v>
          </cell>
        </row>
        <row r="669">
          <cell r="A669" t="str">
            <v>49505-T920</v>
          </cell>
          <cell r="B669" t="str">
            <v>L5011 Line Relocation</v>
          </cell>
          <cell r="C669" t="str">
            <v>FIN Approval - Internal</v>
          </cell>
          <cell r="D669">
            <v>49</v>
          </cell>
          <cell r="E669" t="str">
            <v>APPROVED</v>
          </cell>
          <cell r="F669">
            <v>42583</v>
          </cell>
          <cell r="G669">
            <v>43465</v>
          </cell>
          <cell r="H669">
            <v>17060.419999999998</v>
          </cell>
          <cell r="I669" t="str">
            <v>FIN Submission</v>
          </cell>
          <cell r="J669">
            <v>43817</v>
          </cell>
        </row>
        <row r="670">
          <cell r="A670" t="str">
            <v>49686-SJ06</v>
          </cell>
          <cell r="B670" t="str">
            <v>TUC3 DCS Modulating Controls Upgr</v>
          </cell>
          <cell r="C670" t="str">
            <v>FIN Approval - Internal</v>
          </cell>
          <cell r="D670">
            <v>49</v>
          </cell>
          <cell r="E670" t="str">
            <v>APPROVED</v>
          </cell>
          <cell r="F670">
            <v>43099</v>
          </cell>
          <cell r="G670">
            <v>43768</v>
          </cell>
          <cell r="H670">
            <v>239742.34</v>
          </cell>
          <cell r="I670" t="str">
            <v>FIN Submission</v>
          </cell>
          <cell r="J670">
            <v>43817</v>
          </cell>
        </row>
        <row r="671">
          <cell r="A671" t="str">
            <v>49672-SI69</v>
          </cell>
          <cell r="B671" t="str">
            <v>TUC3 Feedwater Valve Replacement</v>
          </cell>
          <cell r="C671" t="str">
            <v>FIN Approval - Internal</v>
          </cell>
          <cell r="D671">
            <v>49</v>
          </cell>
          <cell r="E671" t="str">
            <v>APPROVED</v>
          </cell>
          <cell r="F671">
            <v>43084</v>
          </cell>
          <cell r="G671">
            <v>43829</v>
          </cell>
          <cell r="H671">
            <v>201680.3</v>
          </cell>
          <cell r="I671" t="str">
            <v>FIN Submission</v>
          </cell>
          <cell r="J671">
            <v>43817</v>
          </cell>
        </row>
        <row r="672">
          <cell r="A672" t="str">
            <v>49687-SI09</v>
          </cell>
          <cell r="B672" t="str">
            <v>TUC3 Bus Duct/Gen Terminal Mon</v>
          </cell>
          <cell r="C672" t="str">
            <v>FIN Approval - Internal</v>
          </cell>
          <cell r="D672">
            <v>50</v>
          </cell>
          <cell r="E672" t="str">
            <v>APPROVED</v>
          </cell>
          <cell r="F672">
            <v>43099</v>
          </cell>
          <cell r="G672">
            <v>43768</v>
          </cell>
          <cell r="H672">
            <v>112669.71</v>
          </cell>
          <cell r="I672" t="str">
            <v>FIN Submission</v>
          </cell>
          <cell r="J672">
            <v>43817</v>
          </cell>
        </row>
        <row r="673">
          <cell r="A673" t="str">
            <v>48711-D723</v>
          </cell>
          <cell r="B673" t="str">
            <v>4C-441 Dagger Woods relocate</v>
          </cell>
          <cell r="C673" t="str">
            <v>FIN Approval - Internal</v>
          </cell>
          <cell r="D673">
            <v>51</v>
          </cell>
          <cell r="E673" t="str">
            <v>APPROVED</v>
          </cell>
          <cell r="F673">
            <v>42460</v>
          </cell>
          <cell r="G673">
            <v>42979</v>
          </cell>
          <cell r="H673">
            <v>239690.43</v>
          </cell>
          <cell r="I673" t="str">
            <v>FIN Submission</v>
          </cell>
          <cell r="J673">
            <v>43817</v>
          </cell>
        </row>
        <row r="674">
          <cell r="A674" t="str">
            <v>48593-T895</v>
          </cell>
          <cell r="B674" t="str">
            <v>L5016 Replacements and Upgrades</v>
          </cell>
          <cell r="C674" t="str">
            <v>FIN Approval - Internal</v>
          </cell>
          <cell r="D674">
            <v>53</v>
          </cell>
          <cell r="E674" t="str">
            <v>APPROVED</v>
          </cell>
          <cell r="F674">
            <v>42613</v>
          </cell>
          <cell r="G674">
            <v>43465</v>
          </cell>
          <cell r="H674">
            <v>165791.63</v>
          </cell>
          <cell r="I674" t="str">
            <v>FIN Submission</v>
          </cell>
          <cell r="J674">
            <v>43817</v>
          </cell>
        </row>
        <row r="675">
          <cell r="A675" t="str">
            <v>49223-D765</v>
          </cell>
          <cell r="B675" t="str">
            <v xml:space="preserve">81S-305 Water St Rebuild Glace Bay </v>
          </cell>
          <cell r="C675" t="str">
            <v>FIN Approval - Internal</v>
          </cell>
          <cell r="D675">
            <v>54</v>
          </cell>
          <cell r="E675" t="str">
            <v>APPROVED</v>
          </cell>
          <cell r="F675">
            <v>43292</v>
          </cell>
          <cell r="G675">
            <v>43677</v>
          </cell>
          <cell r="H675">
            <v>128757.75</v>
          </cell>
          <cell r="I675" t="str">
            <v>FIN Submission</v>
          </cell>
          <cell r="J675">
            <v>43817</v>
          </cell>
        </row>
        <row r="676">
          <cell r="A676" t="str">
            <v>48633-P986</v>
          </cell>
          <cell r="B676" t="str">
            <v>IT -  Java Security</v>
          </cell>
          <cell r="C676" t="str">
            <v>FIN Approval - Internal</v>
          </cell>
          <cell r="D676">
            <v>54</v>
          </cell>
          <cell r="E676" t="str">
            <v>APPROVED</v>
          </cell>
          <cell r="F676">
            <v>42826</v>
          </cell>
          <cell r="G676">
            <v>43465</v>
          </cell>
          <cell r="H676">
            <v>731276.81</v>
          </cell>
          <cell r="I676" t="str">
            <v>FIN Submission</v>
          </cell>
          <cell r="J676">
            <v>43817</v>
          </cell>
        </row>
        <row r="677">
          <cell r="A677" t="str">
            <v>48635-P987</v>
          </cell>
          <cell r="B677" t="str">
            <v>IT - Endpoint Data Encr &amp; Malwre Pr</v>
          </cell>
          <cell r="C677" t="str">
            <v>FIN Approval - Internal</v>
          </cell>
          <cell r="D677">
            <v>54</v>
          </cell>
          <cell r="E677" t="str">
            <v>APPROVED</v>
          </cell>
          <cell r="F677">
            <v>42829</v>
          </cell>
          <cell r="G677">
            <v>43312</v>
          </cell>
          <cell r="H677">
            <v>798085.99</v>
          </cell>
          <cell r="I677" t="str">
            <v>FIN Submission</v>
          </cell>
          <cell r="J677">
            <v>43817</v>
          </cell>
        </row>
        <row r="678">
          <cell r="A678" t="str">
            <v>47777-D705</v>
          </cell>
          <cell r="B678" t="str">
            <v>70W-321 Wile Lake Road</v>
          </cell>
          <cell r="C678" t="str">
            <v>FIN Approval - Internal</v>
          </cell>
          <cell r="D678">
            <v>59</v>
          </cell>
          <cell r="E678" t="str">
            <v>APPROVED</v>
          </cell>
          <cell r="F678">
            <v>43281</v>
          </cell>
          <cell r="G678">
            <v>43465</v>
          </cell>
          <cell r="H678">
            <v>97955.5</v>
          </cell>
          <cell r="I678" t="str">
            <v>FIN Submission</v>
          </cell>
          <cell r="J678">
            <v>43817</v>
          </cell>
        </row>
        <row r="679">
          <cell r="A679" t="str">
            <v>47774-D766</v>
          </cell>
          <cell r="B679" t="str">
            <v>546C-311 West Bay Upgrade</v>
          </cell>
          <cell r="C679" t="str">
            <v>FIN Approval - Internal</v>
          </cell>
          <cell r="D679">
            <v>62</v>
          </cell>
          <cell r="E679" t="str">
            <v>APPROVED</v>
          </cell>
          <cell r="F679">
            <v>42916</v>
          </cell>
          <cell r="G679">
            <v>43465</v>
          </cell>
          <cell r="H679">
            <v>134002.4</v>
          </cell>
          <cell r="I679" t="str">
            <v>FIN Submission</v>
          </cell>
          <cell r="J679">
            <v>43817</v>
          </cell>
        </row>
        <row r="680">
          <cell r="A680" t="str">
            <v>47217-T847</v>
          </cell>
          <cell r="B680" t="str">
            <v xml:space="preserve">L6012  17V St. Croix to 43V Cannan </v>
          </cell>
          <cell r="C680" t="str">
            <v>FIN Approval - Internal</v>
          </cell>
          <cell r="D680">
            <v>65</v>
          </cell>
          <cell r="E680" t="str">
            <v>APPROVED</v>
          </cell>
          <cell r="F680">
            <v>43008</v>
          </cell>
          <cell r="G680">
            <v>43465</v>
          </cell>
          <cell r="H680">
            <v>352174.89</v>
          </cell>
          <cell r="I680" t="str">
            <v>FIN Submission</v>
          </cell>
          <cell r="J680">
            <v>43817</v>
          </cell>
        </row>
        <row r="681">
          <cell r="A681" t="str">
            <v>46426-SF95</v>
          </cell>
          <cell r="B681" t="str">
            <v>TRE6 Fly Ash Compressor Replacement</v>
          </cell>
          <cell r="C681" t="str">
            <v>FIN Approval - Internal</v>
          </cell>
          <cell r="D681">
            <v>74</v>
          </cell>
          <cell r="E681" t="str">
            <v>APPROVED</v>
          </cell>
          <cell r="F681">
            <v>42809</v>
          </cell>
          <cell r="G681">
            <v>43023</v>
          </cell>
          <cell r="H681">
            <v>186370.35</v>
          </cell>
          <cell r="I681" t="str">
            <v>FIN Submission</v>
          </cell>
          <cell r="J681">
            <v>43817</v>
          </cell>
        </row>
        <row r="682">
          <cell r="A682" t="str">
            <v>45873-P941</v>
          </cell>
          <cell r="B682" t="str">
            <v>IT-U&amp;U CIS Cust Self Service</v>
          </cell>
          <cell r="C682" t="str">
            <v>FIN Approval - Internal</v>
          </cell>
          <cell r="D682">
            <v>75</v>
          </cell>
          <cell r="E682" t="str">
            <v>APPROVED</v>
          </cell>
          <cell r="F682">
            <v>43220</v>
          </cell>
          <cell r="G682">
            <v>43312</v>
          </cell>
          <cell r="H682">
            <v>180392.32000000001</v>
          </cell>
          <cell r="I682" t="str">
            <v>FIN Submission</v>
          </cell>
          <cell r="J682">
            <v>43817</v>
          </cell>
        </row>
        <row r="683">
          <cell r="A683" t="str">
            <v>46505-SF40</v>
          </cell>
          <cell r="B683" t="str">
            <v>TUC2 UU LP Row6 Blade Replace</v>
          </cell>
          <cell r="C683" t="str">
            <v>FIN Approval - Internal</v>
          </cell>
          <cell r="D683">
            <v>78</v>
          </cell>
          <cell r="E683" t="str">
            <v>APPROVED</v>
          </cell>
          <cell r="F683">
            <v>42916</v>
          </cell>
          <cell r="G683">
            <v>43768</v>
          </cell>
          <cell r="H683">
            <v>696717.63</v>
          </cell>
          <cell r="I683" t="str">
            <v>FIN Submission</v>
          </cell>
          <cell r="J683">
            <v>43817</v>
          </cell>
        </row>
        <row r="684">
          <cell r="A684" t="str">
            <v>45875-P962</v>
          </cell>
          <cell r="B684" t="str">
            <v>IT-U&amp;U CIS Pmt Processing Rebuild</v>
          </cell>
          <cell r="C684" t="str">
            <v>FIN Approval - Internal</v>
          </cell>
          <cell r="D684">
            <v>80</v>
          </cell>
          <cell r="E684" t="str">
            <v>APPROVED</v>
          </cell>
          <cell r="F684">
            <v>42885</v>
          </cell>
          <cell r="G684">
            <v>43281</v>
          </cell>
          <cell r="H684">
            <v>220052.15</v>
          </cell>
          <cell r="I684" t="str">
            <v>FIN Submission</v>
          </cell>
          <cell r="J684">
            <v>43817</v>
          </cell>
        </row>
        <row r="685">
          <cell r="A685" t="str">
            <v>45651-T792</v>
          </cell>
          <cell r="B685" t="str">
            <v>L8004 Upgrade</v>
          </cell>
          <cell r="C685" t="str">
            <v>FIN Approval - Internal</v>
          </cell>
          <cell r="D685">
            <v>81</v>
          </cell>
          <cell r="E685" t="str">
            <v>APPROVED</v>
          </cell>
          <cell r="F685">
            <v>42583</v>
          </cell>
          <cell r="G685">
            <v>42705</v>
          </cell>
          <cell r="H685">
            <v>125986.98</v>
          </cell>
          <cell r="I685" t="str">
            <v>FIN Submission</v>
          </cell>
          <cell r="J685">
            <v>43817</v>
          </cell>
        </row>
        <row r="686">
          <cell r="A686" t="str">
            <v>46495-SJ11</v>
          </cell>
          <cell r="B686" t="str">
            <v xml:space="preserve">TUC3 - DCS Upgrade Phase IV Boiler </v>
          </cell>
          <cell r="C686" t="str">
            <v>FIN Approval - Internal</v>
          </cell>
          <cell r="D686">
            <v>81</v>
          </cell>
          <cell r="E686" t="str">
            <v>APPROVED</v>
          </cell>
          <cell r="F686">
            <v>43271</v>
          </cell>
          <cell r="G686">
            <v>43768</v>
          </cell>
          <cell r="H686">
            <v>229264.02</v>
          </cell>
          <cell r="I686" t="str">
            <v>FIN Submission</v>
          </cell>
          <cell r="J686">
            <v>43817</v>
          </cell>
        </row>
        <row r="687">
          <cell r="A687" t="str">
            <v>45612-D551</v>
          </cell>
          <cell r="B687" t="str">
            <v>6S Terrace St Feeder Exit Upgrade</v>
          </cell>
          <cell r="C687" t="str">
            <v>FIN Approval - Internal</v>
          </cell>
          <cell r="D687">
            <v>84</v>
          </cell>
          <cell r="E687" t="str">
            <v>APPROVED</v>
          </cell>
          <cell r="F687">
            <v>43465</v>
          </cell>
          <cell r="G687">
            <v>43646</v>
          </cell>
          <cell r="H687">
            <v>99049.49</v>
          </cell>
          <cell r="I687" t="str">
            <v>FIN Submission</v>
          </cell>
          <cell r="J687">
            <v>43817</v>
          </cell>
        </row>
        <row r="688">
          <cell r="A688" t="str">
            <v>44717-SC30</v>
          </cell>
          <cell r="B688" t="str">
            <v>TUC2 - Vacuum Pump Replacement</v>
          </cell>
          <cell r="C688" t="str">
            <v>FIN Approval - Internal</v>
          </cell>
          <cell r="D688">
            <v>96</v>
          </cell>
          <cell r="E688" t="str">
            <v>APPROVED</v>
          </cell>
          <cell r="F688">
            <v>42750</v>
          </cell>
          <cell r="G688">
            <v>43768</v>
          </cell>
          <cell r="H688">
            <v>577812.94999999995</v>
          </cell>
          <cell r="I688" t="str">
            <v>FIN Submission</v>
          </cell>
          <cell r="J688">
            <v>43817</v>
          </cell>
        </row>
        <row r="689">
          <cell r="A689" t="str">
            <v>41425-P953</v>
          </cell>
          <cell r="B689" t="str">
            <v>IT - Cognos Upgrade</v>
          </cell>
          <cell r="C689" t="str">
            <v>FIN Approval - Internal</v>
          </cell>
          <cell r="D689">
            <v>141</v>
          </cell>
          <cell r="E689" t="str">
            <v>APPROVED</v>
          </cell>
          <cell r="F689">
            <v>42461</v>
          </cell>
          <cell r="G689">
            <v>43100</v>
          </cell>
          <cell r="H689">
            <v>1559651.27</v>
          </cell>
          <cell r="I689" t="str">
            <v>FIN Submission</v>
          </cell>
          <cell r="J689">
            <v>43817</v>
          </cell>
        </row>
        <row r="690">
          <cell r="A690" t="str">
            <v>51864-SI95</v>
          </cell>
          <cell r="B690" t="str">
            <v>TUC UU Turbine Bay Lighting Replace</v>
          </cell>
          <cell r="C690" t="str">
            <v>FIN Approval - Internal</v>
          </cell>
          <cell r="D690">
            <v>28</v>
          </cell>
          <cell r="E690" t="str">
            <v>APPROVED</v>
          </cell>
          <cell r="F690">
            <v>43030</v>
          </cell>
          <cell r="G690">
            <v>43707</v>
          </cell>
          <cell r="H690">
            <v>120978.43</v>
          </cell>
          <cell r="I690" t="str">
            <v>FIN Submission</v>
          </cell>
          <cell r="J690">
            <v>43804</v>
          </cell>
        </row>
        <row r="691">
          <cell r="A691" t="str">
            <v>50717-SI18</v>
          </cell>
          <cell r="B691" t="str">
            <v xml:space="preserve">TUC3 UU AVR Controller Replacement </v>
          </cell>
          <cell r="C691" t="str">
            <v>FIN Approval - Internal</v>
          </cell>
          <cell r="D691">
            <v>30</v>
          </cell>
          <cell r="E691" t="str">
            <v>APPROVED</v>
          </cell>
          <cell r="F691">
            <v>43087</v>
          </cell>
          <cell r="G691">
            <v>43585</v>
          </cell>
          <cell r="H691">
            <v>42235.25</v>
          </cell>
          <cell r="I691" t="str">
            <v>FIN Submission</v>
          </cell>
          <cell r="J691">
            <v>43804</v>
          </cell>
        </row>
        <row r="692">
          <cell r="A692" t="str">
            <v>50653-D801</v>
          </cell>
          <cell r="B692" t="str">
            <v>530N Thorburn Upgrade</v>
          </cell>
          <cell r="C692" t="str">
            <v>FIN Approval - Internal</v>
          </cell>
          <cell r="D692">
            <v>34</v>
          </cell>
          <cell r="E692" t="str">
            <v>APPROVED</v>
          </cell>
          <cell r="F692">
            <v>42797</v>
          </cell>
          <cell r="G692">
            <v>43312</v>
          </cell>
          <cell r="H692">
            <v>20156.55</v>
          </cell>
          <cell r="I692" t="str">
            <v>FIN Submission</v>
          </cell>
          <cell r="J692">
            <v>43804</v>
          </cell>
        </row>
        <row r="693">
          <cell r="A693" t="str">
            <v>48157-SE84</v>
          </cell>
          <cell r="B693" t="str">
            <v>TUC Main Auxiliary Boiler Instal</v>
          </cell>
          <cell r="C693" t="str">
            <v>FIN Approval - Internal</v>
          </cell>
          <cell r="D693">
            <v>67</v>
          </cell>
          <cell r="E693" t="str">
            <v>APPROVED</v>
          </cell>
          <cell r="F693">
            <v>42689</v>
          </cell>
          <cell r="G693">
            <v>43738</v>
          </cell>
          <cell r="H693">
            <v>3715630.29</v>
          </cell>
          <cell r="I693" t="str">
            <v>FIN Submission</v>
          </cell>
          <cell r="J693">
            <v>43804</v>
          </cell>
        </row>
        <row r="694">
          <cell r="A694" t="str">
            <v>C0008038</v>
          </cell>
          <cell r="B694" t="str">
            <v>TRE6 Burner Front Refurb U&amp;U</v>
          </cell>
          <cell r="C694" t="str">
            <v>FIN Approval - Internal</v>
          </cell>
          <cell r="D694">
            <v>13</v>
          </cell>
          <cell r="E694" t="str">
            <v>APPROVED</v>
          </cell>
          <cell r="F694">
            <v>43266</v>
          </cell>
          <cell r="G694">
            <v>43449</v>
          </cell>
          <cell r="H694">
            <v>55300.12</v>
          </cell>
          <cell r="I694" t="str">
            <v>FIN Submission</v>
          </cell>
          <cell r="J694">
            <v>43797</v>
          </cell>
        </row>
        <row r="695">
          <cell r="A695" t="str">
            <v>C0010180</v>
          </cell>
          <cell r="B695" t="str">
            <v>TRE6 HEP/FAC 2018 U&amp;U</v>
          </cell>
          <cell r="C695" t="str">
            <v>FIN Approval - Internal</v>
          </cell>
          <cell r="D695">
            <v>13</v>
          </cell>
          <cell r="E695" t="str">
            <v>APPROVED</v>
          </cell>
          <cell r="F695">
            <v>43296</v>
          </cell>
          <cell r="G695">
            <v>43388</v>
          </cell>
          <cell r="H695">
            <v>94968.3</v>
          </cell>
          <cell r="I695" t="str">
            <v>FIN Submission</v>
          </cell>
          <cell r="J695">
            <v>43797</v>
          </cell>
        </row>
        <row r="696">
          <cell r="A696" t="str">
            <v>C0010178</v>
          </cell>
          <cell r="B696" t="str">
            <v>TRE6 LP FW Heater Refurbish U&amp;U</v>
          </cell>
          <cell r="C696" t="str">
            <v>FIN Approval - Internal</v>
          </cell>
          <cell r="D696">
            <v>13</v>
          </cell>
          <cell r="E696" t="str">
            <v>APPROVED</v>
          </cell>
          <cell r="F696">
            <v>43296</v>
          </cell>
          <cell r="G696">
            <v>43511</v>
          </cell>
          <cell r="H696">
            <v>81259.09</v>
          </cell>
          <cell r="I696" t="str">
            <v>FIN Submission</v>
          </cell>
          <cell r="J696">
            <v>43797</v>
          </cell>
        </row>
        <row r="697">
          <cell r="A697" t="str">
            <v>C0010179</v>
          </cell>
          <cell r="B697" t="str">
            <v>TRE6 Pulverizer Gearbox Replace U&amp;U</v>
          </cell>
          <cell r="C697" t="str">
            <v>FIN Approval - Internal</v>
          </cell>
          <cell r="D697">
            <v>13</v>
          </cell>
          <cell r="E697" t="str">
            <v>APPROVED</v>
          </cell>
          <cell r="F697">
            <v>43296</v>
          </cell>
          <cell r="G697">
            <v>43511</v>
          </cell>
          <cell r="H697">
            <v>72866.990000000005</v>
          </cell>
          <cell r="I697" t="str">
            <v>FIN Submission</v>
          </cell>
          <cell r="J697">
            <v>43797</v>
          </cell>
        </row>
        <row r="698">
          <cell r="A698" t="str">
            <v>C0002923</v>
          </cell>
          <cell r="B698" t="str">
            <v>HYD - Ruth Falls Deck Repairs</v>
          </cell>
          <cell r="C698" t="str">
            <v>FIN Approval - Internal</v>
          </cell>
          <cell r="D698">
            <v>19</v>
          </cell>
          <cell r="E698" t="str">
            <v>APPROVED</v>
          </cell>
          <cell r="F698">
            <v>43100</v>
          </cell>
          <cell r="G698">
            <v>43281</v>
          </cell>
          <cell r="H698">
            <v>39113.65</v>
          </cell>
          <cell r="I698" t="str">
            <v>FIN Submission</v>
          </cell>
          <cell r="J698">
            <v>43797</v>
          </cell>
        </row>
        <row r="699">
          <cell r="A699" t="str">
            <v>C0010118</v>
          </cell>
          <cell r="B699" t="str">
            <v>TRE6 Stack Breeching Refurb U&amp;U</v>
          </cell>
          <cell r="C699" t="str">
            <v>FIN Approval - Internal</v>
          </cell>
          <cell r="D699">
            <v>19</v>
          </cell>
          <cell r="E699" t="str">
            <v>APPROVED</v>
          </cell>
          <cell r="F699">
            <v>43296</v>
          </cell>
          <cell r="G699">
            <v>43511</v>
          </cell>
          <cell r="H699">
            <v>75515.11</v>
          </cell>
          <cell r="I699" t="str">
            <v>FIN Submission</v>
          </cell>
          <cell r="J699">
            <v>43797</v>
          </cell>
        </row>
        <row r="700">
          <cell r="A700" t="str">
            <v>C0003898</v>
          </cell>
          <cell r="B700" t="str">
            <v>TRE6 6A Vacuum Pump Refurb U&amp;U</v>
          </cell>
          <cell r="C700" t="str">
            <v>FIN Approval - Internal</v>
          </cell>
          <cell r="D700">
            <v>21</v>
          </cell>
          <cell r="E700" t="str">
            <v>APPROVED</v>
          </cell>
          <cell r="F700">
            <v>43115</v>
          </cell>
          <cell r="G700">
            <v>43723</v>
          </cell>
          <cell r="H700">
            <v>113902.2</v>
          </cell>
          <cell r="I700" t="str">
            <v>FIN Submission</v>
          </cell>
          <cell r="J700">
            <v>43797</v>
          </cell>
        </row>
        <row r="701">
          <cell r="A701" t="str">
            <v>C0003818</v>
          </cell>
          <cell r="B701" t="str">
            <v>TUC3 Feedwater System FAC Refurbish</v>
          </cell>
          <cell r="C701" t="str">
            <v>FIN Approval - Internal</v>
          </cell>
          <cell r="D701">
            <v>22</v>
          </cell>
          <cell r="E701" t="str">
            <v>APPROVED</v>
          </cell>
          <cell r="F701">
            <v>43091</v>
          </cell>
          <cell r="G701">
            <v>43768</v>
          </cell>
          <cell r="H701">
            <v>73708.59</v>
          </cell>
          <cell r="I701" t="str">
            <v>FIN Submission</v>
          </cell>
          <cell r="J701">
            <v>43797</v>
          </cell>
        </row>
        <row r="702">
          <cell r="A702" t="str">
            <v>52177</v>
          </cell>
          <cell r="B702" t="str">
            <v>TRE6 Valve Refurbishments 2018</v>
          </cell>
          <cell r="C702" t="str">
            <v>FIN Approval - Internal</v>
          </cell>
          <cell r="D702">
            <v>25</v>
          </cell>
          <cell r="E702" t="str">
            <v>APPROVED</v>
          </cell>
          <cell r="F702">
            <v>43281</v>
          </cell>
          <cell r="G702">
            <v>43449</v>
          </cell>
          <cell r="H702">
            <v>230295.79</v>
          </cell>
          <cell r="I702" t="str">
            <v>FIN Submission</v>
          </cell>
          <cell r="J702">
            <v>43797</v>
          </cell>
        </row>
        <row r="703">
          <cell r="A703" t="str">
            <v>52155</v>
          </cell>
          <cell r="B703" t="str">
            <v>TRE6 Conveyor Refurbishment 2018</v>
          </cell>
          <cell r="C703" t="str">
            <v>FIN Approval - Internal</v>
          </cell>
          <cell r="D703">
            <v>26</v>
          </cell>
          <cell r="E703" t="str">
            <v>APPROVED</v>
          </cell>
          <cell r="F703">
            <v>43296</v>
          </cell>
          <cell r="G703">
            <v>43449</v>
          </cell>
          <cell r="H703">
            <v>194030.48</v>
          </cell>
          <cell r="I703" t="str">
            <v>FIN Submission</v>
          </cell>
          <cell r="J703">
            <v>43797</v>
          </cell>
        </row>
        <row r="704">
          <cell r="A704" t="str">
            <v>51695-P156</v>
          </cell>
          <cell r="B704" t="str">
            <v>CT 350 Truck</v>
          </cell>
          <cell r="C704" t="str">
            <v>FIN Approval - Internal</v>
          </cell>
          <cell r="D704">
            <v>27</v>
          </cell>
          <cell r="E704" t="str">
            <v>APPROVED</v>
          </cell>
          <cell r="F704">
            <v>42947</v>
          </cell>
          <cell r="G704">
            <v>43100</v>
          </cell>
          <cell r="H704">
            <v>49590.6</v>
          </cell>
          <cell r="I704" t="str">
            <v>FIN Submission</v>
          </cell>
          <cell r="J704">
            <v>43797</v>
          </cell>
        </row>
        <row r="705">
          <cell r="A705" t="str">
            <v>51791-SI91</v>
          </cell>
          <cell r="B705" t="str">
            <v>TRE6 Gen Rotor Re-Wedge U&amp;U</v>
          </cell>
          <cell r="C705" t="str">
            <v>FIN Approval - Internal</v>
          </cell>
          <cell r="D705">
            <v>30</v>
          </cell>
          <cell r="E705" t="str">
            <v>APPROVED</v>
          </cell>
          <cell r="F705">
            <v>43068</v>
          </cell>
          <cell r="G705">
            <v>43449</v>
          </cell>
          <cell r="H705">
            <v>717705.29</v>
          </cell>
          <cell r="I705" t="str">
            <v>FIN Submission</v>
          </cell>
          <cell r="J705">
            <v>43797</v>
          </cell>
        </row>
        <row r="706">
          <cell r="A706" t="str">
            <v>51573-SI68</v>
          </cell>
          <cell r="B706" t="str">
            <v xml:space="preserve">TUC2 UU Refurbish Generator Radial </v>
          </cell>
          <cell r="C706" t="str">
            <v>FIN Approval - Internal</v>
          </cell>
          <cell r="D706">
            <v>30</v>
          </cell>
          <cell r="E706" t="str">
            <v>APPROVED</v>
          </cell>
          <cell r="F706">
            <v>42912</v>
          </cell>
          <cell r="G706">
            <v>43768</v>
          </cell>
          <cell r="H706">
            <v>220658.7</v>
          </cell>
          <cell r="I706" t="str">
            <v>FIN Submission</v>
          </cell>
          <cell r="J706">
            <v>43797</v>
          </cell>
        </row>
        <row r="707">
          <cell r="A707" t="str">
            <v>52145</v>
          </cell>
          <cell r="B707" t="str">
            <v>CT TUC 4 Thrust Balance Valve Repla</v>
          </cell>
          <cell r="C707" t="str">
            <v>FIN Approval - Internal</v>
          </cell>
          <cell r="D707">
            <v>31</v>
          </cell>
          <cell r="E707" t="str">
            <v>APPROVED</v>
          </cell>
          <cell r="F707">
            <v>43616</v>
          </cell>
          <cell r="G707">
            <v>43616</v>
          </cell>
          <cell r="H707">
            <v>68352.100000000006</v>
          </cell>
          <cell r="I707" t="str">
            <v>FIN Submission</v>
          </cell>
          <cell r="J707">
            <v>43797</v>
          </cell>
        </row>
        <row r="708">
          <cell r="A708" t="str">
            <v>52149</v>
          </cell>
          <cell r="B708" t="str">
            <v>CT TUC 5 Thrust Balance Valve Repla</v>
          </cell>
          <cell r="C708" t="str">
            <v>FIN Approval - Internal</v>
          </cell>
          <cell r="D708">
            <v>31</v>
          </cell>
          <cell r="E708" t="str">
            <v>APPROVED</v>
          </cell>
          <cell r="F708">
            <v>43616</v>
          </cell>
          <cell r="G708">
            <v>43616</v>
          </cell>
          <cell r="H708">
            <v>69396.160000000003</v>
          </cell>
          <cell r="I708" t="str">
            <v>FIN Submission</v>
          </cell>
          <cell r="J708">
            <v>43797</v>
          </cell>
        </row>
        <row r="709">
          <cell r="A709" t="str">
            <v>51807</v>
          </cell>
          <cell r="B709" t="str">
            <v>TUC2 Boiler Lower Vestibule Refurbi</v>
          </cell>
          <cell r="C709" t="str">
            <v>FIN Approval - Internal</v>
          </cell>
          <cell r="D709">
            <v>31</v>
          </cell>
          <cell r="E709" t="str">
            <v>APPROVED</v>
          </cell>
          <cell r="F709">
            <v>43257</v>
          </cell>
          <cell r="G709">
            <v>43768</v>
          </cell>
          <cell r="H709">
            <v>193683.09</v>
          </cell>
          <cell r="I709" t="str">
            <v>FIN Submission</v>
          </cell>
          <cell r="J709">
            <v>43797</v>
          </cell>
        </row>
        <row r="710">
          <cell r="A710" t="str">
            <v>51353-SI82</v>
          </cell>
          <cell r="B710" t="str">
            <v>TUC6 UU South CW Pump Refurb</v>
          </cell>
          <cell r="C710" t="str">
            <v>FIN Approval - Internal</v>
          </cell>
          <cell r="D710">
            <v>31</v>
          </cell>
          <cell r="E710" t="str">
            <v>APPROVED</v>
          </cell>
          <cell r="F710">
            <v>42967</v>
          </cell>
          <cell r="G710">
            <v>43768</v>
          </cell>
          <cell r="H710">
            <v>57939.21</v>
          </cell>
          <cell r="I710" t="str">
            <v>FIN Submission</v>
          </cell>
          <cell r="J710">
            <v>43797</v>
          </cell>
        </row>
        <row r="711">
          <cell r="A711" t="str">
            <v>50716-SI17</v>
          </cell>
          <cell r="B711" t="str">
            <v xml:space="preserve">TUC2 UU AVR Controller Replacement </v>
          </cell>
          <cell r="C711" t="str">
            <v>FIN Approval - Internal</v>
          </cell>
          <cell r="D711">
            <v>34</v>
          </cell>
          <cell r="E711" t="str">
            <v>APPROVED</v>
          </cell>
          <cell r="F711">
            <v>42904</v>
          </cell>
          <cell r="G711">
            <v>43799</v>
          </cell>
          <cell r="H711">
            <v>42457.23</v>
          </cell>
          <cell r="I711" t="str">
            <v>FIN Submission</v>
          </cell>
          <cell r="J711">
            <v>43797</v>
          </cell>
        </row>
        <row r="712">
          <cell r="A712" t="str">
            <v>51071-D835</v>
          </cell>
          <cell r="B712" t="str">
            <v>4C-430G Old Maryvale Road Pole Repl</v>
          </cell>
          <cell r="C712" t="str">
            <v>FIN Approval - Internal</v>
          </cell>
          <cell r="D712">
            <v>37</v>
          </cell>
          <cell r="E712" t="str">
            <v>APPROVED</v>
          </cell>
          <cell r="F712">
            <v>42919</v>
          </cell>
          <cell r="G712">
            <v>43646</v>
          </cell>
          <cell r="H712">
            <v>36050.199999999997</v>
          </cell>
          <cell r="I712" t="str">
            <v>FIN Submission</v>
          </cell>
          <cell r="J712">
            <v>43797</v>
          </cell>
        </row>
        <row r="713">
          <cell r="A713" t="str">
            <v>50271-SH26</v>
          </cell>
          <cell r="B713" t="str">
            <v>TRE Scale Replacement</v>
          </cell>
          <cell r="C713" t="str">
            <v>FIN Approval - Internal</v>
          </cell>
          <cell r="D713">
            <v>38</v>
          </cell>
          <cell r="E713" t="str">
            <v>APPROVED</v>
          </cell>
          <cell r="F713">
            <v>43023</v>
          </cell>
          <cell r="G713">
            <v>43296</v>
          </cell>
          <cell r="H713">
            <v>121428.46</v>
          </cell>
          <cell r="I713" t="str">
            <v>FIN Submission</v>
          </cell>
          <cell r="J713">
            <v>43797</v>
          </cell>
        </row>
        <row r="714">
          <cell r="A714" t="str">
            <v>49866-D788</v>
          </cell>
          <cell r="B714" t="str">
            <v>512N-Toney River Upgrade</v>
          </cell>
          <cell r="C714" t="str">
            <v>FIN Approval - Internal</v>
          </cell>
          <cell r="D714">
            <v>42</v>
          </cell>
          <cell r="E714" t="str">
            <v>APPROVED</v>
          </cell>
          <cell r="F714">
            <v>43100</v>
          </cell>
          <cell r="G714">
            <v>43465</v>
          </cell>
          <cell r="H714">
            <v>453401.55</v>
          </cell>
          <cell r="I714" t="str">
            <v>FIN Submission</v>
          </cell>
          <cell r="J714">
            <v>43797</v>
          </cell>
        </row>
        <row r="715">
          <cell r="A715" t="str">
            <v>49958-P153</v>
          </cell>
          <cell r="B715" t="str">
            <v>CT - BGT Road Repairs</v>
          </cell>
          <cell r="C715" t="str">
            <v>FIN Approval - Internal</v>
          </cell>
          <cell r="D715">
            <v>42</v>
          </cell>
          <cell r="E715" t="str">
            <v>APPROVED</v>
          </cell>
          <cell r="F715">
            <v>42947</v>
          </cell>
          <cell r="G715">
            <v>43312</v>
          </cell>
          <cell r="H715">
            <v>233200.5</v>
          </cell>
          <cell r="I715" t="str">
            <v>FIN Submission</v>
          </cell>
          <cell r="J715">
            <v>43797</v>
          </cell>
        </row>
        <row r="716">
          <cell r="A716" t="str">
            <v>49716-SI10</v>
          </cell>
          <cell r="B716" t="str">
            <v xml:space="preserve">TUC Asbestos Abatement </v>
          </cell>
          <cell r="C716" t="str">
            <v>FIN Approval - Internal</v>
          </cell>
          <cell r="D716">
            <v>44</v>
          </cell>
          <cell r="E716" t="str">
            <v>APPROVED</v>
          </cell>
          <cell r="F716">
            <v>42858</v>
          </cell>
          <cell r="G716">
            <v>43799</v>
          </cell>
          <cell r="H716">
            <v>220808.94</v>
          </cell>
          <cell r="I716" t="str">
            <v>FIN Submission</v>
          </cell>
          <cell r="J716">
            <v>43797</v>
          </cell>
        </row>
        <row r="717">
          <cell r="A717" t="str">
            <v>49545-SH87</v>
          </cell>
          <cell r="B717" t="str">
            <v>TRE5 DCS Server Upgrade</v>
          </cell>
          <cell r="C717" t="str">
            <v>FIN Approval - Internal</v>
          </cell>
          <cell r="D717">
            <v>46</v>
          </cell>
          <cell r="E717" t="str">
            <v>APPROVED</v>
          </cell>
          <cell r="F717">
            <v>43054</v>
          </cell>
          <cell r="G717">
            <v>43511</v>
          </cell>
          <cell r="H717">
            <v>221051.93</v>
          </cell>
          <cell r="I717" t="str">
            <v>FIN Submission</v>
          </cell>
          <cell r="J717">
            <v>43797</v>
          </cell>
        </row>
        <row r="718">
          <cell r="A718" t="str">
            <v>49541-SH41</v>
          </cell>
          <cell r="B718" t="str">
            <v>TRE6 6B Hydrogen/Water/Water Cooler</v>
          </cell>
          <cell r="C718" t="str">
            <v>FIN Approval - Internal</v>
          </cell>
          <cell r="D718">
            <v>46</v>
          </cell>
          <cell r="E718" t="str">
            <v>APPROVED</v>
          </cell>
          <cell r="F718">
            <v>43115</v>
          </cell>
          <cell r="G718">
            <v>43600</v>
          </cell>
          <cell r="H718">
            <v>165716.76999999999</v>
          </cell>
          <cell r="I718" t="str">
            <v>FIN Submission</v>
          </cell>
          <cell r="J718">
            <v>43797</v>
          </cell>
        </row>
        <row r="719">
          <cell r="A719" t="str">
            <v>49540-SH39</v>
          </cell>
          <cell r="B719" t="str">
            <v>TRE6 6C Hydrogen/Water/Water Cooler</v>
          </cell>
          <cell r="C719" t="str">
            <v>FIN Approval - Internal</v>
          </cell>
          <cell r="D719">
            <v>46</v>
          </cell>
          <cell r="E719" t="str">
            <v>APPROVED</v>
          </cell>
          <cell r="F719">
            <v>43266</v>
          </cell>
          <cell r="G719">
            <v>43600</v>
          </cell>
          <cell r="H719">
            <v>180134.93</v>
          </cell>
          <cell r="I719" t="str">
            <v>FIN Submission</v>
          </cell>
          <cell r="J719">
            <v>43797</v>
          </cell>
        </row>
        <row r="720">
          <cell r="A720" t="str">
            <v>49675-SH59</v>
          </cell>
          <cell r="B720" t="str">
            <v>TUC2 CW Piping Refurb</v>
          </cell>
          <cell r="C720" t="str">
            <v>FIN Approval - Internal</v>
          </cell>
          <cell r="D720">
            <v>46</v>
          </cell>
          <cell r="E720" t="str">
            <v>APPROVED</v>
          </cell>
          <cell r="F720">
            <v>42916</v>
          </cell>
          <cell r="G720">
            <v>43768</v>
          </cell>
          <cell r="H720">
            <v>812352.69</v>
          </cell>
          <cell r="I720" t="str">
            <v>FIN Submission</v>
          </cell>
          <cell r="J720">
            <v>43797</v>
          </cell>
        </row>
        <row r="721">
          <cell r="A721" t="str">
            <v>49705-SH70</v>
          </cell>
          <cell r="B721" t="str">
            <v>TUC3 Switchgear IR Windows and Refu</v>
          </cell>
          <cell r="C721" t="str">
            <v>FIN Approval - Internal</v>
          </cell>
          <cell r="D721">
            <v>46</v>
          </cell>
          <cell r="E721" t="str">
            <v>APPROVED</v>
          </cell>
          <cell r="F721">
            <v>43084</v>
          </cell>
          <cell r="G721">
            <v>43768</v>
          </cell>
          <cell r="H721">
            <v>29927.29</v>
          </cell>
          <cell r="I721" t="str">
            <v>FIN Submission</v>
          </cell>
          <cell r="J721">
            <v>43797</v>
          </cell>
        </row>
        <row r="722">
          <cell r="A722" t="str">
            <v>49373-T912</v>
          </cell>
          <cell r="B722" t="str">
            <v>L5544 Replacements and Upgrades</v>
          </cell>
          <cell r="C722" t="str">
            <v>FIN Approval - Internal</v>
          </cell>
          <cell r="D722">
            <v>47</v>
          </cell>
          <cell r="E722" t="str">
            <v>APPROVED</v>
          </cell>
          <cell r="F722">
            <v>42581</v>
          </cell>
          <cell r="G722">
            <v>42979</v>
          </cell>
          <cell r="H722">
            <v>92319.48</v>
          </cell>
          <cell r="I722" t="str">
            <v>FIN Submission</v>
          </cell>
          <cell r="J722">
            <v>43797</v>
          </cell>
        </row>
        <row r="723">
          <cell r="A723" t="str">
            <v>49551-SJ12</v>
          </cell>
          <cell r="B723" t="str">
            <v>TRE5 CEMS Replacement</v>
          </cell>
          <cell r="C723" t="str">
            <v>FIN Approval - Internal</v>
          </cell>
          <cell r="D723">
            <v>47</v>
          </cell>
          <cell r="E723" t="str">
            <v>APPROVED</v>
          </cell>
          <cell r="F723">
            <v>43388</v>
          </cell>
          <cell r="G723">
            <v>43449</v>
          </cell>
          <cell r="H723">
            <v>759656.54</v>
          </cell>
          <cell r="I723" t="str">
            <v>FIN Submission</v>
          </cell>
          <cell r="J723">
            <v>43797</v>
          </cell>
        </row>
        <row r="724">
          <cell r="A724" t="str">
            <v>49708-SI53</v>
          </cell>
          <cell r="B724" t="str">
            <v>TUC2 Feedwater Piping Refurbishment</v>
          </cell>
          <cell r="C724" t="str">
            <v>FIN Approval - Internal</v>
          </cell>
          <cell r="D724">
            <v>47</v>
          </cell>
          <cell r="E724" t="str">
            <v>APPROVED</v>
          </cell>
          <cell r="F724">
            <v>42900</v>
          </cell>
          <cell r="G724">
            <v>43738</v>
          </cell>
          <cell r="H724">
            <v>44436.13</v>
          </cell>
          <cell r="I724" t="str">
            <v>FIN Submission</v>
          </cell>
          <cell r="J724">
            <v>43797</v>
          </cell>
        </row>
        <row r="725">
          <cell r="A725" t="str">
            <v>49662-SJ04</v>
          </cell>
          <cell r="B725" t="str">
            <v>TUC Aquarian Heater Level Protectio</v>
          </cell>
          <cell r="C725" t="str">
            <v>FIN Approval - Internal</v>
          </cell>
          <cell r="D725">
            <v>49</v>
          </cell>
          <cell r="E725" t="str">
            <v>APPROVED</v>
          </cell>
          <cell r="F725">
            <v>43089</v>
          </cell>
          <cell r="G725">
            <v>43799</v>
          </cell>
          <cell r="H725">
            <v>90306.22</v>
          </cell>
          <cell r="I725" t="str">
            <v>FIN Submission</v>
          </cell>
          <cell r="J725">
            <v>43797</v>
          </cell>
        </row>
        <row r="726">
          <cell r="A726" t="str">
            <v>49688</v>
          </cell>
          <cell r="B726" t="str">
            <v>TUC3 Analytical Panel Upgrades</v>
          </cell>
          <cell r="C726" t="str">
            <v>FIN Approval - Internal</v>
          </cell>
          <cell r="D726">
            <v>50</v>
          </cell>
          <cell r="E726" t="str">
            <v>APPROVED</v>
          </cell>
          <cell r="F726">
            <v>43432</v>
          </cell>
          <cell r="G726">
            <v>43768</v>
          </cell>
          <cell r="H726">
            <v>25191.14</v>
          </cell>
          <cell r="I726" t="str">
            <v>FIN Submission</v>
          </cell>
          <cell r="J726">
            <v>43797</v>
          </cell>
        </row>
        <row r="727">
          <cell r="A727" t="str">
            <v>49707-SH23</v>
          </cell>
          <cell r="B727" t="str">
            <v xml:space="preserve">TUC2 Generator Bushing Replacement </v>
          </cell>
          <cell r="C727" t="str">
            <v>FIN Approval - Internal</v>
          </cell>
          <cell r="D727">
            <v>52</v>
          </cell>
          <cell r="E727" t="str">
            <v>APPROVED</v>
          </cell>
          <cell r="F727">
            <v>43276</v>
          </cell>
          <cell r="G727">
            <v>43738</v>
          </cell>
          <cell r="H727">
            <v>726401.23</v>
          </cell>
          <cell r="I727" t="str">
            <v>FIN Submission</v>
          </cell>
          <cell r="J727">
            <v>43797</v>
          </cell>
        </row>
        <row r="728">
          <cell r="A728" t="str">
            <v>48013-P970</v>
          </cell>
          <cell r="B728" t="str">
            <v>U&amp;U - CDM and HFM Licenses Finance</v>
          </cell>
          <cell r="C728" t="str">
            <v>FIN Approval - Internal</v>
          </cell>
          <cell r="D728">
            <v>53</v>
          </cell>
          <cell r="E728" t="str">
            <v>APPROVED</v>
          </cell>
          <cell r="F728">
            <v>42308</v>
          </cell>
          <cell r="G728">
            <v>42400</v>
          </cell>
          <cell r="H728">
            <v>21552</v>
          </cell>
          <cell r="I728" t="str">
            <v>FIN Submission</v>
          </cell>
          <cell r="J728">
            <v>43797</v>
          </cell>
        </row>
        <row r="729">
          <cell r="A729" t="str">
            <v>49273-G205</v>
          </cell>
          <cell r="B729" t="str">
            <v>CT - BGT Engine P686632 Refurb</v>
          </cell>
          <cell r="C729" t="str">
            <v>FIN Approval - Internal</v>
          </cell>
          <cell r="D729">
            <v>54</v>
          </cell>
          <cell r="E729" t="str">
            <v>APPROVED</v>
          </cell>
          <cell r="F729">
            <v>43100</v>
          </cell>
          <cell r="G729">
            <v>43830</v>
          </cell>
          <cell r="H729">
            <v>1981223.9</v>
          </cell>
          <cell r="I729" t="str">
            <v>FIN Submission</v>
          </cell>
          <cell r="J729">
            <v>43797</v>
          </cell>
        </row>
        <row r="730">
          <cell r="A730" t="str">
            <v>49533-SI46</v>
          </cell>
          <cell r="B730" t="str">
            <v>TRE6 Boiler Refurbishment</v>
          </cell>
          <cell r="C730" t="str">
            <v>FIN Approval - Internal</v>
          </cell>
          <cell r="D730">
            <v>54</v>
          </cell>
          <cell r="E730" t="str">
            <v>APPROVED</v>
          </cell>
          <cell r="F730">
            <v>43054</v>
          </cell>
          <cell r="G730">
            <v>43723</v>
          </cell>
          <cell r="H730">
            <v>1490498.47</v>
          </cell>
          <cell r="I730" t="str">
            <v>FIN Submission</v>
          </cell>
          <cell r="J730">
            <v>43797</v>
          </cell>
        </row>
        <row r="731">
          <cell r="A731" t="str">
            <v>47935-T875</v>
          </cell>
          <cell r="B731" t="str">
            <v>L5040 Replacements</v>
          </cell>
          <cell r="C731" t="str">
            <v>FIN Approval - Internal</v>
          </cell>
          <cell r="D731">
            <v>59</v>
          </cell>
          <cell r="E731" t="str">
            <v>APPROVED</v>
          </cell>
          <cell r="F731">
            <v>42977</v>
          </cell>
          <cell r="G731">
            <v>43465</v>
          </cell>
          <cell r="H731">
            <v>1107608.74</v>
          </cell>
          <cell r="I731" t="str">
            <v>FIN Submission</v>
          </cell>
          <cell r="J731">
            <v>43797</v>
          </cell>
        </row>
        <row r="732">
          <cell r="A732" t="str">
            <v>47952-T869</v>
          </cell>
          <cell r="B732" t="str">
            <v>L7001 Replacements (Phase 3 &amp; 4)</v>
          </cell>
          <cell r="C732" t="str">
            <v>FIN Approval - Internal</v>
          </cell>
          <cell r="D732">
            <v>59</v>
          </cell>
          <cell r="E732" t="str">
            <v>APPROVED</v>
          </cell>
          <cell r="F732">
            <v>42613</v>
          </cell>
          <cell r="G732">
            <v>43008</v>
          </cell>
          <cell r="H732">
            <v>1509306.56</v>
          </cell>
          <cell r="I732" t="str">
            <v>FIN Submission</v>
          </cell>
          <cell r="J732">
            <v>43797</v>
          </cell>
        </row>
        <row r="733">
          <cell r="A733" t="str">
            <v>47602-SI28</v>
          </cell>
          <cell r="B733" t="str">
            <v>TRE Oil Forwarding Pump Area Fire P</v>
          </cell>
          <cell r="C733" t="str">
            <v>FIN Approval - Internal</v>
          </cell>
          <cell r="D733">
            <v>60</v>
          </cell>
          <cell r="E733" t="str">
            <v>APPROVED</v>
          </cell>
          <cell r="F733">
            <v>43054</v>
          </cell>
          <cell r="G733">
            <v>43205</v>
          </cell>
          <cell r="H733">
            <v>135808.72</v>
          </cell>
          <cell r="I733" t="str">
            <v>FIN Submission</v>
          </cell>
          <cell r="J733">
            <v>43797</v>
          </cell>
        </row>
        <row r="734">
          <cell r="A734" t="str">
            <v>47901-SH42</v>
          </cell>
          <cell r="B734" t="str">
            <v>TUC Obsolete Control Valves Replace</v>
          </cell>
          <cell r="C734" t="str">
            <v>FIN Approval - Internal</v>
          </cell>
          <cell r="D734">
            <v>62</v>
          </cell>
          <cell r="E734" t="str">
            <v>APPROVED</v>
          </cell>
          <cell r="F734">
            <v>42899</v>
          </cell>
          <cell r="G734">
            <v>43768</v>
          </cell>
          <cell r="H734">
            <v>83679.210000000006</v>
          </cell>
          <cell r="I734" t="str">
            <v>FIN Submission</v>
          </cell>
          <cell r="J734">
            <v>43797</v>
          </cell>
        </row>
        <row r="735">
          <cell r="A735" t="str">
            <v>47896-SI40</v>
          </cell>
          <cell r="B735" t="str">
            <v>TUC2 Steam Piping Weld Replacements</v>
          </cell>
          <cell r="C735" t="str">
            <v>FIN Approval - Internal</v>
          </cell>
          <cell r="D735">
            <v>62</v>
          </cell>
          <cell r="E735" t="str">
            <v>APPROVED</v>
          </cell>
          <cell r="F735">
            <v>42898</v>
          </cell>
          <cell r="G735">
            <v>43768</v>
          </cell>
          <cell r="H735">
            <v>78229.84</v>
          </cell>
          <cell r="I735" t="str">
            <v>FIN Submission</v>
          </cell>
          <cell r="J735">
            <v>43797</v>
          </cell>
        </row>
        <row r="736">
          <cell r="A736" t="str">
            <v>47212-T844</v>
          </cell>
          <cell r="B736" t="str">
            <v>L5506 55N Pictou to 54N Abercrombie</v>
          </cell>
          <cell r="C736" t="str">
            <v>FIN Approval - Internal</v>
          </cell>
          <cell r="D736">
            <v>64</v>
          </cell>
          <cell r="E736" t="str">
            <v>APPROVED</v>
          </cell>
          <cell r="F736">
            <v>42553</v>
          </cell>
          <cell r="G736">
            <v>43099</v>
          </cell>
          <cell r="H736">
            <v>339770.86</v>
          </cell>
          <cell r="I736" t="str">
            <v>FIN Submission</v>
          </cell>
          <cell r="J736">
            <v>43797</v>
          </cell>
        </row>
        <row r="737">
          <cell r="A737" t="str">
            <v>47553-SH95</v>
          </cell>
          <cell r="B737" t="str">
            <v>TRE6 Turbine Main Valves</v>
          </cell>
          <cell r="C737" t="str">
            <v>FIN Approval - Internal</v>
          </cell>
          <cell r="D737">
            <v>69</v>
          </cell>
          <cell r="E737" t="str">
            <v>APPROVED</v>
          </cell>
          <cell r="F737">
            <v>43054</v>
          </cell>
          <cell r="G737">
            <v>43814</v>
          </cell>
          <cell r="H737">
            <v>604749.1</v>
          </cell>
          <cell r="I737" t="str">
            <v>FIN Submission</v>
          </cell>
          <cell r="J737">
            <v>43797</v>
          </cell>
        </row>
        <row r="738">
          <cell r="A738" t="str">
            <v>46073-P966</v>
          </cell>
          <cell r="B738" t="str">
            <v>IT - Lotus Notes Applications Repla</v>
          </cell>
          <cell r="C738" t="str">
            <v>FIN Approval - Internal</v>
          </cell>
          <cell r="D738">
            <v>75</v>
          </cell>
          <cell r="E738" t="str">
            <v>APPROVED</v>
          </cell>
          <cell r="F738">
            <v>42643</v>
          </cell>
          <cell r="G738">
            <v>42825</v>
          </cell>
          <cell r="H738">
            <v>531744.4</v>
          </cell>
          <cell r="I738" t="str">
            <v>FIN Submission</v>
          </cell>
          <cell r="J738">
            <v>43797</v>
          </cell>
        </row>
        <row r="739">
          <cell r="A739" t="str">
            <v>46454-D599</v>
          </cell>
          <cell r="B739" t="str">
            <v>519W Molega Lake Stepdown Replacmnt</v>
          </cell>
          <cell r="C739" t="str">
            <v>FIN Approval - Internal</v>
          </cell>
          <cell r="D739">
            <v>82</v>
          </cell>
          <cell r="E739" t="str">
            <v>APPROVED</v>
          </cell>
          <cell r="F739">
            <v>42003</v>
          </cell>
          <cell r="G739">
            <v>43769</v>
          </cell>
          <cell r="H739">
            <v>61060.13</v>
          </cell>
          <cell r="I739" t="str">
            <v>FIN Submission</v>
          </cell>
          <cell r="J739">
            <v>43797</v>
          </cell>
        </row>
        <row r="740">
          <cell r="A740" t="str">
            <v>45033-T812</v>
          </cell>
          <cell r="B740" t="str">
            <v>L7001 Replacements</v>
          </cell>
          <cell r="C740" t="str">
            <v>FIN Approval - Internal</v>
          </cell>
          <cell r="D740">
            <v>93</v>
          </cell>
          <cell r="E740" t="str">
            <v>APPROVED</v>
          </cell>
          <cell r="F740">
            <v>42339</v>
          </cell>
          <cell r="G740">
            <v>43738</v>
          </cell>
          <cell r="H740">
            <v>699595.97</v>
          </cell>
          <cell r="I740" t="str">
            <v>FIN Submission</v>
          </cell>
          <cell r="J740">
            <v>43797</v>
          </cell>
        </row>
        <row r="741">
          <cell r="A741" t="str">
            <v>44776-G177</v>
          </cell>
          <cell r="B741" t="str">
            <v>TUC#5 LM6000 Gen Stator Rewedge</v>
          </cell>
          <cell r="C741" t="str">
            <v>FIN Approval - Internal</v>
          </cell>
          <cell r="D741">
            <v>98</v>
          </cell>
          <cell r="E741" t="str">
            <v>APPROVED</v>
          </cell>
          <cell r="F741">
            <v>42978</v>
          </cell>
          <cell r="G741">
            <v>43830</v>
          </cell>
          <cell r="H741">
            <v>1213520.06</v>
          </cell>
          <cell r="I741" t="str">
            <v>FIN Submission</v>
          </cell>
          <cell r="J741">
            <v>43797</v>
          </cell>
        </row>
        <row r="742">
          <cell r="A742" t="str">
            <v>44727-SJ10</v>
          </cell>
          <cell r="B742" t="str">
            <v>TUC3 - DCS Upgrade Phase III Turbin</v>
          </cell>
          <cell r="C742" t="str">
            <v>FIN Approval - Internal</v>
          </cell>
          <cell r="D742">
            <v>98</v>
          </cell>
          <cell r="E742" t="str">
            <v>APPROVED</v>
          </cell>
          <cell r="F742">
            <v>43099</v>
          </cell>
          <cell r="G742">
            <v>43799</v>
          </cell>
          <cell r="H742">
            <v>243760.8</v>
          </cell>
          <cell r="I742" t="str">
            <v>FIN Submission</v>
          </cell>
          <cell r="J742">
            <v>43797</v>
          </cell>
        </row>
        <row r="743">
          <cell r="A743" t="str">
            <v>38818-T637</v>
          </cell>
          <cell r="B743" t="str">
            <v>Valley Protection Upgrades</v>
          </cell>
          <cell r="C743" t="str">
            <v>FIN Approval - Internal</v>
          </cell>
          <cell r="D743">
            <v>100</v>
          </cell>
          <cell r="E743" t="str">
            <v>APPROVED</v>
          </cell>
          <cell r="F743">
            <v>40633</v>
          </cell>
          <cell r="G743">
            <v>43830</v>
          </cell>
          <cell r="H743">
            <v>247804.02</v>
          </cell>
          <cell r="I743" t="str">
            <v>FIN Submission</v>
          </cell>
          <cell r="J743">
            <v>43797</v>
          </cell>
        </row>
        <row r="744">
          <cell r="A744" t="str">
            <v>43128-H685</v>
          </cell>
          <cell r="B744" t="str">
            <v>HYD - GIS Gearbox &amp; Bearing Replace</v>
          </cell>
          <cell r="C744" t="str">
            <v>FIN Approval - Internal</v>
          </cell>
          <cell r="D744">
            <v>110</v>
          </cell>
          <cell r="E744" t="str">
            <v>APPROVED</v>
          </cell>
          <cell r="F744">
            <v>43039</v>
          </cell>
          <cell r="G744">
            <v>43677</v>
          </cell>
          <cell r="H744">
            <v>1040411.76</v>
          </cell>
          <cell r="I744" t="str">
            <v>FIN Submission</v>
          </cell>
          <cell r="J744">
            <v>43797</v>
          </cell>
        </row>
        <row r="745">
          <cell r="A745" t="str">
            <v>43666-SC29</v>
          </cell>
          <cell r="B745" t="str">
            <v>TUC1 - Hydrazine Replacement</v>
          </cell>
          <cell r="C745" t="str">
            <v>FIN Approval - Internal</v>
          </cell>
          <cell r="D745">
            <v>110</v>
          </cell>
          <cell r="E745" t="str">
            <v>APPROVED</v>
          </cell>
          <cell r="F745">
            <v>42781</v>
          </cell>
          <cell r="G745">
            <v>43768</v>
          </cell>
          <cell r="H745">
            <v>186116.94</v>
          </cell>
          <cell r="I745" t="str">
            <v>FIN Submission</v>
          </cell>
          <cell r="J745">
            <v>43797</v>
          </cell>
        </row>
        <row r="746">
          <cell r="A746" t="str">
            <v>42127-W117</v>
          </cell>
          <cell r="B746" t="str">
            <v xml:space="preserve">South Canoe Wind Project </v>
          </cell>
          <cell r="C746" t="str">
            <v>FIN Approval - Internal</v>
          </cell>
          <cell r="D746">
            <v>114</v>
          </cell>
          <cell r="E746" t="str">
            <v>APPROVED</v>
          </cell>
          <cell r="F746">
            <v>42118</v>
          </cell>
          <cell r="G746">
            <v>43830</v>
          </cell>
          <cell r="H746">
            <v>97417837.719999999</v>
          </cell>
          <cell r="I746" t="str">
            <v>FIN Submission</v>
          </cell>
          <cell r="J746">
            <v>43797</v>
          </cell>
        </row>
        <row r="747">
          <cell r="A747" t="str">
            <v>41140-H649</v>
          </cell>
          <cell r="B747" t="str">
            <v>HYD-Sissiboo Tailrace Refurbishment</v>
          </cell>
          <cell r="C747" t="str">
            <v>FIN Approval - Internal</v>
          </cell>
          <cell r="D747">
            <v>137</v>
          </cell>
          <cell r="E747" t="str">
            <v>APPROVED</v>
          </cell>
          <cell r="F747">
            <v>41973</v>
          </cell>
          <cell r="G747">
            <v>42551</v>
          </cell>
          <cell r="H747">
            <v>482403.76</v>
          </cell>
          <cell r="I747" t="str">
            <v>FIN Submission</v>
          </cell>
          <cell r="J747">
            <v>43797</v>
          </cell>
        </row>
        <row r="748">
          <cell r="A748" t="str">
            <v>40309-H622</v>
          </cell>
          <cell r="B748" t="str">
            <v>HYD -Tidewater Pipeline Repl</v>
          </cell>
          <cell r="C748" t="str">
            <v>FIN Approval - Internal</v>
          </cell>
          <cell r="D748">
            <v>156</v>
          </cell>
          <cell r="E748" t="str">
            <v>APPROVED</v>
          </cell>
          <cell r="F748">
            <v>41273</v>
          </cell>
          <cell r="G748">
            <v>43763</v>
          </cell>
          <cell r="H748">
            <v>7455619.1799999997</v>
          </cell>
          <cell r="I748" t="str">
            <v>FIN Submission</v>
          </cell>
          <cell r="J748">
            <v>43797</v>
          </cell>
        </row>
        <row r="749">
          <cell r="A749" t="str">
            <v>20571-H688</v>
          </cell>
          <cell r="B749" t="str">
            <v>HYD - Weymouth Falls Tailrace Deck</v>
          </cell>
          <cell r="C749" t="str">
            <v>FIN Approval - Internal</v>
          </cell>
          <cell r="D749">
            <v>180</v>
          </cell>
          <cell r="E749" t="str">
            <v>APPROVED</v>
          </cell>
          <cell r="F749">
            <v>42674</v>
          </cell>
          <cell r="G749">
            <v>43252</v>
          </cell>
          <cell r="H749">
            <v>840914.21</v>
          </cell>
          <cell r="I749" t="str">
            <v>FIN Submission</v>
          </cell>
          <cell r="J749">
            <v>43797</v>
          </cell>
        </row>
        <row r="750">
          <cell r="A750" t="str">
            <v>C0007598</v>
          </cell>
          <cell r="B750" t="str">
            <v>LM6000 TUC4 VBV duct upgrade</v>
          </cell>
          <cell r="C750" t="str">
            <v>FIN Approval - Internal</v>
          </cell>
          <cell r="D750">
            <v>21</v>
          </cell>
          <cell r="E750" t="str">
            <v>APPROVED</v>
          </cell>
          <cell r="F750">
            <v>43524</v>
          </cell>
          <cell r="G750">
            <v>43613</v>
          </cell>
          <cell r="H750">
            <v>238762.27</v>
          </cell>
          <cell r="I750" t="str">
            <v>FIN Submission</v>
          </cell>
          <cell r="J750">
            <v>43787</v>
          </cell>
        </row>
        <row r="751">
          <cell r="A751" t="str">
            <v>C0001804</v>
          </cell>
          <cell r="B751" t="str">
            <v>LIN UU E2 Belt Replacement</v>
          </cell>
          <cell r="C751" t="str">
            <v>FIN Approval - Internal</v>
          </cell>
          <cell r="D751">
            <v>23</v>
          </cell>
          <cell r="E751" t="str">
            <v>APPROVED</v>
          </cell>
          <cell r="F751">
            <v>43051</v>
          </cell>
          <cell r="G751">
            <v>43465</v>
          </cell>
          <cell r="H751">
            <v>99076.49</v>
          </cell>
          <cell r="I751" t="str">
            <v>FIN Submission</v>
          </cell>
          <cell r="J751">
            <v>43787</v>
          </cell>
        </row>
        <row r="752">
          <cell r="A752" t="str">
            <v>51409</v>
          </cell>
          <cell r="B752" t="str">
            <v xml:space="preserve"> LIN UU Dozer Replacement</v>
          </cell>
          <cell r="C752" t="str">
            <v>FIN Approval - Internal</v>
          </cell>
          <cell r="D752">
            <v>29</v>
          </cell>
          <cell r="E752" t="str">
            <v>APPROVED</v>
          </cell>
          <cell r="F752">
            <v>42943</v>
          </cell>
          <cell r="G752">
            <v>43096</v>
          </cell>
          <cell r="H752">
            <v>914172.38</v>
          </cell>
          <cell r="I752" t="str">
            <v>FIN Submission</v>
          </cell>
          <cell r="J752">
            <v>43787</v>
          </cell>
        </row>
        <row r="753">
          <cell r="A753" t="str">
            <v>51524-SI59</v>
          </cell>
          <cell r="B753" t="str">
            <v>TUC3 UU South CW Pump Refurbishment</v>
          </cell>
          <cell r="C753" t="str">
            <v>FIN Approval - Internal</v>
          </cell>
          <cell r="D753">
            <v>36</v>
          </cell>
          <cell r="E753" t="str">
            <v>APPROVED</v>
          </cell>
          <cell r="F753">
            <v>42912</v>
          </cell>
          <cell r="G753">
            <v>43768</v>
          </cell>
          <cell r="H753">
            <v>158861.12</v>
          </cell>
          <cell r="I753" t="str">
            <v>FIN Submission</v>
          </cell>
          <cell r="J753">
            <v>43787</v>
          </cell>
        </row>
        <row r="754">
          <cell r="A754" t="str">
            <v>51116-P139</v>
          </cell>
          <cell r="B754" t="str">
            <v>Depot Upgrades East</v>
          </cell>
          <cell r="C754" t="str">
            <v>FIN Approval - Internal</v>
          </cell>
          <cell r="D754">
            <v>37</v>
          </cell>
          <cell r="E754" t="str">
            <v>APPROVED</v>
          </cell>
          <cell r="F754">
            <v>43008</v>
          </cell>
          <cell r="G754">
            <v>43646</v>
          </cell>
          <cell r="H754">
            <v>248377.15</v>
          </cell>
          <cell r="I754" t="str">
            <v>FIN Submission</v>
          </cell>
          <cell r="J754">
            <v>43787</v>
          </cell>
        </row>
        <row r="755">
          <cell r="A755" t="str">
            <v>50933-G234</v>
          </cell>
          <cell r="B755" t="str">
            <v>CT's VJ Replace Underground Piping</v>
          </cell>
          <cell r="C755" t="str">
            <v>FIN Approval - Internal</v>
          </cell>
          <cell r="D755">
            <v>38</v>
          </cell>
          <cell r="E755" t="str">
            <v>APPROVED</v>
          </cell>
          <cell r="F755">
            <v>43281</v>
          </cell>
          <cell r="G755">
            <v>43830</v>
          </cell>
          <cell r="H755">
            <v>217758.43</v>
          </cell>
          <cell r="I755" t="str">
            <v>FIN Submission</v>
          </cell>
          <cell r="J755">
            <v>43787</v>
          </cell>
        </row>
        <row r="756">
          <cell r="A756" t="str">
            <v>50734-SH60</v>
          </cell>
          <cell r="B756" t="str">
            <v>TUC UU Oil Water Separator Repl</v>
          </cell>
          <cell r="C756" t="str">
            <v>FIN Approval - Internal</v>
          </cell>
          <cell r="D756">
            <v>38</v>
          </cell>
          <cell r="E756" t="str">
            <v>APPROVED</v>
          </cell>
          <cell r="F756">
            <v>43100</v>
          </cell>
          <cell r="G756">
            <v>43768</v>
          </cell>
          <cell r="H756">
            <v>180136.14</v>
          </cell>
          <cell r="I756" t="str">
            <v>FIN Submission</v>
          </cell>
          <cell r="J756">
            <v>43787</v>
          </cell>
        </row>
        <row r="757">
          <cell r="A757" t="str">
            <v>49430-SH31</v>
          </cell>
          <cell r="B757" t="str">
            <v>LIN CW Pump Rebuild 2017</v>
          </cell>
          <cell r="C757" t="str">
            <v>FIN Approval - Internal</v>
          </cell>
          <cell r="D757">
            <v>45</v>
          </cell>
          <cell r="E757" t="str">
            <v>APPROVED</v>
          </cell>
          <cell r="F757">
            <v>42902</v>
          </cell>
          <cell r="G757">
            <v>43450</v>
          </cell>
          <cell r="H757">
            <v>560231.39</v>
          </cell>
          <cell r="I757" t="str">
            <v>FIN Submission</v>
          </cell>
          <cell r="J757">
            <v>43787</v>
          </cell>
        </row>
        <row r="758">
          <cell r="A758" t="str">
            <v>49542-SH86</v>
          </cell>
          <cell r="B758" t="str">
            <v>TRE5 Main Boiler Stop Valves Refurb</v>
          </cell>
          <cell r="C758" t="str">
            <v>FIN Approval - Internal</v>
          </cell>
          <cell r="D758">
            <v>47</v>
          </cell>
          <cell r="E758" t="str">
            <v>APPROVED</v>
          </cell>
          <cell r="F758">
            <v>42870</v>
          </cell>
          <cell r="G758">
            <v>43296</v>
          </cell>
          <cell r="H758">
            <v>232078.39</v>
          </cell>
          <cell r="I758" t="str">
            <v>FIN Submission</v>
          </cell>
          <cell r="J758">
            <v>43787</v>
          </cell>
        </row>
        <row r="759">
          <cell r="A759" t="str">
            <v>49971-G239</v>
          </cell>
          <cell r="B759" t="str">
            <v>CT - LM6000 191-332 HPC Bushing</v>
          </cell>
          <cell r="C759" t="str">
            <v>FIN Approval - Internal</v>
          </cell>
          <cell r="D759">
            <v>48</v>
          </cell>
          <cell r="E759" t="str">
            <v>APPROVED</v>
          </cell>
          <cell r="F759">
            <v>43100</v>
          </cell>
          <cell r="G759">
            <v>43830</v>
          </cell>
          <cell r="H759">
            <v>205168.61</v>
          </cell>
          <cell r="I759" t="str">
            <v>FIN Submission</v>
          </cell>
          <cell r="J759">
            <v>43787</v>
          </cell>
        </row>
        <row r="760">
          <cell r="A760" t="str">
            <v>49972-G238</v>
          </cell>
          <cell r="B760" t="str">
            <v>CT - LM6000 191-253 HPC Bushing</v>
          </cell>
          <cell r="C760" t="str">
            <v>FIN Approval - Internal</v>
          </cell>
          <cell r="D760">
            <v>49</v>
          </cell>
          <cell r="E760" t="str">
            <v>APPROVED</v>
          </cell>
          <cell r="F760">
            <v>43220</v>
          </cell>
          <cell r="G760">
            <v>43830</v>
          </cell>
          <cell r="H760">
            <v>176277.53</v>
          </cell>
          <cell r="I760" t="str">
            <v>FIN Submission</v>
          </cell>
          <cell r="J760">
            <v>43787</v>
          </cell>
        </row>
        <row r="761">
          <cell r="A761" t="str">
            <v>49973-G241</v>
          </cell>
          <cell r="B761" t="str">
            <v>CT - TUS Control Room Halon Replace</v>
          </cell>
          <cell r="C761" t="str">
            <v>FIN Approval - Internal</v>
          </cell>
          <cell r="D761">
            <v>49</v>
          </cell>
          <cell r="E761" t="str">
            <v>APPROVED</v>
          </cell>
          <cell r="F761">
            <v>43312</v>
          </cell>
          <cell r="G761">
            <v>43769</v>
          </cell>
          <cell r="H761">
            <v>206449.93</v>
          </cell>
          <cell r="I761" t="str">
            <v>FIN Submission</v>
          </cell>
          <cell r="J761">
            <v>43787</v>
          </cell>
        </row>
        <row r="762">
          <cell r="A762" t="str">
            <v>49061-G206</v>
          </cell>
          <cell r="B762" t="str">
            <v>LM6000 191-443 Engine  Repair</v>
          </cell>
          <cell r="C762" t="str">
            <v>FIN Approval - Internal</v>
          </cell>
          <cell r="D762">
            <v>57</v>
          </cell>
          <cell r="E762" t="str">
            <v>APPROVED</v>
          </cell>
          <cell r="F762">
            <v>42521</v>
          </cell>
          <cell r="G762">
            <v>43830</v>
          </cell>
          <cell r="H762">
            <v>1077839.75</v>
          </cell>
          <cell r="I762" t="str">
            <v>FIN Submission</v>
          </cell>
          <cell r="J762">
            <v>43787</v>
          </cell>
        </row>
        <row r="763">
          <cell r="A763" t="str">
            <v>47215-T846</v>
          </cell>
          <cell r="B763" t="str">
            <v>L6008  90H Sackville to 103H Lakesi</v>
          </cell>
          <cell r="C763" t="str">
            <v>FIN Approval - Internal</v>
          </cell>
          <cell r="D763">
            <v>64</v>
          </cell>
          <cell r="E763" t="str">
            <v>APPROVED</v>
          </cell>
          <cell r="F763">
            <v>42459</v>
          </cell>
          <cell r="G763">
            <v>43008</v>
          </cell>
          <cell r="H763">
            <v>375923.24</v>
          </cell>
          <cell r="I763" t="str">
            <v>FIN Submission</v>
          </cell>
          <cell r="J763">
            <v>43787</v>
          </cell>
        </row>
        <row r="764">
          <cell r="A764" t="str">
            <v>40327-T695</v>
          </cell>
          <cell r="B764" t="str">
            <v xml:space="preserve">Glen Dhu 138 kV Substation </v>
          </cell>
          <cell r="C764" t="str">
            <v>FIN Approval - Internal</v>
          </cell>
          <cell r="D764">
            <v>91</v>
          </cell>
          <cell r="E764" t="str">
            <v>APPROVED</v>
          </cell>
          <cell r="F764">
            <v>40846</v>
          </cell>
          <cell r="G764">
            <v>43830</v>
          </cell>
          <cell r="H764">
            <v>3406923.82</v>
          </cell>
          <cell r="I764" t="str">
            <v>FIN Submission</v>
          </cell>
          <cell r="J764">
            <v>43787</v>
          </cell>
        </row>
        <row r="765">
          <cell r="A765" t="str">
            <v>20511-G211</v>
          </cell>
          <cell r="B765" t="str">
            <v>CT -VJReplace Halon Fire Protect</v>
          </cell>
          <cell r="C765" t="str">
            <v>FIN Approval - Internal</v>
          </cell>
          <cell r="D765">
            <v>204</v>
          </cell>
          <cell r="E765" t="str">
            <v>APPROVED</v>
          </cell>
          <cell r="F765">
            <v>43159</v>
          </cell>
          <cell r="G765">
            <v>43769</v>
          </cell>
          <cell r="H765">
            <v>595829.19999999995</v>
          </cell>
          <cell r="I765" t="str">
            <v>FIN Submission</v>
          </cell>
          <cell r="J765">
            <v>43787</v>
          </cell>
        </row>
        <row r="766">
          <cell r="A766" t="str">
            <v>C0009160</v>
          </cell>
          <cell r="B766" t="str">
            <v>TUC SO2 Monitors for HFO Burn</v>
          </cell>
          <cell r="C766" t="str">
            <v>FIN Approval - Internal</v>
          </cell>
          <cell r="D766">
            <v>15</v>
          </cell>
          <cell r="E766" t="str">
            <v>APPROVED</v>
          </cell>
          <cell r="F766">
            <v>43419</v>
          </cell>
          <cell r="G766">
            <v>43707</v>
          </cell>
          <cell r="H766">
            <v>74916.77</v>
          </cell>
          <cell r="I766" t="str">
            <v>FIN Submission</v>
          </cell>
          <cell r="J766">
            <v>43769</v>
          </cell>
        </row>
        <row r="767">
          <cell r="A767" t="str">
            <v>C0009158</v>
          </cell>
          <cell r="B767" t="str">
            <v>TUC2 Generator Refurbishment</v>
          </cell>
          <cell r="C767" t="str">
            <v>FIN Approval - Internal</v>
          </cell>
          <cell r="D767">
            <v>16</v>
          </cell>
          <cell r="E767" t="str">
            <v>APPROVED</v>
          </cell>
          <cell r="F767">
            <v>43266</v>
          </cell>
          <cell r="G767">
            <v>43707</v>
          </cell>
          <cell r="H767">
            <v>144015.81</v>
          </cell>
          <cell r="I767" t="str">
            <v>FIN Submission</v>
          </cell>
          <cell r="J767">
            <v>43769</v>
          </cell>
        </row>
        <row r="768">
          <cell r="A768" t="str">
            <v>C0002698</v>
          </cell>
          <cell r="B768" t="str">
            <v>TUC3 North FD Fan Motor Refurbishme</v>
          </cell>
          <cell r="C768" t="str">
            <v>FIN Approval - Internal</v>
          </cell>
          <cell r="D768">
            <v>22</v>
          </cell>
          <cell r="E768" t="str">
            <v>APPROVED</v>
          </cell>
          <cell r="F768">
            <v>43078</v>
          </cell>
          <cell r="G768">
            <v>43707</v>
          </cell>
          <cell r="H768">
            <v>89132.94</v>
          </cell>
          <cell r="I768" t="str">
            <v>FIN Submission</v>
          </cell>
          <cell r="J768">
            <v>43769</v>
          </cell>
        </row>
        <row r="769">
          <cell r="A769" t="str">
            <v>52298</v>
          </cell>
          <cell r="B769" t="str">
            <v>TUC6 Auxiliary Cooling Piping Upgra</v>
          </cell>
          <cell r="C769" t="str">
            <v>FIN Approval - Internal</v>
          </cell>
          <cell r="D769">
            <v>27</v>
          </cell>
          <cell r="E769" t="str">
            <v>APPROVED</v>
          </cell>
          <cell r="F769">
            <v>43371</v>
          </cell>
          <cell r="G769">
            <v>43707</v>
          </cell>
          <cell r="H769">
            <v>105424.03</v>
          </cell>
          <cell r="I769" t="str">
            <v>FIN Submission</v>
          </cell>
          <cell r="J769">
            <v>43769</v>
          </cell>
        </row>
        <row r="770">
          <cell r="A770" t="str">
            <v>C0001120</v>
          </cell>
          <cell r="B770" t="str">
            <v>TUC3 Boiler SSH Support Refurbishme</v>
          </cell>
          <cell r="C770" t="str">
            <v>FIN Approval - Internal</v>
          </cell>
          <cell r="D770">
            <v>30</v>
          </cell>
          <cell r="E770" t="str">
            <v>APPROVED</v>
          </cell>
          <cell r="F770">
            <v>43084</v>
          </cell>
          <cell r="G770">
            <v>43707</v>
          </cell>
          <cell r="H770">
            <v>149601.22</v>
          </cell>
          <cell r="I770" t="str">
            <v>FIN Submission</v>
          </cell>
          <cell r="J770">
            <v>43769</v>
          </cell>
        </row>
        <row r="771">
          <cell r="A771" t="str">
            <v>49854-SG96</v>
          </cell>
          <cell r="B771" t="str">
            <v>TUC1 U&amp;U HEP Piping Refurbishment</v>
          </cell>
          <cell r="C771" t="str">
            <v>FIN Approval - Internal</v>
          </cell>
          <cell r="D771">
            <v>35</v>
          </cell>
          <cell r="E771" t="str">
            <v>APPROVED</v>
          </cell>
          <cell r="F771">
            <v>42671</v>
          </cell>
          <cell r="G771">
            <v>43373</v>
          </cell>
          <cell r="H771">
            <v>144696.16</v>
          </cell>
          <cell r="I771" t="str">
            <v>FIN Submission</v>
          </cell>
          <cell r="J771">
            <v>43769</v>
          </cell>
        </row>
        <row r="772">
          <cell r="A772" t="str">
            <v>49863-D818</v>
          </cell>
          <cell r="B772" t="str">
            <v>73W-411H New Germany Recloser</v>
          </cell>
          <cell r="C772" t="str">
            <v>FIN Approval - Internal</v>
          </cell>
          <cell r="D772">
            <v>40</v>
          </cell>
          <cell r="E772" t="str">
            <v>APPROVED</v>
          </cell>
          <cell r="F772">
            <v>42948</v>
          </cell>
          <cell r="G772">
            <v>43465</v>
          </cell>
          <cell r="H772">
            <v>75818.720000000001</v>
          </cell>
          <cell r="I772" t="str">
            <v>FIN Submission</v>
          </cell>
          <cell r="J772">
            <v>43769</v>
          </cell>
        </row>
        <row r="773">
          <cell r="A773" t="str">
            <v>49615-P115</v>
          </cell>
          <cell r="B773" t="str">
            <v>AMO CBT&amp;Procedure Management Ph II</v>
          </cell>
          <cell r="C773" t="str">
            <v>FIN Approval - Internal</v>
          </cell>
          <cell r="D773">
            <v>44</v>
          </cell>
          <cell r="E773" t="str">
            <v>APPROVED</v>
          </cell>
          <cell r="F773">
            <v>43130</v>
          </cell>
          <cell r="G773">
            <v>43466</v>
          </cell>
          <cell r="H773">
            <v>247851.86</v>
          </cell>
          <cell r="I773" t="str">
            <v>FIN Submission</v>
          </cell>
          <cell r="J773">
            <v>43769</v>
          </cell>
        </row>
        <row r="774">
          <cell r="A774" t="str">
            <v>49695-SJ34</v>
          </cell>
          <cell r="B774" t="str">
            <v>TUC Painting of Fuel Oil Storage Ta</v>
          </cell>
          <cell r="C774" t="str">
            <v>FIN Approval - Internal</v>
          </cell>
          <cell r="D774">
            <v>45</v>
          </cell>
          <cell r="E774" t="str">
            <v>APPROVED</v>
          </cell>
          <cell r="F774">
            <v>43042</v>
          </cell>
          <cell r="G774">
            <v>43707</v>
          </cell>
          <cell r="H774">
            <v>216859.58</v>
          </cell>
          <cell r="I774" t="str">
            <v>FIN Submission</v>
          </cell>
          <cell r="J774">
            <v>43769</v>
          </cell>
        </row>
        <row r="775">
          <cell r="A775" t="str">
            <v>49651-P161</v>
          </cell>
          <cell r="B775" t="str">
            <v>TUC Office Block Facility Upgrade</v>
          </cell>
          <cell r="C775" t="str">
            <v>FIN Approval - Internal</v>
          </cell>
          <cell r="D775">
            <v>46</v>
          </cell>
          <cell r="E775" t="str">
            <v>APPROVED</v>
          </cell>
          <cell r="F775">
            <v>43038</v>
          </cell>
          <cell r="G775">
            <v>43707</v>
          </cell>
          <cell r="H775">
            <v>117245.04</v>
          </cell>
          <cell r="I775" t="str">
            <v>FIN Submission</v>
          </cell>
          <cell r="J775">
            <v>43769</v>
          </cell>
        </row>
        <row r="776">
          <cell r="A776" t="str">
            <v>49682-SH92</v>
          </cell>
          <cell r="B776" t="str">
            <v>TUC2 FW Heater Level Control Upgrad</v>
          </cell>
          <cell r="C776" t="str">
            <v>FIN Approval - Internal</v>
          </cell>
          <cell r="D776">
            <v>46</v>
          </cell>
          <cell r="E776" t="str">
            <v>APPROVED</v>
          </cell>
          <cell r="F776">
            <v>42916</v>
          </cell>
          <cell r="G776">
            <v>43707</v>
          </cell>
          <cell r="H776">
            <v>103992.5</v>
          </cell>
          <cell r="I776" t="str">
            <v>FIN Submission</v>
          </cell>
          <cell r="J776">
            <v>43769</v>
          </cell>
        </row>
        <row r="777">
          <cell r="A777" t="str">
            <v>49689-SJ07</v>
          </cell>
          <cell r="B777" t="str">
            <v>TUC3 HP Heater Level Controls Repla</v>
          </cell>
          <cell r="C777" t="str">
            <v>FIN Approval - Internal</v>
          </cell>
          <cell r="D777">
            <v>46</v>
          </cell>
          <cell r="E777" t="str">
            <v>APPROVED</v>
          </cell>
          <cell r="F777">
            <v>43099</v>
          </cell>
          <cell r="G777">
            <v>43707</v>
          </cell>
          <cell r="H777">
            <v>142348.82999999999</v>
          </cell>
          <cell r="I777" t="str">
            <v>FIN Submission</v>
          </cell>
          <cell r="J777">
            <v>43769</v>
          </cell>
        </row>
        <row r="778">
          <cell r="A778" t="str">
            <v>49550-SH68</v>
          </cell>
          <cell r="B778" t="str">
            <v>TRE5 FW Heater Level Controls</v>
          </cell>
          <cell r="C778" t="str">
            <v>FIN Approval - Internal</v>
          </cell>
          <cell r="D778">
            <v>47</v>
          </cell>
          <cell r="E778" t="str">
            <v>APPROVED</v>
          </cell>
          <cell r="F778">
            <v>42993</v>
          </cell>
          <cell r="G778">
            <v>43388</v>
          </cell>
          <cell r="H778">
            <v>244286.9</v>
          </cell>
          <cell r="I778" t="str">
            <v>FIN Submission</v>
          </cell>
          <cell r="J778">
            <v>43769</v>
          </cell>
        </row>
        <row r="779">
          <cell r="A779" t="str">
            <v>48904-D733</v>
          </cell>
          <cell r="B779" t="str">
            <v>IR 498 TE Boyle Farm COMFIT</v>
          </cell>
          <cell r="C779" t="str">
            <v>FIN Approval - Internal</v>
          </cell>
          <cell r="D779">
            <v>48</v>
          </cell>
          <cell r="E779" t="str">
            <v>APPROVED</v>
          </cell>
          <cell r="F779">
            <v>43343</v>
          </cell>
          <cell r="G779">
            <v>43585</v>
          </cell>
          <cell r="H779">
            <v>0</v>
          </cell>
          <cell r="I779" t="str">
            <v>FIN Submission</v>
          </cell>
          <cell r="J779">
            <v>43769</v>
          </cell>
        </row>
        <row r="780">
          <cell r="A780" t="str">
            <v>49271-D752</v>
          </cell>
          <cell r="B780" t="str">
            <v>505V-201 Weymouth Conversion</v>
          </cell>
          <cell r="C780" t="str">
            <v>FIN Approval - Internal</v>
          </cell>
          <cell r="D780">
            <v>50</v>
          </cell>
          <cell r="E780" t="str">
            <v>APPROVED</v>
          </cell>
          <cell r="F780">
            <v>42673</v>
          </cell>
          <cell r="G780">
            <v>43465</v>
          </cell>
          <cell r="H780">
            <v>128415.37</v>
          </cell>
          <cell r="I780" t="str">
            <v>FIN Submission</v>
          </cell>
          <cell r="J780">
            <v>43769</v>
          </cell>
        </row>
        <row r="781">
          <cell r="A781" t="str">
            <v>48113-T882</v>
          </cell>
          <cell r="B781" t="str">
            <v>2016 Steel Tower Refurbishment</v>
          </cell>
          <cell r="C781" t="str">
            <v>FIN Approval - Internal</v>
          </cell>
          <cell r="D781">
            <v>57</v>
          </cell>
          <cell r="E781" t="str">
            <v>APPROVED</v>
          </cell>
          <cell r="F781">
            <v>42460</v>
          </cell>
          <cell r="G781">
            <v>43496</v>
          </cell>
          <cell r="H781">
            <v>1939737.5</v>
          </cell>
          <cell r="I781" t="str">
            <v>FIN Submission</v>
          </cell>
          <cell r="J781">
            <v>43769</v>
          </cell>
        </row>
        <row r="782">
          <cell r="A782" t="str">
            <v>47752-D701</v>
          </cell>
          <cell r="B782" t="str">
            <v>4S-333 Bentinck St. Rebuild</v>
          </cell>
          <cell r="C782" t="str">
            <v>FIN Approval - Internal</v>
          </cell>
          <cell r="D782">
            <v>58</v>
          </cell>
          <cell r="E782" t="str">
            <v>APPROVED</v>
          </cell>
          <cell r="F782">
            <v>42673</v>
          </cell>
          <cell r="G782">
            <v>42885</v>
          </cell>
          <cell r="H782">
            <v>816087.58</v>
          </cell>
          <cell r="I782" t="str">
            <v>FIN Submission</v>
          </cell>
          <cell r="J782">
            <v>43769</v>
          </cell>
        </row>
        <row r="783">
          <cell r="A783" t="str">
            <v>47893-SG06</v>
          </cell>
          <cell r="B783" t="str">
            <v>TUC3 Gen Hydrogen Panel</v>
          </cell>
          <cell r="C783" t="str">
            <v>FIN Approval - Internal</v>
          </cell>
          <cell r="D783">
            <v>61</v>
          </cell>
          <cell r="E783" t="str">
            <v>APPROVED</v>
          </cell>
          <cell r="F783">
            <v>43081</v>
          </cell>
          <cell r="G783">
            <v>43707</v>
          </cell>
          <cell r="H783">
            <v>468009.64</v>
          </cell>
          <cell r="I783" t="str">
            <v>FIN Submission</v>
          </cell>
          <cell r="J783">
            <v>43769</v>
          </cell>
        </row>
        <row r="784">
          <cell r="A784" t="str">
            <v>47906-SF80</v>
          </cell>
          <cell r="B784" t="str">
            <v>TUC SEL Power Monitoring Relays</v>
          </cell>
          <cell r="C784" t="str">
            <v>FIN Approval - Internal</v>
          </cell>
          <cell r="D784">
            <v>62</v>
          </cell>
          <cell r="E784" t="str">
            <v>APPROVED</v>
          </cell>
          <cell r="F784">
            <v>42441</v>
          </cell>
          <cell r="G784">
            <v>43707</v>
          </cell>
          <cell r="H784">
            <v>109784.36</v>
          </cell>
          <cell r="I784" t="str">
            <v>FIN Submission</v>
          </cell>
          <cell r="J784">
            <v>43769</v>
          </cell>
        </row>
        <row r="785">
          <cell r="A785" t="str">
            <v>44047-SB73</v>
          </cell>
          <cell r="B785" t="str">
            <v>TUC2 - U&amp;U LP Row 6 Refurbishment</v>
          </cell>
          <cell r="C785" t="str">
            <v>FIN Approval - Internal</v>
          </cell>
          <cell r="D785">
            <v>63</v>
          </cell>
          <cell r="E785" t="str">
            <v>APPROVED</v>
          </cell>
          <cell r="F785">
            <v>41394</v>
          </cell>
          <cell r="G785">
            <v>43281</v>
          </cell>
          <cell r="H785">
            <v>1028279.26</v>
          </cell>
          <cell r="I785" t="str">
            <v>FIN Submission</v>
          </cell>
          <cell r="J785">
            <v>43769</v>
          </cell>
        </row>
        <row r="786">
          <cell r="A786" t="str">
            <v>47939-G214</v>
          </cell>
          <cell r="B786" t="str">
            <v xml:space="preserve">TUC4 LM6000 Replace all SS tubing </v>
          </cell>
          <cell r="C786" t="str">
            <v>FIN Approval - Internal</v>
          </cell>
          <cell r="D786">
            <v>64</v>
          </cell>
          <cell r="E786" t="str">
            <v>APPROVED</v>
          </cell>
          <cell r="F786">
            <v>42643</v>
          </cell>
          <cell r="G786">
            <v>43466</v>
          </cell>
          <cell r="H786">
            <v>38247.49</v>
          </cell>
          <cell r="I786" t="str">
            <v>FIN Submission</v>
          </cell>
          <cell r="J786">
            <v>43769</v>
          </cell>
        </row>
        <row r="787">
          <cell r="A787" t="str">
            <v>46486-SE97</v>
          </cell>
          <cell r="B787" t="str">
            <v>TUC - Asbestos Abatement 2015</v>
          </cell>
          <cell r="C787" t="str">
            <v>FIN Approval - Internal</v>
          </cell>
          <cell r="D787">
            <v>65</v>
          </cell>
          <cell r="E787" t="str">
            <v>APPROVED</v>
          </cell>
          <cell r="F787">
            <v>42369</v>
          </cell>
          <cell r="G787">
            <v>43281</v>
          </cell>
          <cell r="H787">
            <v>85592.06</v>
          </cell>
          <cell r="I787" t="str">
            <v>FIN Submission</v>
          </cell>
          <cell r="J787">
            <v>43769</v>
          </cell>
        </row>
        <row r="788">
          <cell r="A788" t="str">
            <v>45592-SC35</v>
          </cell>
          <cell r="B788" t="str">
            <v>TUC3 U&amp;U Turbine IP Row 21 Blading</v>
          </cell>
          <cell r="C788" t="str">
            <v>FIN Approval - Internal</v>
          </cell>
          <cell r="D788">
            <v>66</v>
          </cell>
          <cell r="E788" t="str">
            <v>APPROVED</v>
          </cell>
          <cell r="F788">
            <v>41639</v>
          </cell>
          <cell r="G788">
            <v>43281</v>
          </cell>
          <cell r="H788">
            <v>372616.35</v>
          </cell>
          <cell r="I788" t="str">
            <v>FIN Submission</v>
          </cell>
          <cell r="J788">
            <v>43769</v>
          </cell>
        </row>
        <row r="789">
          <cell r="A789" t="str">
            <v>47776-D761</v>
          </cell>
          <cell r="B789" t="str">
            <v>111S Prime Brook Feeder Exits &amp; Fee</v>
          </cell>
          <cell r="C789" t="str">
            <v>FIN Approval - Internal</v>
          </cell>
          <cell r="D789">
            <v>71</v>
          </cell>
          <cell r="E789" t="str">
            <v>APPROVED</v>
          </cell>
          <cell r="F789">
            <v>42825</v>
          </cell>
          <cell r="G789">
            <v>43646</v>
          </cell>
          <cell r="H789">
            <v>1625298.63</v>
          </cell>
          <cell r="I789" t="str">
            <v>FIN Submission</v>
          </cell>
          <cell r="J789">
            <v>43769</v>
          </cell>
        </row>
        <row r="790">
          <cell r="A790" t="str">
            <v>46360-T850</v>
          </cell>
          <cell r="B790" t="str">
            <v>L5545B Reconductor</v>
          </cell>
          <cell r="C790" t="str">
            <v>FIN Approval - Internal</v>
          </cell>
          <cell r="D790">
            <v>77</v>
          </cell>
          <cell r="E790" t="str">
            <v>APPROVED</v>
          </cell>
          <cell r="F790">
            <v>42946</v>
          </cell>
          <cell r="G790">
            <v>43465</v>
          </cell>
          <cell r="H790">
            <v>778603.99</v>
          </cell>
          <cell r="I790" t="str">
            <v>FIN Submission</v>
          </cell>
          <cell r="J790">
            <v>43769</v>
          </cell>
        </row>
        <row r="791">
          <cell r="A791" t="str">
            <v>42982-SB60</v>
          </cell>
          <cell r="B791" t="str">
            <v>TUC6 - Gland Steam Improvement</v>
          </cell>
          <cell r="C791" t="str">
            <v>FIN Approval - Internal</v>
          </cell>
          <cell r="D791">
            <v>94</v>
          </cell>
          <cell r="E791" t="str">
            <v>APPROVED</v>
          </cell>
          <cell r="F791">
            <v>41851</v>
          </cell>
          <cell r="G791">
            <v>43738</v>
          </cell>
          <cell r="H791">
            <v>1551410.4</v>
          </cell>
          <cell r="I791" t="str">
            <v>FIN Submission</v>
          </cell>
          <cell r="J791">
            <v>43769</v>
          </cell>
        </row>
        <row r="792">
          <cell r="A792" t="str">
            <v>42648-H646</v>
          </cell>
          <cell r="B792" t="str">
            <v>HYD - Harmony Fish Ladder</v>
          </cell>
          <cell r="C792" t="str">
            <v>FIN Approval - Internal</v>
          </cell>
          <cell r="D792">
            <v>115</v>
          </cell>
          <cell r="E792" t="str">
            <v>APPROVED</v>
          </cell>
          <cell r="F792">
            <v>42004</v>
          </cell>
          <cell r="G792">
            <v>42551</v>
          </cell>
          <cell r="H792">
            <v>949307.33</v>
          </cell>
          <cell r="I792" t="str">
            <v>FIN Submission</v>
          </cell>
          <cell r="J792">
            <v>43769</v>
          </cell>
        </row>
        <row r="793">
          <cell r="A793" t="str">
            <v>C0014298</v>
          </cell>
          <cell r="B793" t="str">
            <v>TUC1 High Energy Piping Refurbishme</v>
          </cell>
          <cell r="C793" t="str">
            <v>FIN Approval - Internal</v>
          </cell>
          <cell r="D793">
            <v>9</v>
          </cell>
          <cell r="E793" t="str">
            <v>APPROVED</v>
          </cell>
          <cell r="F793">
            <v>43449</v>
          </cell>
          <cell r="G793">
            <v>43738</v>
          </cell>
          <cell r="H793">
            <v>214980.08</v>
          </cell>
          <cell r="I793" t="str">
            <v>FIN Submission</v>
          </cell>
          <cell r="J793">
            <v>43761</v>
          </cell>
        </row>
        <row r="794">
          <cell r="A794" t="str">
            <v>C0009220</v>
          </cell>
          <cell r="B794" t="str">
            <v>TUC2 Boiler Refurbishment</v>
          </cell>
          <cell r="C794" t="str">
            <v>FIN Approval - Internal</v>
          </cell>
          <cell r="D794">
            <v>15</v>
          </cell>
          <cell r="E794" t="str">
            <v>APPROVED</v>
          </cell>
          <cell r="F794">
            <v>43268</v>
          </cell>
          <cell r="G794">
            <v>43738</v>
          </cell>
          <cell r="H794">
            <v>145759.63</v>
          </cell>
          <cell r="I794" t="str">
            <v>FIN Submission</v>
          </cell>
          <cell r="J794">
            <v>43761</v>
          </cell>
        </row>
        <row r="795">
          <cell r="A795" t="str">
            <v>C0002858</v>
          </cell>
          <cell r="B795" t="str">
            <v>CT - TUS Operator Interface</v>
          </cell>
          <cell r="C795" t="str">
            <v>FIN Approval - Internal</v>
          </cell>
          <cell r="D795">
            <v>25</v>
          </cell>
          <cell r="E795" t="str">
            <v>APPROVED</v>
          </cell>
          <cell r="F795">
            <v>43524</v>
          </cell>
          <cell r="G795">
            <v>43585</v>
          </cell>
          <cell r="H795">
            <v>27862.720000000001</v>
          </cell>
          <cell r="I795" t="str">
            <v>FIN Submission</v>
          </cell>
          <cell r="J795">
            <v>43761</v>
          </cell>
        </row>
        <row r="796">
          <cell r="A796" t="str">
            <v>C0001518</v>
          </cell>
          <cell r="B796" t="str">
            <v>CT - TUS Pipe Trench Cover Replacem</v>
          </cell>
          <cell r="C796" t="str">
            <v>FIN Approval - Internal</v>
          </cell>
          <cell r="D796">
            <v>25</v>
          </cell>
          <cell r="E796" t="str">
            <v>APPROVED</v>
          </cell>
          <cell r="F796">
            <v>43130</v>
          </cell>
          <cell r="G796">
            <v>43190</v>
          </cell>
          <cell r="H796">
            <v>36758.86</v>
          </cell>
          <cell r="I796" t="str">
            <v>FIN Submission</v>
          </cell>
          <cell r="J796">
            <v>43761</v>
          </cell>
        </row>
        <row r="797">
          <cell r="A797" t="str">
            <v>C0001279</v>
          </cell>
          <cell r="B797" t="str">
            <v>HYD WRC Tractor Acquisition</v>
          </cell>
          <cell r="C797" t="str">
            <v>FIN Approval - Internal</v>
          </cell>
          <cell r="D797">
            <v>25</v>
          </cell>
          <cell r="E797" t="str">
            <v>APPROVED</v>
          </cell>
          <cell r="F797">
            <v>43100</v>
          </cell>
          <cell r="G797">
            <v>43281</v>
          </cell>
          <cell r="H797">
            <v>159725</v>
          </cell>
          <cell r="I797" t="str">
            <v>FIN Submission</v>
          </cell>
          <cell r="J797">
            <v>43761</v>
          </cell>
        </row>
        <row r="798">
          <cell r="A798" t="str">
            <v>51967</v>
          </cell>
          <cell r="B798" t="str">
            <v>HYD HMS Lathe Crane Replacement</v>
          </cell>
          <cell r="C798" t="str">
            <v>FIN Approval - Internal</v>
          </cell>
          <cell r="D798">
            <v>27</v>
          </cell>
          <cell r="E798" t="str">
            <v>APPROVED</v>
          </cell>
          <cell r="F798">
            <v>43008</v>
          </cell>
          <cell r="G798">
            <v>43465</v>
          </cell>
          <cell r="H798">
            <v>39345.1</v>
          </cell>
          <cell r="I798" t="str">
            <v>FIN Submission</v>
          </cell>
          <cell r="J798">
            <v>43761</v>
          </cell>
        </row>
        <row r="799">
          <cell r="A799" t="str">
            <v>51803</v>
          </cell>
          <cell r="B799" t="str">
            <v>TUC2 Generator Flux Probe Installat</v>
          </cell>
          <cell r="C799" t="str">
            <v>FIN Approval - Internal</v>
          </cell>
          <cell r="D799">
            <v>27</v>
          </cell>
          <cell r="E799" t="str">
            <v>APPROVED</v>
          </cell>
          <cell r="F799">
            <v>43272</v>
          </cell>
          <cell r="G799">
            <v>43738</v>
          </cell>
          <cell r="H799">
            <v>863301.66</v>
          </cell>
          <cell r="I799" t="str">
            <v>FIN Submission</v>
          </cell>
          <cell r="J799">
            <v>43761</v>
          </cell>
        </row>
        <row r="800">
          <cell r="A800" t="str">
            <v>52142</v>
          </cell>
          <cell r="B800" t="str">
            <v>CT Tusket Plant Coating Refurbishme</v>
          </cell>
          <cell r="C800" t="str">
            <v>FIN Approval - Internal</v>
          </cell>
          <cell r="D800">
            <v>28</v>
          </cell>
          <cell r="E800" t="str">
            <v>APPROVED</v>
          </cell>
          <cell r="F800">
            <v>43434</v>
          </cell>
          <cell r="G800">
            <v>43434</v>
          </cell>
          <cell r="H800">
            <v>89102.76</v>
          </cell>
          <cell r="I800" t="str">
            <v>FIN Submission</v>
          </cell>
          <cell r="J800">
            <v>43761</v>
          </cell>
        </row>
        <row r="801">
          <cell r="A801" t="str">
            <v>51835</v>
          </cell>
          <cell r="B801" t="str">
            <v>TUC2 H2 Panel Upgrades</v>
          </cell>
          <cell r="C801" t="str">
            <v>FIN Approval - Internal</v>
          </cell>
          <cell r="D801">
            <v>30</v>
          </cell>
          <cell r="E801" t="str">
            <v>APPROVED</v>
          </cell>
          <cell r="F801">
            <v>43272</v>
          </cell>
          <cell r="G801">
            <v>43738</v>
          </cell>
          <cell r="H801">
            <v>501487.85</v>
          </cell>
          <cell r="I801" t="str">
            <v>FIN Submission</v>
          </cell>
          <cell r="J801">
            <v>43761</v>
          </cell>
        </row>
        <row r="802">
          <cell r="A802" t="str">
            <v>50991-H816</v>
          </cell>
          <cell r="B802" t="str">
            <v>HYD Portable Backup Generator</v>
          </cell>
          <cell r="C802" t="str">
            <v>FIN Approval - Internal</v>
          </cell>
          <cell r="D802">
            <v>31</v>
          </cell>
          <cell r="E802" t="str">
            <v>APPROVED</v>
          </cell>
          <cell r="F802">
            <v>42855</v>
          </cell>
          <cell r="G802">
            <v>43188</v>
          </cell>
          <cell r="H802">
            <v>90296.61</v>
          </cell>
          <cell r="I802" t="str">
            <v>FIN Submission</v>
          </cell>
          <cell r="J802">
            <v>43761</v>
          </cell>
        </row>
        <row r="803">
          <cell r="A803" t="str">
            <v>52144</v>
          </cell>
          <cell r="B803" t="str">
            <v>CT TUC 4 &amp; 5 Inst Eng. Removal pad</v>
          </cell>
          <cell r="C803" t="str">
            <v>FIN Approval - Internal</v>
          </cell>
          <cell r="D803">
            <v>33</v>
          </cell>
          <cell r="E803" t="str">
            <v>APPROVED</v>
          </cell>
          <cell r="F803">
            <v>43311</v>
          </cell>
          <cell r="G803">
            <v>43800</v>
          </cell>
          <cell r="H803">
            <v>72960.81</v>
          </cell>
          <cell r="I803" t="str">
            <v>FIN Submission</v>
          </cell>
          <cell r="J803">
            <v>43761</v>
          </cell>
        </row>
        <row r="804">
          <cell r="A804" t="str">
            <v>50014-SJ16</v>
          </cell>
          <cell r="B804" t="str">
            <v>TUC Elevators Upgrades</v>
          </cell>
          <cell r="C804" t="str">
            <v>FIN Approval - Internal</v>
          </cell>
          <cell r="D804">
            <v>40</v>
          </cell>
          <cell r="E804" t="str">
            <v>APPROVED</v>
          </cell>
          <cell r="F804">
            <v>43159</v>
          </cell>
          <cell r="G804">
            <v>43738</v>
          </cell>
          <cell r="H804">
            <v>99225.66</v>
          </cell>
          <cell r="I804" t="str">
            <v>FIN Submission</v>
          </cell>
          <cell r="J804">
            <v>43761</v>
          </cell>
        </row>
        <row r="805">
          <cell r="A805" t="str">
            <v>49868-D829</v>
          </cell>
          <cell r="B805" t="str">
            <v>2017 Hydraulic Recloser Replacement</v>
          </cell>
          <cell r="C805" t="str">
            <v>FIN Approval - Internal</v>
          </cell>
          <cell r="D805">
            <v>44</v>
          </cell>
          <cell r="E805" t="str">
            <v>APPROVED</v>
          </cell>
          <cell r="F805">
            <v>43343</v>
          </cell>
          <cell r="G805">
            <v>43830</v>
          </cell>
          <cell r="H805">
            <v>241817.76</v>
          </cell>
          <cell r="I805" t="str">
            <v>FIN Submission</v>
          </cell>
          <cell r="J805">
            <v>43761</v>
          </cell>
        </row>
        <row r="806">
          <cell r="A806" t="str">
            <v>49709-SH62</v>
          </cell>
          <cell r="B806" t="str">
            <v>TUC2 Replace Coils in SCAH</v>
          </cell>
          <cell r="C806" t="str">
            <v>FIN Approval - Internal</v>
          </cell>
          <cell r="D806">
            <v>47</v>
          </cell>
          <cell r="E806" t="str">
            <v>APPROVED</v>
          </cell>
          <cell r="F806">
            <v>42916</v>
          </cell>
          <cell r="G806">
            <v>43738</v>
          </cell>
          <cell r="H806">
            <v>214169.26</v>
          </cell>
          <cell r="I806" t="str">
            <v>FIN Submission</v>
          </cell>
          <cell r="J806">
            <v>43761</v>
          </cell>
        </row>
        <row r="807">
          <cell r="A807" t="str">
            <v>48397-H760</v>
          </cell>
          <cell r="B807" t="str">
            <v>HYD - Mink Lake Dam Repair</v>
          </cell>
          <cell r="C807" t="str">
            <v>FIN Approval - Internal</v>
          </cell>
          <cell r="D807">
            <v>54</v>
          </cell>
          <cell r="E807" t="str">
            <v>APPROVED</v>
          </cell>
          <cell r="F807">
            <v>43008</v>
          </cell>
          <cell r="G807">
            <v>43190</v>
          </cell>
          <cell r="H807">
            <v>249399.76</v>
          </cell>
          <cell r="I807" t="str">
            <v>FIN Submission</v>
          </cell>
          <cell r="J807">
            <v>43761</v>
          </cell>
        </row>
        <row r="808">
          <cell r="A808" t="str">
            <v>48253-SE92</v>
          </cell>
          <cell r="B808" t="str">
            <v>TUC Oil Tank Level Monitoring Upgr</v>
          </cell>
          <cell r="C808" t="str">
            <v>FIN Approval - Internal</v>
          </cell>
          <cell r="D808">
            <v>57</v>
          </cell>
          <cell r="E808" t="str">
            <v>APPROVED</v>
          </cell>
          <cell r="F808">
            <v>43159</v>
          </cell>
          <cell r="G808">
            <v>43738</v>
          </cell>
          <cell r="H808">
            <v>148256.21</v>
          </cell>
          <cell r="I808" t="str">
            <v>FIN Submission</v>
          </cell>
          <cell r="J808">
            <v>43761</v>
          </cell>
        </row>
        <row r="809">
          <cell r="A809" t="str">
            <v>47940-G215</v>
          </cell>
          <cell r="B809" t="str">
            <v xml:space="preserve">TUC5 LM6000 Replace all SS tubing </v>
          </cell>
          <cell r="C809" t="str">
            <v>FIN Approval - Internal</v>
          </cell>
          <cell r="D809">
            <v>62</v>
          </cell>
          <cell r="E809" t="str">
            <v>APPROVED</v>
          </cell>
          <cell r="F809">
            <v>42643</v>
          </cell>
          <cell r="G809">
            <v>43676</v>
          </cell>
          <cell r="H809">
            <v>26429.27</v>
          </cell>
          <cell r="I809" t="str">
            <v>FIN Submission</v>
          </cell>
          <cell r="J809">
            <v>43761</v>
          </cell>
        </row>
        <row r="810">
          <cell r="A810" t="str">
            <v>44887-H694</v>
          </cell>
          <cell r="B810" t="str">
            <v>HYD - Sissiboo Pipeline Replacement</v>
          </cell>
          <cell r="C810" t="str">
            <v>FIN Approval - Internal</v>
          </cell>
          <cell r="D810">
            <v>99</v>
          </cell>
          <cell r="E810" t="str">
            <v>APPROVED</v>
          </cell>
          <cell r="F810">
            <v>42338</v>
          </cell>
          <cell r="G810">
            <v>42916</v>
          </cell>
          <cell r="H810">
            <v>955560.72</v>
          </cell>
          <cell r="I810" t="str">
            <v>FIN Submission</v>
          </cell>
          <cell r="J810">
            <v>43761</v>
          </cell>
        </row>
        <row r="811">
          <cell r="A811" t="str">
            <v>17581-H660</v>
          </cell>
          <cell r="B811" t="str">
            <v>HYD - Weymouth Electrical Replaceme</v>
          </cell>
          <cell r="C811" t="str">
            <v>FIN Approval - Internal</v>
          </cell>
          <cell r="D811">
            <v>181</v>
          </cell>
          <cell r="E811" t="str">
            <v>APPROVED</v>
          </cell>
          <cell r="F811">
            <v>42886</v>
          </cell>
          <cell r="G811">
            <v>43435</v>
          </cell>
          <cell r="H811">
            <v>2330599.06</v>
          </cell>
          <cell r="I811" t="str">
            <v>FIN Submission</v>
          </cell>
          <cell r="J811">
            <v>43761</v>
          </cell>
        </row>
        <row r="812">
          <cell r="A812" t="str">
            <v>45882-T819</v>
          </cell>
          <cell r="B812" t="str">
            <v>103H-T63 Transformer Replacement</v>
          </cell>
          <cell r="C812" t="str">
            <v>FIN Approval - External</v>
          </cell>
          <cell r="D812">
            <v>86</v>
          </cell>
          <cell r="E812" t="str">
            <v>APPROVED</v>
          </cell>
          <cell r="F812">
            <v>42338</v>
          </cell>
          <cell r="G812">
            <v>43677</v>
          </cell>
          <cell r="H812">
            <v>1402349.23</v>
          </cell>
          <cell r="I812" t="str">
            <v>UARB Submissions</v>
          </cell>
          <cell r="J812">
            <v>43728</v>
          </cell>
        </row>
        <row r="813">
          <cell r="A813" t="str">
            <v>43490-T860</v>
          </cell>
          <cell r="B813" t="str">
            <v>Steel Tower Life Ext - Hali Harbour</v>
          </cell>
          <cell r="C813" t="str">
            <v>FIN Approval - External</v>
          </cell>
          <cell r="D813">
            <v>106</v>
          </cell>
          <cell r="E813" t="str">
            <v>APPROVED</v>
          </cell>
          <cell r="F813">
            <v>42613</v>
          </cell>
          <cell r="G813">
            <v>43677</v>
          </cell>
          <cell r="H813">
            <v>833760.61</v>
          </cell>
          <cell r="I813" t="str">
            <v>UARB Submissions</v>
          </cell>
          <cell r="J813">
            <v>43714</v>
          </cell>
        </row>
        <row r="814">
          <cell r="A814" t="str">
            <v>C0003398</v>
          </cell>
          <cell r="B814" t="str">
            <v>HYD - Hells Gate 2 Rotor Repair</v>
          </cell>
          <cell r="C814" t="str">
            <v>FIN Approval - Internal</v>
          </cell>
          <cell r="D814">
            <v>18</v>
          </cell>
          <cell r="E814" t="str">
            <v>APPROVED</v>
          </cell>
          <cell r="F814">
            <v>43159</v>
          </cell>
          <cell r="G814">
            <v>43311</v>
          </cell>
          <cell r="H814">
            <v>241021.46</v>
          </cell>
          <cell r="I814" t="str">
            <v>FIN Submission</v>
          </cell>
          <cell r="J814">
            <v>43700</v>
          </cell>
        </row>
        <row r="815">
          <cell r="A815" t="str">
            <v>C0000938</v>
          </cell>
          <cell r="B815" t="str">
            <v>HYD  WRC Governor Maintenance</v>
          </cell>
          <cell r="C815" t="str">
            <v>FIN Approval - Internal</v>
          </cell>
          <cell r="D815">
            <v>25</v>
          </cell>
          <cell r="E815" t="str">
            <v>APPROVED</v>
          </cell>
          <cell r="F815">
            <v>43008</v>
          </cell>
          <cell r="G815">
            <v>43465</v>
          </cell>
          <cell r="H815">
            <v>23734.02</v>
          </cell>
          <cell r="I815" t="str">
            <v>FIN Submission</v>
          </cell>
          <cell r="J815">
            <v>43700</v>
          </cell>
        </row>
        <row r="816">
          <cell r="A816" t="str">
            <v>43950-H684</v>
          </cell>
          <cell r="B816" t="str">
            <v>HYD - Gisborne Battery Bank U&amp;U</v>
          </cell>
          <cell r="C816" t="str">
            <v>FIN Approval - Internal</v>
          </cell>
          <cell r="D816">
            <v>26</v>
          </cell>
          <cell r="E816" t="str">
            <v>APPROVED</v>
          </cell>
          <cell r="F816">
            <v>41623</v>
          </cell>
          <cell r="G816">
            <v>41639</v>
          </cell>
          <cell r="H816">
            <v>18146.7</v>
          </cell>
          <cell r="I816" t="str">
            <v>FIN Submission</v>
          </cell>
          <cell r="J816">
            <v>43700</v>
          </cell>
        </row>
        <row r="817">
          <cell r="A817" t="str">
            <v>51795-H839</v>
          </cell>
          <cell r="B817" t="str">
            <v>HYD Harmony Road Refurb</v>
          </cell>
          <cell r="C817" t="str">
            <v>FIN Approval - Internal</v>
          </cell>
          <cell r="D817">
            <v>27</v>
          </cell>
          <cell r="E817" t="str">
            <v>APPROVED</v>
          </cell>
          <cell r="F817">
            <v>42977</v>
          </cell>
          <cell r="G817">
            <v>43151</v>
          </cell>
          <cell r="H817">
            <v>20806.63</v>
          </cell>
          <cell r="I817" t="str">
            <v>FIN Submission</v>
          </cell>
          <cell r="J817">
            <v>43700</v>
          </cell>
        </row>
        <row r="818">
          <cell r="A818" t="str">
            <v>51773-H836</v>
          </cell>
          <cell r="B818" t="str">
            <v>HYD Mersey Road Refurb</v>
          </cell>
          <cell r="C818" t="str">
            <v>FIN Approval - Internal</v>
          </cell>
          <cell r="D818">
            <v>27</v>
          </cell>
          <cell r="E818" t="str">
            <v>APPROVED</v>
          </cell>
          <cell r="F818">
            <v>42978</v>
          </cell>
          <cell r="G818">
            <v>43159</v>
          </cell>
          <cell r="H818">
            <v>52663.17</v>
          </cell>
          <cell r="I818" t="str">
            <v>FIN Submission</v>
          </cell>
          <cell r="J818">
            <v>43700</v>
          </cell>
        </row>
        <row r="819">
          <cell r="A819" t="str">
            <v>51652-H833</v>
          </cell>
          <cell r="B819" t="str">
            <v>HYD STM Stoplog Holder Replacement</v>
          </cell>
          <cell r="C819" t="str">
            <v>FIN Approval - Internal</v>
          </cell>
          <cell r="D819">
            <v>27</v>
          </cell>
          <cell r="E819" t="str">
            <v>APPROVED</v>
          </cell>
          <cell r="F819">
            <v>43008</v>
          </cell>
          <cell r="G819">
            <v>43189</v>
          </cell>
          <cell r="H819">
            <v>39604.370000000003</v>
          </cell>
          <cell r="I819" t="str">
            <v>FIN Submission</v>
          </cell>
          <cell r="J819">
            <v>43700</v>
          </cell>
        </row>
        <row r="820">
          <cell r="A820" t="str">
            <v>51611-H832</v>
          </cell>
          <cell r="B820" t="str">
            <v>HYD WHR Salmon Trap Hoist Replace</v>
          </cell>
          <cell r="C820" t="str">
            <v>FIN Approval - Internal</v>
          </cell>
          <cell r="D820">
            <v>27</v>
          </cell>
          <cell r="E820" t="str">
            <v>APPROVED</v>
          </cell>
          <cell r="F820">
            <v>42916</v>
          </cell>
          <cell r="G820">
            <v>43092</v>
          </cell>
          <cell r="H820">
            <v>5357.26</v>
          </cell>
          <cell r="I820" t="str">
            <v>FIN Submission</v>
          </cell>
          <cell r="J820">
            <v>43700</v>
          </cell>
        </row>
        <row r="821">
          <cell r="A821" t="str">
            <v>51511-P145</v>
          </cell>
          <cell r="B821" t="str">
            <v>HYD - HMS Shop Door Replacement</v>
          </cell>
          <cell r="C821" t="str">
            <v>FIN Approval - Internal</v>
          </cell>
          <cell r="D821">
            <v>28</v>
          </cell>
          <cell r="E821" t="str">
            <v>APPROVED</v>
          </cell>
          <cell r="F821">
            <v>43281</v>
          </cell>
          <cell r="G821">
            <v>43465</v>
          </cell>
          <cell r="H821">
            <v>25582.43</v>
          </cell>
          <cell r="I821" t="str">
            <v>FIN Submission</v>
          </cell>
          <cell r="J821">
            <v>43700</v>
          </cell>
        </row>
        <row r="822">
          <cell r="A822" t="str">
            <v>50771-H802</v>
          </cell>
          <cell r="B822" t="str">
            <v>HYD Marsh Backup Pump Replace</v>
          </cell>
          <cell r="C822" t="str">
            <v>FIN Approval - Internal</v>
          </cell>
          <cell r="D822">
            <v>31</v>
          </cell>
          <cell r="E822" t="str">
            <v>APPROVED</v>
          </cell>
          <cell r="F822">
            <v>43099</v>
          </cell>
          <cell r="G822">
            <v>43251</v>
          </cell>
          <cell r="H822">
            <v>13576.92</v>
          </cell>
          <cell r="I822" t="str">
            <v>FIN Submission</v>
          </cell>
          <cell r="J822">
            <v>43700</v>
          </cell>
        </row>
        <row r="823">
          <cell r="A823" t="str">
            <v>50654-H793</v>
          </cell>
          <cell r="B823" t="str">
            <v>HYD - TID Lighting Replacement</v>
          </cell>
          <cell r="C823" t="str">
            <v>FIN Approval - Internal</v>
          </cell>
          <cell r="D823">
            <v>33</v>
          </cell>
          <cell r="E823" t="str">
            <v>APPROVED</v>
          </cell>
          <cell r="F823">
            <v>43008</v>
          </cell>
          <cell r="G823">
            <v>43281</v>
          </cell>
          <cell r="H823">
            <v>17491.48</v>
          </cell>
          <cell r="I823" t="str">
            <v>FIN Submission</v>
          </cell>
          <cell r="J823">
            <v>43700</v>
          </cell>
        </row>
        <row r="824">
          <cell r="A824" t="str">
            <v>50311-H786</v>
          </cell>
          <cell r="B824" t="str">
            <v>HYD - ANN Normal Leakage Pump</v>
          </cell>
          <cell r="C824" t="str">
            <v>FIN Approval - Internal</v>
          </cell>
          <cell r="D824">
            <v>35</v>
          </cell>
          <cell r="E824" t="str">
            <v>APPROVED</v>
          </cell>
          <cell r="F824">
            <v>43099</v>
          </cell>
          <cell r="G824">
            <v>43251</v>
          </cell>
          <cell r="H824">
            <v>12744.83</v>
          </cell>
          <cell r="I824" t="str">
            <v>FIN Submission</v>
          </cell>
          <cell r="J824">
            <v>43700</v>
          </cell>
        </row>
        <row r="825">
          <cell r="A825" t="str">
            <v>50312-H787</v>
          </cell>
          <cell r="B825" t="str">
            <v>HYD - ANN MKIII Seal Water Pump</v>
          </cell>
          <cell r="C825" t="str">
            <v>FIN Approval - Internal</v>
          </cell>
          <cell r="D825">
            <v>36</v>
          </cell>
          <cell r="E825" t="str">
            <v>APPROVED</v>
          </cell>
          <cell r="F825">
            <v>42916</v>
          </cell>
          <cell r="G825">
            <v>43252</v>
          </cell>
          <cell r="H825">
            <v>5302.65</v>
          </cell>
          <cell r="I825" t="str">
            <v>FIN Submission</v>
          </cell>
          <cell r="J825">
            <v>43700</v>
          </cell>
        </row>
        <row r="826">
          <cell r="A826" t="str">
            <v>49804-H782</v>
          </cell>
          <cell r="B826" t="str">
            <v>HYD - Fall River Pipeline Repair</v>
          </cell>
          <cell r="C826" t="str">
            <v>FIN Approval - Internal</v>
          </cell>
          <cell r="D826">
            <v>46</v>
          </cell>
          <cell r="E826" t="str">
            <v>APPROVED</v>
          </cell>
          <cell r="F826">
            <v>42704</v>
          </cell>
          <cell r="G826">
            <v>43281</v>
          </cell>
          <cell r="H826">
            <v>287105.67</v>
          </cell>
          <cell r="I826" t="str">
            <v>FIN Submission</v>
          </cell>
          <cell r="J826">
            <v>43700</v>
          </cell>
        </row>
        <row r="827">
          <cell r="A827" t="str">
            <v>49214-H771</v>
          </cell>
          <cell r="B827" t="str">
            <v>HYD - Annapolis Septic Replacement</v>
          </cell>
          <cell r="C827" t="str">
            <v>FIN Approval - Internal</v>
          </cell>
          <cell r="D827">
            <v>48</v>
          </cell>
          <cell r="E827" t="str">
            <v>APPROVED</v>
          </cell>
          <cell r="F827">
            <v>42674</v>
          </cell>
          <cell r="G827">
            <v>43188</v>
          </cell>
          <cell r="H827">
            <v>102857.37</v>
          </cell>
          <cell r="I827" t="str">
            <v>FIN Submission</v>
          </cell>
          <cell r="J827">
            <v>43700</v>
          </cell>
        </row>
        <row r="828">
          <cell r="A828" t="str">
            <v>45286-H696</v>
          </cell>
          <cell r="B828" t="str">
            <v>HYD - U&amp;U Annapolis Stator Repairs</v>
          </cell>
          <cell r="C828" t="str">
            <v>FIN Approval - Internal</v>
          </cell>
          <cell r="D828">
            <v>53</v>
          </cell>
          <cell r="E828" t="str">
            <v>APPROVED</v>
          </cell>
          <cell r="F828">
            <v>41608</v>
          </cell>
          <cell r="G828">
            <v>41882</v>
          </cell>
          <cell r="H828">
            <v>172545.53</v>
          </cell>
          <cell r="I828" t="str">
            <v>FIN Submission</v>
          </cell>
          <cell r="J828">
            <v>43700</v>
          </cell>
        </row>
        <row r="829">
          <cell r="A829" t="str">
            <v>48116-T883</v>
          </cell>
          <cell r="B829" t="str">
            <v>2016 Sacrificial Anode Installation</v>
          </cell>
          <cell r="C829" t="str">
            <v>FIN Approval - Internal</v>
          </cell>
          <cell r="D829">
            <v>56</v>
          </cell>
          <cell r="E829" t="str">
            <v>APPROVED</v>
          </cell>
          <cell r="F829">
            <v>42566</v>
          </cell>
          <cell r="G829">
            <v>43100</v>
          </cell>
          <cell r="H829">
            <v>1198819.71</v>
          </cell>
          <cell r="I829" t="str">
            <v>FIN Submission</v>
          </cell>
          <cell r="J829">
            <v>43700</v>
          </cell>
        </row>
        <row r="830">
          <cell r="A830" t="str">
            <v>48092-D685</v>
          </cell>
          <cell r="B830" t="str">
            <v>2016 Subs Recloser Replacement</v>
          </cell>
          <cell r="C830" t="str">
            <v>FIN Approval - Internal</v>
          </cell>
          <cell r="D830">
            <v>56</v>
          </cell>
          <cell r="E830" t="str">
            <v>APPROVED</v>
          </cell>
          <cell r="F830">
            <v>42734</v>
          </cell>
          <cell r="G830">
            <v>43738</v>
          </cell>
          <cell r="H830">
            <v>633511.76</v>
          </cell>
          <cell r="I830" t="str">
            <v>FIN Submission</v>
          </cell>
          <cell r="J830">
            <v>43700</v>
          </cell>
        </row>
        <row r="831">
          <cell r="A831" t="str">
            <v>48059-T877</v>
          </cell>
          <cell r="B831" t="str">
            <v>2016 Switch and Breaker Replacement</v>
          </cell>
          <cell r="C831" t="str">
            <v>FIN Approval - Internal</v>
          </cell>
          <cell r="D831">
            <v>57</v>
          </cell>
          <cell r="E831" t="str">
            <v>APPROVED</v>
          </cell>
          <cell r="F831">
            <v>42700</v>
          </cell>
          <cell r="G831">
            <v>43465</v>
          </cell>
          <cell r="H831">
            <v>1177487.48</v>
          </cell>
          <cell r="I831" t="str">
            <v>FIN Submission</v>
          </cell>
          <cell r="J831">
            <v>43700</v>
          </cell>
        </row>
        <row r="832">
          <cell r="A832" t="str">
            <v>47814-H743</v>
          </cell>
          <cell r="B832" t="str">
            <v>HYD - WRC Evacution Tunnel Upgrade</v>
          </cell>
          <cell r="C832" t="str">
            <v>FIN Approval - Internal</v>
          </cell>
          <cell r="D832">
            <v>62</v>
          </cell>
          <cell r="E832" t="str">
            <v>APPROVED</v>
          </cell>
          <cell r="F832">
            <v>42766</v>
          </cell>
          <cell r="G832">
            <v>43465</v>
          </cell>
          <cell r="H832">
            <v>648703.68000000005</v>
          </cell>
          <cell r="I832" t="str">
            <v>FIN Submission</v>
          </cell>
          <cell r="J832">
            <v>43700</v>
          </cell>
        </row>
        <row r="833">
          <cell r="A833" t="str">
            <v>47175-W120</v>
          </cell>
          <cell r="B833" t="str">
            <v>WIN - Haight's Brook Bridge Widenin</v>
          </cell>
          <cell r="C833" t="str">
            <v>FIN Approval - Internal</v>
          </cell>
          <cell r="D833">
            <v>64</v>
          </cell>
          <cell r="E833" t="str">
            <v>APPROVED</v>
          </cell>
          <cell r="F833">
            <v>42643</v>
          </cell>
          <cell r="G833">
            <v>43465</v>
          </cell>
          <cell r="H833">
            <v>240801.17</v>
          </cell>
          <cell r="I833" t="str">
            <v>FIN Submission</v>
          </cell>
          <cell r="J833">
            <v>43700</v>
          </cell>
        </row>
        <row r="834">
          <cell r="A834" t="str">
            <v>47173-H769</v>
          </cell>
          <cell r="B834" t="str">
            <v>HYD - Tidewater Butterfly Valve Rep</v>
          </cell>
          <cell r="C834" t="str">
            <v>FIN Approval - Internal</v>
          </cell>
          <cell r="D834">
            <v>66</v>
          </cell>
          <cell r="E834" t="str">
            <v>APPROVED</v>
          </cell>
          <cell r="F834">
            <v>42643</v>
          </cell>
          <cell r="G834">
            <v>43220</v>
          </cell>
          <cell r="H834">
            <v>169375.92</v>
          </cell>
          <cell r="I834" t="str">
            <v>FIN Submission</v>
          </cell>
          <cell r="J834">
            <v>43700</v>
          </cell>
        </row>
        <row r="835">
          <cell r="A835" t="str">
            <v>43948-H682</v>
          </cell>
          <cell r="B835" t="str">
            <v>HYD - Avon Battery Bank U&amp;U</v>
          </cell>
          <cell r="C835" t="str">
            <v>FIN Approval - Internal</v>
          </cell>
          <cell r="D835">
            <v>67</v>
          </cell>
          <cell r="E835" t="str">
            <v>APPROVED</v>
          </cell>
          <cell r="F835">
            <v>41881</v>
          </cell>
          <cell r="G835">
            <v>41940</v>
          </cell>
          <cell r="H835">
            <v>22916.880000000001</v>
          </cell>
          <cell r="I835" t="str">
            <v>FIN Submission</v>
          </cell>
          <cell r="J835">
            <v>43700</v>
          </cell>
        </row>
        <row r="836">
          <cell r="A836" t="str">
            <v>47476-H738</v>
          </cell>
          <cell r="B836" t="str">
            <v xml:space="preserve">HYD - WRC Tailrace Tunnel Rockfall </v>
          </cell>
          <cell r="C836" t="str">
            <v>FIN Approval - Internal</v>
          </cell>
          <cell r="D836">
            <v>67</v>
          </cell>
          <cell r="E836" t="str">
            <v>APPROVED</v>
          </cell>
          <cell r="F836">
            <v>42613</v>
          </cell>
          <cell r="G836">
            <v>43008</v>
          </cell>
          <cell r="H836">
            <v>2608434.25</v>
          </cell>
          <cell r="I836" t="str">
            <v>FIN Submission</v>
          </cell>
          <cell r="J836">
            <v>43700</v>
          </cell>
        </row>
        <row r="837">
          <cell r="A837" t="str">
            <v>46791-H720</v>
          </cell>
          <cell r="B837" t="str">
            <v>HYD - ANN Runner Repair</v>
          </cell>
          <cell r="C837" t="str">
            <v>FIN Approval - Internal</v>
          </cell>
          <cell r="D837">
            <v>73</v>
          </cell>
          <cell r="E837" t="str">
            <v>APPROVED</v>
          </cell>
          <cell r="F837">
            <v>42152</v>
          </cell>
          <cell r="G837">
            <v>42429</v>
          </cell>
          <cell r="H837">
            <v>663995.74</v>
          </cell>
          <cell r="I837" t="str">
            <v>FIN Submission</v>
          </cell>
          <cell r="J837">
            <v>43700</v>
          </cell>
        </row>
        <row r="838">
          <cell r="A838" t="str">
            <v>46594-H723</v>
          </cell>
          <cell r="B838" t="str">
            <v>HYD Sissiboo Falls Overhaul</v>
          </cell>
          <cell r="C838" t="str">
            <v>FIN Approval - Internal</v>
          </cell>
          <cell r="D838">
            <v>73</v>
          </cell>
          <cell r="E838" t="str">
            <v>APPROVED</v>
          </cell>
          <cell r="F838">
            <v>42369</v>
          </cell>
          <cell r="G838">
            <v>43188</v>
          </cell>
          <cell r="H838">
            <v>1052712.83</v>
          </cell>
          <cell r="I838" t="str">
            <v>FIN Submission</v>
          </cell>
          <cell r="J838">
            <v>43700</v>
          </cell>
        </row>
        <row r="839">
          <cell r="A839" t="str">
            <v>46362-T843</v>
          </cell>
          <cell r="B839" t="str">
            <v>L5560 Reconductor</v>
          </cell>
          <cell r="C839" t="str">
            <v>FIN Approval - Internal</v>
          </cell>
          <cell r="D839">
            <v>75</v>
          </cell>
          <cell r="E839" t="str">
            <v>APPROVED</v>
          </cell>
          <cell r="F839">
            <v>42420</v>
          </cell>
          <cell r="G839">
            <v>42979</v>
          </cell>
          <cell r="H839">
            <v>799126.5</v>
          </cell>
          <cell r="I839" t="str">
            <v>FIN Submission</v>
          </cell>
          <cell r="J839">
            <v>43700</v>
          </cell>
        </row>
        <row r="840">
          <cell r="A840" t="str">
            <v>45971-H710</v>
          </cell>
          <cell r="B840" t="str">
            <v>HYD - WRC Weir Improvements</v>
          </cell>
          <cell r="C840" t="str">
            <v>FIN Approval - Internal</v>
          </cell>
          <cell r="D840">
            <v>77</v>
          </cell>
          <cell r="E840" t="str">
            <v>APPROVED</v>
          </cell>
          <cell r="F840">
            <v>42308</v>
          </cell>
          <cell r="G840">
            <v>42369</v>
          </cell>
          <cell r="H840">
            <v>162038.75</v>
          </cell>
          <cell r="I840" t="str">
            <v>FIN Submission</v>
          </cell>
          <cell r="J840">
            <v>43700</v>
          </cell>
        </row>
        <row r="841">
          <cell r="A841" t="str">
            <v>46586-T857</v>
          </cell>
          <cell r="B841" t="str">
            <v>2015 PCB Removal - Substation</v>
          </cell>
          <cell r="C841" t="str">
            <v>FIN Approval - Internal</v>
          </cell>
          <cell r="D841">
            <v>79</v>
          </cell>
          <cell r="E841" t="str">
            <v>APPROVED</v>
          </cell>
          <cell r="F841">
            <v>42459</v>
          </cell>
          <cell r="G841">
            <v>43465</v>
          </cell>
          <cell r="H841">
            <v>1476013.58</v>
          </cell>
          <cell r="I841" t="str">
            <v>FIN Submission</v>
          </cell>
          <cell r="J841">
            <v>43700</v>
          </cell>
        </row>
        <row r="842">
          <cell r="A842" t="str">
            <v>44976-T832</v>
          </cell>
          <cell r="B842" t="str">
            <v>10H 25kV Breaker Rplcmnt &amp; Reconfig</v>
          </cell>
          <cell r="C842" t="str">
            <v>FIN Approval - Internal</v>
          </cell>
          <cell r="D842">
            <v>87</v>
          </cell>
          <cell r="E842" t="str">
            <v>APPROVED</v>
          </cell>
          <cell r="F842">
            <v>42643</v>
          </cell>
          <cell r="G842">
            <v>43465</v>
          </cell>
          <cell r="H842">
            <v>1157139.93</v>
          </cell>
          <cell r="I842" t="str">
            <v>FIN Submission</v>
          </cell>
          <cell r="J842">
            <v>43700</v>
          </cell>
        </row>
        <row r="843">
          <cell r="A843" t="str">
            <v>44977-T813</v>
          </cell>
          <cell r="B843" t="str">
            <v>3W Breaker, Switch &amp; Cable Rplacmen</v>
          </cell>
          <cell r="C843" t="str">
            <v>FIN Approval - Internal</v>
          </cell>
          <cell r="D843">
            <v>89</v>
          </cell>
          <cell r="E843" t="str">
            <v>APPROVED</v>
          </cell>
          <cell r="F843">
            <v>42714</v>
          </cell>
          <cell r="G843">
            <v>43465</v>
          </cell>
          <cell r="H843">
            <v>645757.56000000006</v>
          </cell>
          <cell r="I843" t="str">
            <v>FIN Submission</v>
          </cell>
          <cell r="J843">
            <v>43700</v>
          </cell>
        </row>
        <row r="844">
          <cell r="A844" t="str">
            <v>44667-H721</v>
          </cell>
          <cell r="B844" t="str">
            <v>HYD - Upper Lake Falls Unit #1 Over</v>
          </cell>
          <cell r="C844" t="str">
            <v>FIN Approval - Internal</v>
          </cell>
          <cell r="D844">
            <v>90</v>
          </cell>
          <cell r="E844" t="str">
            <v>APPROVED</v>
          </cell>
          <cell r="F844">
            <v>42323</v>
          </cell>
          <cell r="G844">
            <v>43617</v>
          </cell>
          <cell r="H844">
            <v>645499.05000000005</v>
          </cell>
          <cell r="I844" t="str">
            <v>FIN Submission</v>
          </cell>
          <cell r="J844">
            <v>43700</v>
          </cell>
        </row>
        <row r="845">
          <cell r="A845" t="str">
            <v>44546-H692</v>
          </cell>
          <cell r="B845" t="str">
            <v>HYD - UU ANN Tidal GEMS Building</v>
          </cell>
          <cell r="C845" t="str">
            <v>FIN Approval - Internal</v>
          </cell>
          <cell r="D845">
            <v>93</v>
          </cell>
          <cell r="E845" t="str">
            <v>APPROVED</v>
          </cell>
          <cell r="F845">
            <v>42124</v>
          </cell>
          <cell r="G845">
            <v>43446</v>
          </cell>
          <cell r="H845">
            <v>240450.65</v>
          </cell>
          <cell r="I845" t="str">
            <v>FIN Submission</v>
          </cell>
          <cell r="J845">
            <v>43700</v>
          </cell>
        </row>
        <row r="846">
          <cell r="A846" t="str">
            <v>41806-H677</v>
          </cell>
          <cell r="B846" t="str">
            <v>HYD - Big Falls Unit 6 Refurbishmen</v>
          </cell>
          <cell r="C846" t="str">
            <v>FIN Approval - Internal</v>
          </cell>
          <cell r="D846">
            <v>96</v>
          </cell>
          <cell r="E846" t="str">
            <v>APPROVED</v>
          </cell>
          <cell r="F846">
            <v>41639</v>
          </cell>
          <cell r="G846">
            <v>41912</v>
          </cell>
          <cell r="H846">
            <v>762423.26</v>
          </cell>
          <cell r="I846" t="str">
            <v>FIN Submission</v>
          </cell>
          <cell r="J846">
            <v>43700</v>
          </cell>
        </row>
        <row r="847">
          <cell r="A847" t="str">
            <v>44294-H690</v>
          </cell>
          <cell r="B847" t="str">
            <v>HYD - U&amp;U Mill Lake Unit 2 Refurb</v>
          </cell>
          <cell r="C847" t="str">
            <v>FIN Approval - Internal</v>
          </cell>
          <cell r="D847">
            <v>99</v>
          </cell>
          <cell r="E847" t="str">
            <v>APPROVED</v>
          </cell>
          <cell r="F847">
            <v>41820</v>
          </cell>
          <cell r="G847">
            <v>42369</v>
          </cell>
          <cell r="H847">
            <v>1028575.52</v>
          </cell>
          <cell r="I847" t="str">
            <v>FIN Submission</v>
          </cell>
          <cell r="J847">
            <v>43700</v>
          </cell>
        </row>
        <row r="848">
          <cell r="A848" t="str">
            <v>43136-H674</v>
          </cell>
          <cell r="B848" t="str">
            <v>HYD - Weymouth Headcover Replace</v>
          </cell>
          <cell r="C848" t="str">
            <v>FIN Approval - Internal</v>
          </cell>
          <cell r="D848">
            <v>106</v>
          </cell>
          <cell r="E848" t="str">
            <v>APPROVED</v>
          </cell>
          <cell r="F848">
            <v>42643</v>
          </cell>
          <cell r="G848">
            <v>43099</v>
          </cell>
          <cell r="H848">
            <v>982642.55</v>
          </cell>
          <cell r="I848" t="str">
            <v>FIN Submission</v>
          </cell>
          <cell r="J848">
            <v>43700</v>
          </cell>
        </row>
        <row r="849">
          <cell r="A849" t="str">
            <v>43369-T783</v>
          </cell>
          <cell r="B849" t="str">
            <v>New Mobile Transformer 15MVA</v>
          </cell>
          <cell r="C849" t="str">
            <v>FIN Approval - Internal</v>
          </cell>
          <cell r="D849">
            <v>107</v>
          </cell>
          <cell r="E849" t="str">
            <v>APPROVED</v>
          </cell>
          <cell r="F849">
            <v>42036</v>
          </cell>
          <cell r="G849">
            <v>42946</v>
          </cell>
          <cell r="H849">
            <v>1840076.53</v>
          </cell>
          <cell r="I849" t="str">
            <v>FIN Submission</v>
          </cell>
          <cell r="J849">
            <v>43700</v>
          </cell>
        </row>
        <row r="850">
          <cell r="A850" t="str">
            <v>42709-H648</v>
          </cell>
          <cell r="B850" t="str">
            <v>HYD - U&amp;U PLC Upgrades (ANN)</v>
          </cell>
          <cell r="C850" t="str">
            <v>FIN Approval - Internal</v>
          </cell>
          <cell r="D850">
            <v>109</v>
          </cell>
          <cell r="E850" t="str">
            <v>APPROVED</v>
          </cell>
          <cell r="F850">
            <v>42614</v>
          </cell>
          <cell r="G850">
            <v>42978</v>
          </cell>
          <cell r="H850">
            <v>249433.89</v>
          </cell>
          <cell r="I850" t="str">
            <v>FIN Submission</v>
          </cell>
          <cell r="J850">
            <v>43700</v>
          </cell>
        </row>
        <row r="851">
          <cell r="A851" t="str">
            <v>42666-H643</v>
          </cell>
          <cell r="B851" t="str">
            <v>HYD - Tusket #2 Overhaul</v>
          </cell>
          <cell r="C851" t="str">
            <v>FIN Approval - Internal</v>
          </cell>
          <cell r="D851">
            <v>117</v>
          </cell>
          <cell r="E851" t="str">
            <v>APPROVED</v>
          </cell>
          <cell r="F851">
            <v>42124</v>
          </cell>
          <cell r="G851">
            <v>43190</v>
          </cell>
          <cell r="H851">
            <v>1262977.6499999999</v>
          </cell>
          <cell r="I851" t="str">
            <v>FIN Submission</v>
          </cell>
          <cell r="J851">
            <v>43700</v>
          </cell>
        </row>
        <row r="852">
          <cell r="A852" t="str">
            <v>41127-H673</v>
          </cell>
          <cell r="B852" t="str">
            <v>HYD - Nictaux Headcover Replacement</v>
          </cell>
          <cell r="C852" t="str">
            <v>FIN Approval - Internal</v>
          </cell>
          <cell r="D852">
            <v>133</v>
          </cell>
          <cell r="E852" t="str">
            <v>APPROVED</v>
          </cell>
          <cell r="F852">
            <v>41578</v>
          </cell>
          <cell r="G852">
            <v>42735</v>
          </cell>
          <cell r="H852">
            <v>474126.05</v>
          </cell>
          <cell r="I852" t="str">
            <v>FIN Submission</v>
          </cell>
          <cell r="J852">
            <v>43700</v>
          </cell>
        </row>
        <row r="853">
          <cell r="A853" t="str">
            <v>41438-T866</v>
          </cell>
          <cell r="B853" t="str">
            <v>85S Cable Termination Replacement</v>
          </cell>
          <cell r="C853" t="str">
            <v>FIN Approval - Internal</v>
          </cell>
          <cell r="D853">
            <v>136</v>
          </cell>
          <cell r="E853" t="str">
            <v>APPROVED</v>
          </cell>
          <cell r="F853">
            <v>42335</v>
          </cell>
          <cell r="G853">
            <v>42916</v>
          </cell>
          <cell r="H853">
            <v>427630.1</v>
          </cell>
          <cell r="I853" t="str">
            <v>FIN Submission</v>
          </cell>
          <cell r="J853">
            <v>43700</v>
          </cell>
        </row>
        <row r="854">
          <cell r="A854" t="str">
            <v>41126-H624</v>
          </cell>
          <cell r="B854" t="str">
            <v>HYD-ANN Sluiceway Stop Logs</v>
          </cell>
          <cell r="C854" t="str">
            <v>FIN Approval - Internal</v>
          </cell>
          <cell r="D854">
            <v>141</v>
          </cell>
          <cell r="E854" t="str">
            <v>APPROVED</v>
          </cell>
          <cell r="F854">
            <v>41547</v>
          </cell>
          <cell r="G854">
            <v>43465</v>
          </cell>
          <cell r="H854">
            <v>1279081.8600000001</v>
          </cell>
          <cell r="I854" t="str">
            <v>FIN Submission</v>
          </cell>
          <cell r="J854">
            <v>43700</v>
          </cell>
        </row>
        <row r="855">
          <cell r="A855" t="str">
            <v>27507-H689</v>
          </cell>
          <cell r="B855" t="str">
            <v>HYD - RUF Butterfly Valve Replace</v>
          </cell>
          <cell r="C855" t="str">
            <v>FIN Approval - Internal</v>
          </cell>
          <cell r="D855">
            <v>207</v>
          </cell>
          <cell r="E855" t="str">
            <v>APPROVED</v>
          </cell>
          <cell r="F855">
            <v>41850</v>
          </cell>
          <cell r="G855">
            <v>42947</v>
          </cell>
          <cell r="H855">
            <v>584932.31000000006</v>
          </cell>
          <cell r="I855" t="str">
            <v>FIN Submission</v>
          </cell>
          <cell r="J855">
            <v>43700</v>
          </cell>
        </row>
        <row r="856">
          <cell r="A856" t="str">
            <v>12079-H629</v>
          </cell>
          <cell r="B856" t="str">
            <v>SHH - RUF 1&amp;2 RUNNER REPLACEMENT</v>
          </cell>
          <cell r="C856" t="str">
            <v>FIN Approval - Internal</v>
          </cell>
          <cell r="D856">
            <v>213</v>
          </cell>
          <cell r="E856" t="str">
            <v>APPROVED</v>
          </cell>
          <cell r="F856">
            <v>42885</v>
          </cell>
          <cell r="G856">
            <v>43281</v>
          </cell>
          <cell r="H856">
            <v>1523613.27</v>
          </cell>
          <cell r="I856" t="str">
            <v>FIN Submission</v>
          </cell>
          <cell r="J856">
            <v>43700</v>
          </cell>
        </row>
        <row r="857">
          <cell r="A857" t="str">
            <v>C0000978</v>
          </cell>
          <cell r="B857" t="str">
            <v>HYD STM outboard motor replace</v>
          </cell>
          <cell r="C857" t="str">
            <v>FIN Approval - Internal</v>
          </cell>
          <cell r="D857">
            <v>2</v>
          </cell>
          <cell r="E857" t="str">
            <v>APPROVED</v>
          </cell>
          <cell r="F857">
            <v>43008</v>
          </cell>
          <cell r="G857">
            <v>43189</v>
          </cell>
          <cell r="H857">
            <v>4141</v>
          </cell>
          <cell r="I857" t="str">
            <v>FIN Submission</v>
          </cell>
          <cell r="J857">
            <v>43677</v>
          </cell>
        </row>
        <row r="858">
          <cell r="A858" t="str">
            <v>C0004563</v>
          </cell>
          <cell r="B858" t="str">
            <v>CT - BGT2 Exhaust Stack Repair U&amp;U</v>
          </cell>
          <cell r="C858" t="str">
            <v>FIN Approval - Internal</v>
          </cell>
          <cell r="D858">
            <v>17</v>
          </cell>
          <cell r="E858" t="str">
            <v>APPROVED</v>
          </cell>
          <cell r="F858">
            <v>43130</v>
          </cell>
          <cell r="G858">
            <v>43677</v>
          </cell>
          <cell r="H858">
            <v>38676.94</v>
          </cell>
          <cell r="I858" t="str">
            <v>FIN Submission</v>
          </cell>
          <cell r="J858">
            <v>43677</v>
          </cell>
        </row>
        <row r="859">
          <cell r="A859" t="str">
            <v>C0004518</v>
          </cell>
          <cell r="B859" t="str">
            <v>December 25, 2017 Level 3 Storm</v>
          </cell>
          <cell r="C859" t="str">
            <v>FIN Approval - Internal</v>
          </cell>
          <cell r="D859">
            <v>17</v>
          </cell>
          <cell r="E859" t="str">
            <v>APPROVED</v>
          </cell>
          <cell r="F859">
            <v>43190</v>
          </cell>
          <cell r="G859">
            <v>43465</v>
          </cell>
          <cell r="H859">
            <v>1800727.31</v>
          </cell>
          <cell r="I859" t="str">
            <v>FIN Submission</v>
          </cell>
          <cell r="J859">
            <v>43677</v>
          </cell>
        </row>
        <row r="860">
          <cell r="A860" t="str">
            <v>C0005438</v>
          </cell>
          <cell r="B860" t="str">
            <v>Jan 4, 2018 Level 4 Storm Response</v>
          </cell>
          <cell r="C860" t="str">
            <v>FIN Approval - Internal</v>
          </cell>
          <cell r="D860">
            <v>17</v>
          </cell>
          <cell r="E860" t="str">
            <v>APPROVED</v>
          </cell>
          <cell r="F860">
            <v>43101</v>
          </cell>
          <cell r="G860">
            <v>43646</v>
          </cell>
          <cell r="H860">
            <v>2628839.0699999998</v>
          </cell>
          <cell r="I860" t="str">
            <v>FIN Submission</v>
          </cell>
          <cell r="J860">
            <v>43677</v>
          </cell>
        </row>
        <row r="861">
          <cell r="A861" t="str">
            <v>C0002980</v>
          </cell>
          <cell r="B861" t="str">
            <v>CT BGT Plenum Floor Refurbishment</v>
          </cell>
          <cell r="C861" t="str">
            <v>FIN Approval - Internal</v>
          </cell>
          <cell r="D861">
            <v>19</v>
          </cell>
          <cell r="E861" t="str">
            <v>APPROVED</v>
          </cell>
          <cell r="F861">
            <v>43434</v>
          </cell>
          <cell r="G861">
            <v>43647</v>
          </cell>
          <cell r="H861">
            <v>25403.64</v>
          </cell>
          <cell r="I861" t="str">
            <v>FIN Submission</v>
          </cell>
          <cell r="J861">
            <v>43677</v>
          </cell>
        </row>
        <row r="862">
          <cell r="A862" t="str">
            <v>C0002679</v>
          </cell>
          <cell r="B862" t="str">
            <v>586C-311 Militia Point Road Line</v>
          </cell>
          <cell r="C862" t="str">
            <v>FIN Approval - Internal</v>
          </cell>
          <cell r="D862">
            <v>22</v>
          </cell>
          <cell r="E862" t="str">
            <v>APPROVED</v>
          </cell>
          <cell r="F862">
            <v>43070</v>
          </cell>
          <cell r="G862">
            <v>43373</v>
          </cell>
          <cell r="H862">
            <v>55631</v>
          </cell>
          <cell r="I862" t="str">
            <v>FIN Submission</v>
          </cell>
          <cell r="J862">
            <v>43677</v>
          </cell>
        </row>
        <row r="863">
          <cell r="A863" t="str">
            <v>52251</v>
          </cell>
          <cell r="B863" t="str">
            <v>POT Misc. Valve/Component Replaceme</v>
          </cell>
          <cell r="C863" t="str">
            <v>FIN Approval - Internal</v>
          </cell>
          <cell r="D863">
            <v>26</v>
          </cell>
          <cell r="E863" t="str">
            <v>APPROVED</v>
          </cell>
          <cell r="F863">
            <v>43191</v>
          </cell>
          <cell r="G863">
            <v>43676</v>
          </cell>
          <cell r="H863">
            <v>138027.32</v>
          </cell>
          <cell r="I863" t="str">
            <v>FIN Submission</v>
          </cell>
          <cell r="J863">
            <v>43677</v>
          </cell>
        </row>
        <row r="864">
          <cell r="A864" t="str">
            <v>51697-D860</v>
          </cell>
          <cell r="B864" t="str">
            <v>2017 Pole-Top Transf. Animal Guard</v>
          </cell>
          <cell r="C864" t="str">
            <v>FIN Approval - Internal</v>
          </cell>
          <cell r="D864">
            <v>29</v>
          </cell>
          <cell r="E864" t="str">
            <v>APPROVED</v>
          </cell>
          <cell r="F864">
            <v>43190</v>
          </cell>
          <cell r="G864">
            <v>43465</v>
          </cell>
          <cell r="H864">
            <v>33404.080000000002</v>
          </cell>
          <cell r="I864" t="str">
            <v>FIN Submission</v>
          </cell>
          <cell r="J864">
            <v>43677</v>
          </cell>
        </row>
        <row r="865">
          <cell r="A865" t="str">
            <v>51531-D881</v>
          </cell>
          <cell r="B865" t="str">
            <v>57C-426 New Sectionalizer</v>
          </cell>
          <cell r="C865" t="str">
            <v>FIN Approval - Internal</v>
          </cell>
          <cell r="D865">
            <v>29</v>
          </cell>
          <cell r="E865" t="str">
            <v>APPROVED</v>
          </cell>
          <cell r="F865">
            <v>43070</v>
          </cell>
          <cell r="G865">
            <v>43465</v>
          </cell>
          <cell r="H865">
            <v>30895.25</v>
          </cell>
          <cell r="I865" t="str">
            <v>FIN Submission</v>
          </cell>
          <cell r="J865">
            <v>43677</v>
          </cell>
        </row>
        <row r="866">
          <cell r="A866" t="str">
            <v>51527</v>
          </cell>
          <cell r="B866" t="str">
            <v xml:space="preserve">57S-401 Catalone New Downline </v>
          </cell>
          <cell r="C866" t="str">
            <v>FIN Approval - Internal</v>
          </cell>
          <cell r="D866">
            <v>29</v>
          </cell>
          <cell r="E866" t="str">
            <v>APPROVED</v>
          </cell>
          <cell r="F866">
            <v>43251</v>
          </cell>
          <cell r="G866">
            <v>43434</v>
          </cell>
          <cell r="H866">
            <v>58063.360000000001</v>
          </cell>
          <cell r="I866" t="str">
            <v>FIN Submission</v>
          </cell>
          <cell r="J866">
            <v>43677</v>
          </cell>
        </row>
        <row r="867">
          <cell r="A867" t="str">
            <v>51518-D869</v>
          </cell>
          <cell r="B867" t="str">
            <v>64V-301G Tremont Reconductor</v>
          </cell>
          <cell r="C867" t="str">
            <v>FIN Approval - Internal</v>
          </cell>
          <cell r="D867">
            <v>29</v>
          </cell>
          <cell r="E867" t="str">
            <v>APPROVED</v>
          </cell>
          <cell r="F867">
            <v>43100</v>
          </cell>
          <cell r="G867">
            <v>43465</v>
          </cell>
          <cell r="H867">
            <v>282460.09999999998</v>
          </cell>
          <cell r="I867" t="str">
            <v>FIN Submission</v>
          </cell>
          <cell r="J867">
            <v>43677</v>
          </cell>
        </row>
        <row r="868">
          <cell r="A868" t="str">
            <v>51231-D843</v>
          </cell>
          <cell r="B868" t="str">
            <v>Install Regulators Clare - 93V-312</v>
          </cell>
          <cell r="C868" t="str">
            <v>FIN Approval - Internal</v>
          </cell>
          <cell r="D868">
            <v>30</v>
          </cell>
          <cell r="E868" t="str">
            <v>APPROVED</v>
          </cell>
          <cell r="F868">
            <v>43100</v>
          </cell>
          <cell r="G868">
            <v>43465</v>
          </cell>
          <cell r="H868">
            <v>211454.1</v>
          </cell>
          <cell r="I868" t="str">
            <v>FIN Submission</v>
          </cell>
          <cell r="J868">
            <v>43677</v>
          </cell>
        </row>
        <row r="869">
          <cell r="A869" t="str">
            <v>51211-D838</v>
          </cell>
          <cell r="B869" t="str">
            <v>Mar 14, 2017 Level 3 Storm Response</v>
          </cell>
          <cell r="C869" t="str">
            <v>FIN Approval - Internal</v>
          </cell>
          <cell r="D869">
            <v>30</v>
          </cell>
          <cell r="E869" t="str">
            <v>APPROVED</v>
          </cell>
          <cell r="F869">
            <v>42855</v>
          </cell>
          <cell r="G869">
            <v>43465</v>
          </cell>
          <cell r="H869">
            <v>228084.28</v>
          </cell>
          <cell r="I869" t="str">
            <v>FIN Submission</v>
          </cell>
          <cell r="J869">
            <v>43677</v>
          </cell>
        </row>
        <row r="870">
          <cell r="A870" t="str">
            <v>51522-D872</v>
          </cell>
          <cell r="B870" t="str">
            <v>24C-442GB - 19C Canso Recloser Addi</v>
          </cell>
          <cell r="C870" t="str">
            <v>FIN Approval - Internal</v>
          </cell>
          <cell r="D870">
            <v>31</v>
          </cell>
          <cell r="E870" t="str">
            <v>APPROVED</v>
          </cell>
          <cell r="F870">
            <v>43069</v>
          </cell>
          <cell r="G870">
            <v>43465</v>
          </cell>
          <cell r="H870">
            <v>61113.33</v>
          </cell>
          <cell r="I870" t="str">
            <v>FIN Submission</v>
          </cell>
          <cell r="J870">
            <v>43677</v>
          </cell>
        </row>
        <row r="871">
          <cell r="A871" t="str">
            <v>51785-D862</v>
          </cell>
          <cell r="B871" t="str">
            <v>2017 Guy Guard Replacements</v>
          </cell>
          <cell r="C871" t="str">
            <v>FIN Approval - Internal</v>
          </cell>
          <cell r="D871">
            <v>32</v>
          </cell>
          <cell r="E871" t="str">
            <v>APPROVED</v>
          </cell>
          <cell r="F871">
            <v>43190</v>
          </cell>
          <cell r="G871">
            <v>43465</v>
          </cell>
          <cell r="H871">
            <v>3196.12</v>
          </cell>
          <cell r="I871" t="str">
            <v>FIN Submission</v>
          </cell>
          <cell r="J871">
            <v>43677</v>
          </cell>
        </row>
        <row r="872">
          <cell r="A872" t="str">
            <v>51232-D842</v>
          </cell>
          <cell r="B872" t="str">
            <v>East Clifford Line Extension 73W</v>
          </cell>
          <cell r="C872" t="str">
            <v>FIN Approval - Internal</v>
          </cell>
          <cell r="D872">
            <v>32</v>
          </cell>
          <cell r="E872" t="str">
            <v>APPROVED</v>
          </cell>
          <cell r="F872">
            <v>42978</v>
          </cell>
          <cell r="G872">
            <v>43131</v>
          </cell>
          <cell r="H872">
            <v>49603.41</v>
          </cell>
          <cell r="I872" t="str">
            <v>FIN Submission</v>
          </cell>
          <cell r="J872">
            <v>43677</v>
          </cell>
        </row>
        <row r="873">
          <cell r="A873" t="str">
            <v>50932-D837</v>
          </cell>
          <cell r="B873" t="str">
            <v>Feb 12, 2017 Level 3 Storm Response</v>
          </cell>
          <cell r="C873" t="str">
            <v>FIN Approval - Internal</v>
          </cell>
          <cell r="D873">
            <v>32</v>
          </cell>
          <cell r="E873" t="str">
            <v>APPROVED</v>
          </cell>
          <cell r="F873">
            <v>42978</v>
          </cell>
          <cell r="G873">
            <v>43465</v>
          </cell>
          <cell r="H873">
            <v>1081700.6599999999</v>
          </cell>
          <cell r="I873" t="str">
            <v>FIN Submission</v>
          </cell>
          <cell r="J873">
            <v>43677</v>
          </cell>
        </row>
        <row r="874">
          <cell r="A874" t="str">
            <v>51498-D855</v>
          </cell>
          <cell r="B874" t="str">
            <v>553W-211 West Caledonia Rd Convers.</v>
          </cell>
          <cell r="C874" t="str">
            <v>FIN Approval - Internal</v>
          </cell>
          <cell r="D874">
            <v>33</v>
          </cell>
          <cell r="E874" t="str">
            <v>APPROVED</v>
          </cell>
          <cell r="F874">
            <v>43100</v>
          </cell>
          <cell r="G874">
            <v>43465</v>
          </cell>
          <cell r="H874">
            <v>599909.25</v>
          </cell>
          <cell r="I874" t="str">
            <v>FIN Submission</v>
          </cell>
          <cell r="J874">
            <v>43677</v>
          </cell>
        </row>
        <row r="875">
          <cell r="A875" t="str">
            <v>50672-D804</v>
          </cell>
          <cell r="B875" t="str">
            <v>605V-211-Culloden Conversion</v>
          </cell>
          <cell r="C875" t="str">
            <v>FIN Approval - Internal</v>
          </cell>
          <cell r="D875">
            <v>33</v>
          </cell>
          <cell r="E875" t="str">
            <v>APPROVED</v>
          </cell>
          <cell r="F875">
            <v>43404</v>
          </cell>
          <cell r="G875">
            <v>43585</v>
          </cell>
          <cell r="H875">
            <v>112805.01</v>
          </cell>
          <cell r="I875" t="str">
            <v>FIN Submission</v>
          </cell>
          <cell r="J875">
            <v>43677</v>
          </cell>
        </row>
        <row r="876">
          <cell r="A876" t="str">
            <v>50693-D803</v>
          </cell>
          <cell r="B876" t="str">
            <v>2017 Manhole Cover Replacement</v>
          </cell>
          <cell r="C876" t="str">
            <v>FIN Approval - Internal</v>
          </cell>
          <cell r="D876">
            <v>34</v>
          </cell>
          <cell r="E876" t="str">
            <v>APPROVED</v>
          </cell>
          <cell r="F876">
            <v>43220</v>
          </cell>
          <cell r="G876">
            <v>43496</v>
          </cell>
          <cell r="H876">
            <v>127588.01</v>
          </cell>
          <cell r="I876" t="str">
            <v>FIN Submission</v>
          </cell>
          <cell r="J876">
            <v>43677</v>
          </cell>
        </row>
        <row r="877">
          <cell r="A877" t="str">
            <v>50655-D802</v>
          </cell>
          <cell r="B877" t="str">
            <v>664N-211 Claremont Avenue Conversio</v>
          </cell>
          <cell r="C877" t="str">
            <v>FIN Approval - Internal</v>
          </cell>
          <cell r="D877">
            <v>34</v>
          </cell>
          <cell r="E877" t="str">
            <v>APPROVED</v>
          </cell>
          <cell r="F877">
            <v>42946</v>
          </cell>
          <cell r="G877">
            <v>43465</v>
          </cell>
          <cell r="H877">
            <v>148636.76</v>
          </cell>
          <cell r="I877" t="str">
            <v>FIN Submission</v>
          </cell>
          <cell r="J877">
            <v>43677</v>
          </cell>
        </row>
        <row r="878">
          <cell r="A878" t="str">
            <v>50578-D794</v>
          </cell>
          <cell r="B878" t="str">
            <v>83V-303 Sunken Lake Load Transfer</v>
          </cell>
          <cell r="C878" t="str">
            <v>FIN Approval - Internal</v>
          </cell>
          <cell r="D878">
            <v>35</v>
          </cell>
          <cell r="E878" t="str">
            <v>APPROVED</v>
          </cell>
          <cell r="F878">
            <v>42870</v>
          </cell>
          <cell r="G878">
            <v>43465</v>
          </cell>
          <cell r="H878">
            <v>75896.639999999999</v>
          </cell>
          <cell r="I878" t="str">
            <v>FIN Submission</v>
          </cell>
          <cell r="J878">
            <v>43677</v>
          </cell>
        </row>
        <row r="879">
          <cell r="A879" t="str">
            <v>50316-D776</v>
          </cell>
          <cell r="B879" t="str">
            <v>Oct 10, 2016 Level 3 Storm Response</v>
          </cell>
          <cell r="C879" t="str">
            <v>FIN Approval - Internal</v>
          </cell>
          <cell r="D879">
            <v>36</v>
          </cell>
          <cell r="E879" t="str">
            <v>APPROVED</v>
          </cell>
          <cell r="F879">
            <v>42704</v>
          </cell>
          <cell r="G879">
            <v>43131</v>
          </cell>
          <cell r="H879">
            <v>1712892.76</v>
          </cell>
          <cell r="I879" t="str">
            <v>FIN Submission</v>
          </cell>
          <cell r="J879">
            <v>43677</v>
          </cell>
        </row>
        <row r="880">
          <cell r="A880" t="str">
            <v>49932</v>
          </cell>
          <cell r="B880" t="str">
            <v>CT - TUC 4 LM6000 Roof Skid Access</v>
          </cell>
          <cell r="C880" t="str">
            <v>FIN Approval - Internal</v>
          </cell>
          <cell r="D880">
            <v>41</v>
          </cell>
          <cell r="E880" t="str">
            <v>APPROVED</v>
          </cell>
          <cell r="F880">
            <v>43449</v>
          </cell>
          <cell r="G880">
            <v>43617</v>
          </cell>
          <cell r="H880">
            <v>138008.39000000001</v>
          </cell>
          <cell r="I880" t="str">
            <v>FIN Submission</v>
          </cell>
          <cell r="J880">
            <v>43677</v>
          </cell>
        </row>
        <row r="881">
          <cell r="A881" t="str">
            <v>49933</v>
          </cell>
          <cell r="B881" t="str">
            <v>CT - TUC 5 LM6000 Roof Skid Access</v>
          </cell>
          <cell r="C881" t="str">
            <v>FIN Approval - Internal</v>
          </cell>
          <cell r="D881">
            <v>41</v>
          </cell>
          <cell r="E881" t="str">
            <v>APPROVED</v>
          </cell>
          <cell r="F881">
            <v>43465</v>
          </cell>
          <cell r="G881">
            <v>43617</v>
          </cell>
          <cell r="H881">
            <v>136867.22</v>
          </cell>
          <cell r="I881" t="str">
            <v>FIN Submission</v>
          </cell>
          <cell r="J881">
            <v>43677</v>
          </cell>
        </row>
        <row r="882">
          <cell r="A882" t="str">
            <v>49508-D750</v>
          </cell>
          <cell r="B882" t="str">
            <v>67C-412 Seaside Comm Wireless Tower</v>
          </cell>
          <cell r="C882" t="str">
            <v>FIN Approval - Internal</v>
          </cell>
          <cell r="D882">
            <v>47</v>
          </cell>
          <cell r="E882" t="str">
            <v>APPROVED</v>
          </cell>
          <cell r="F882">
            <v>42582</v>
          </cell>
          <cell r="G882">
            <v>43101</v>
          </cell>
          <cell r="H882">
            <v>47759.519999999997</v>
          </cell>
          <cell r="I882" t="str">
            <v>FIN Submission</v>
          </cell>
          <cell r="J882">
            <v>43677</v>
          </cell>
        </row>
        <row r="883">
          <cell r="A883" t="str">
            <v>49133-D742</v>
          </cell>
          <cell r="B883" t="str">
            <v>4S-324 Hwy Relocation at Cow Bay Rd</v>
          </cell>
          <cell r="C883" t="str">
            <v>FIN Approval - Internal</v>
          </cell>
          <cell r="D883">
            <v>48</v>
          </cell>
          <cell r="E883" t="str">
            <v>APPROVED</v>
          </cell>
          <cell r="F883">
            <v>42551</v>
          </cell>
          <cell r="G883">
            <v>43008</v>
          </cell>
          <cell r="H883">
            <v>76270.42</v>
          </cell>
          <cell r="I883" t="str">
            <v>FIN Submission</v>
          </cell>
          <cell r="J883">
            <v>43677</v>
          </cell>
        </row>
        <row r="884">
          <cell r="A884" t="str">
            <v>48974-D773</v>
          </cell>
          <cell r="B884" t="str">
            <v>McCabe Lake East Subdivision</v>
          </cell>
          <cell r="C884" t="str">
            <v>FIN Approval - Internal</v>
          </cell>
          <cell r="D884">
            <v>48</v>
          </cell>
          <cell r="E884" t="str">
            <v>APPROVED</v>
          </cell>
          <cell r="F884">
            <v>42735</v>
          </cell>
          <cell r="G884">
            <v>42735</v>
          </cell>
          <cell r="H884">
            <v>65481.2</v>
          </cell>
          <cell r="I884" t="str">
            <v>FIN Submission</v>
          </cell>
          <cell r="J884">
            <v>43677</v>
          </cell>
        </row>
        <row r="885">
          <cell r="A885" t="str">
            <v>48731-D724</v>
          </cell>
          <cell r="B885" t="str">
            <v>4C-441 Church St River Crossing</v>
          </cell>
          <cell r="C885" t="str">
            <v>FIN Approval - Internal</v>
          </cell>
          <cell r="D885">
            <v>50</v>
          </cell>
          <cell r="E885" t="str">
            <v>APPROVED</v>
          </cell>
          <cell r="F885">
            <v>42460</v>
          </cell>
          <cell r="G885">
            <v>43008</v>
          </cell>
          <cell r="H885">
            <v>130433.68</v>
          </cell>
          <cell r="I885" t="str">
            <v>FIN Submission</v>
          </cell>
          <cell r="J885">
            <v>43677</v>
          </cell>
        </row>
        <row r="886">
          <cell r="A886" t="str">
            <v>45514-D534</v>
          </cell>
          <cell r="B886" t="str">
            <v>Cabot Cliff Golf Upgrade</v>
          </cell>
          <cell r="C886" t="str">
            <v>FIN Approval - Internal</v>
          </cell>
          <cell r="D886">
            <v>52</v>
          </cell>
          <cell r="E886" t="str">
            <v>APPROVED</v>
          </cell>
          <cell r="F886">
            <v>41726</v>
          </cell>
          <cell r="G886">
            <v>42003</v>
          </cell>
          <cell r="H886">
            <v>18276.45</v>
          </cell>
          <cell r="I886" t="str">
            <v>FIN Submission</v>
          </cell>
          <cell r="J886">
            <v>43677</v>
          </cell>
        </row>
        <row r="887">
          <cell r="A887" t="str">
            <v>47912-T873</v>
          </cell>
          <cell r="B887" t="str">
            <v>L6552 Replacements and Upgrades</v>
          </cell>
          <cell r="C887" t="str">
            <v>FIN Approval - Internal</v>
          </cell>
          <cell r="D887">
            <v>58</v>
          </cell>
          <cell r="E887" t="str">
            <v>APPROVED</v>
          </cell>
          <cell r="F887">
            <v>42673</v>
          </cell>
          <cell r="G887">
            <v>42979</v>
          </cell>
          <cell r="H887">
            <v>947929.95</v>
          </cell>
          <cell r="I887" t="str">
            <v>FIN Submission</v>
          </cell>
          <cell r="J887">
            <v>43677</v>
          </cell>
        </row>
        <row r="888">
          <cell r="A888" t="str">
            <v>47631-T865</v>
          </cell>
          <cell r="B888" t="str">
            <v>U&amp;U Capacitor Bank Breaker Rpcmnts</v>
          </cell>
          <cell r="C888" t="str">
            <v>FIN Approval - Internal</v>
          </cell>
          <cell r="D888">
            <v>61</v>
          </cell>
          <cell r="E888" t="str">
            <v>APPROVED</v>
          </cell>
          <cell r="F888">
            <v>42400</v>
          </cell>
          <cell r="G888">
            <v>43465</v>
          </cell>
          <cell r="H888">
            <v>273736.64</v>
          </cell>
          <cell r="I888" t="str">
            <v>FIN Submission</v>
          </cell>
          <cell r="J888">
            <v>43677</v>
          </cell>
        </row>
        <row r="889">
          <cell r="A889" t="str">
            <v>46991-D628</v>
          </cell>
          <cell r="B889" t="str">
            <v>55V-322 - Lovette Road</v>
          </cell>
          <cell r="C889" t="str">
            <v>FIN Approval - Internal</v>
          </cell>
          <cell r="D889">
            <v>66</v>
          </cell>
          <cell r="E889" t="str">
            <v>APPROVED</v>
          </cell>
          <cell r="F889">
            <v>43159</v>
          </cell>
          <cell r="G889">
            <v>43646</v>
          </cell>
          <cell r="H889">
            <v>215017.09</v>
          </cell>
          <cell r="I889" t="str">
            <v>FIN Submission</v>
          </cell>
          <cell r="J889">
            <v>43677</v>
          </cell>
        </row>
        <row r="890">
          <cell r="A890" t="str">
            <v>46832-D616</v>
          </cell>
          <cell r="B890" t="str">
            <v>Katja Rose Dr 2014</v>
          </cell>
          <cell r="C890" t="str">
            <v>FIN Approval - Internal</v>
          </cell>
          <cell r="D890">
            <v>67</v>
          </cell>
          <cell r="E890" t="str">
            <v>APPROVED</v>
          </cell>
          <cell r="F890">
            <v>42012</v>
          </cell>
          <cell r="G890">
            <v>42460</v>
          </cell>
          <cell r="H890">
            <v>16262.25</v>
          </cell>
          <cell r="I890" t="str">
            <v>FIN Submission</v>
          </cell>
          <cell r="J890">
            <v>43677</v>
          </cell>
        </row>
        <row r="891">
          <cell r="A891" t="str">
            <v>46971-D624</v>
          </cell>
          <cell r="B891" t="str">
            <v>24C-443 Upgrade GUY Landfill</v>
          </cell>
          <cell r="C891" t="str">
            <v>FIN Approval - Internal</v>
          </cell>
          <cell r="D891">
            <v>68</v>
          </cell>
          <cell r="E891" t="str">
            <v>APPROVED</v>
          </cell>
          <cell r="F891">
            <v>42277</v>
          </cell>
          <cell r="G891">
            <v>43008</v>
          </cell>
          <cell r="H891">
            <v>1517.16</v>
          </cell>
          <cell r="I891" t="str">
            <v>FIN Submission</v>
          </cell>
          <cell r="J891">
            <v>43677</v>
          </cell>
        </row>
        <row r="892">
          <cell r="A892" t="str">
            <v>46331-T837</v>
          </cell>
          <cell r="B892" t="str">
            <v>L7001 Replacements - Phase 2</v>
          </cell>
          <cell r="C892" t="str">
            <v>FIN Approval - Internal</v>
          </cell>
          <cell r="D892">
            <v>75</v>
          </cell>
          <cell r="E892" t="str">
            <v>APPROVED</v>
          </cell>
          <cell r="F892">
            <v>42459</v>
          </cell>
          <cell r="G892">
            <v>43312</v>
          </cell>
          <cell r="H892">
            <v>822290.77</v>
          </cell>
          <cell r="I892" t="str">
            <v>FIN Submission</v>
          </cell>
          <cell r="J892">
            <v>43677</v>
          </cell>
        </row>
        <row r="893">
          <cell r="A893" t="str">
            <v>46586-T857</v>
          </cell>
          <cell r="B893" t="str">
            <v>2015 PCB Removal - Substation</v>
          </cell>
          <cell r="C893" t="str">
            <v>FIN Approval - Internal</v>
          </cell>
          <cell r="D893">
            <v>78</v>
          </cell>
          <cell r="E893" t="str">
            <v>APPROVED</v>
          </cell>
          <cell r="F893">
            <v>42459</v>
          </cell>
          <cell r="G893">
            <v>43465</v>
          </cell>
          <cell r="H893">
            <v>1476013.58</v>
          </cell>
          <cell r="I893" t="str">
            <v>FIN Submission</v>
          </cell>
          <cell r="J893">
            <v>43677</v>
          </cell>
        </row>
        <row r="894">
          <cell r="A894" t="str">
            <v>45412-D530</v>
          </cell>
          <cell r="B894" t="str">
            <v>Cabot Cliff Line Extension</v>
          </cell>
          <cell r="C894" t="str">
            <v>FIN Approval - Internal</v>
          </cell>
          <cell r="D894">
            <v>82</v>
          </cell>
          <cell r="E894" t="str">
            <v>APPROVED</v>
          </cell>
          <cell r="F894">
            <v>41820</v>
          </cell>
          <cell r="G894">
            <v>42460</v>
          </cell>
          <cell r="H894">
            <v>-6917.56</v>
          </cell>
          <cell r="I894" t="str">
            <v>FIN Submission</v>
          </cell>
          <cell r="J894">
            <v>43677</v>
          </cell>
        </row>
        <row r="895">
          <cell r="A895" t="str">
            <v>45795-T862</v>
          </cell>
          <cell r="B895" t="str">
            <v>L6503 Replacements</v>
          </cell>
          <cell r="C895" t="str">
            <v>FIN Approval - Internal</v>
          </cell>
          <cell r="D895">
            <v>85</v>
          </cell>
          <cell r="E895" t="str">
            <v>APPROVED</v>
          </cell>
          <cell r="F895">
            <v>42977</v>
          </cell>
          <cell r="G895">
            <v>43465</v>
          </cell>
          <cell r="H895">
            <v>825251.14</v>
          </cell>
          <cell r="I895" t="str">
            <v>FIN Submission</v>
          </cell>
          <cell r="J895">
            <v>43677</v>
          </cell>
        </row>
        <row r="896">
          <cell r="A896" t="str">
            <v>44787-G191</v>
          </cell>
          <cell r="B896" t="str">
            <v>CT - DC Battery Bank Replacement</v>
          </cell>
          <cell r="C896" t="str">
            <v>FIN Approval - Internal</v>
          </cell>
          <cell r="D896">
            <v>90</v>
          </cell>
          <cell r="E896" t="str">
            <v>APPROVED</v>
          </cell>
          <cell r="F896">
            <v>42490</v>
          </cell>
          <cell r="G896">
            <v>43676</v>
          </cell>
          <cell r="H896">
            <v>205546.56</v>
          </cell>
          <cell r="I896" t="str">
            <v>FIN Submission</v>
          </cell>
          <cell r="J896">
            <v>43677</v>
          </cell>
        </row>
        <row r="897">
          <cell r="A897" t="str">
            <v>41926-D390</v>
          </cell>
          <cell r="B897" t="str">
            <v>Fairmount Interconnection</v>
          </cell>
          <cell r="C897" t="str">
            <v>FIN Approval - Internal</v>
          </cell>
          <cell r="D897">
            <v>106</v>
          </cell>
          <cell r="E897" t="str">
            <v>APPROVED</v>
          </cell>
          <cell r="F897">
            <v>41228</v>
          </cell>
          <cell r="G897">
            <v>43343</v>
          </cell>
          <cell r="H897">
            <v>0.03</v>
          </cell>
          <cell r="I897" t="str">
            <v>FIN Submission</v>
          </cell>
          <cell r="J897">
            <v>43677</v>
          </cell>
        </row>
        <row r="898">
          <cell r="A898" t="str">
            <v>32622-P786</v>
          </cell>
          <cell r="B898" t="str">
            <v>Automated Metering Infrastructure (</v>
          </cell>
          <cell r="C898" t="str">
            <v>FIN Approval - Internal</v>
          </cell>
          <cell r="D898">
            <v>123</v>
          </cell>
          <cell r="E898" t="str">
            <v>APPROVED</v>
          </cell>
          <cell r="F898">
            <v>40481</v>
          </cell>
          <cell r="G898">
            <v>43677</v>
          </cell>
          <cell r="H898">
            <v>59710.5</v>
          </cell>
          <cell r="I898" t="str">
            <v>FIN Submission</v>
          </cell>
          <cell r="J898">
            <v>43677</v>
          </cell>
        </row>
        <row r="899">
          <cell r="A899" t="str">
            <v>41438-T866</v>
          </cell>
          <cell r="B899" t="str">
            <v>85S Cable Termination Replacement</v>
          </cell>
          <cell r="C899" t="str">
            <v>FIN Approval - Internal</v>
          </cell>
          <cell r="D899">
            <v>135</v>
          </cell>
          <cell r="E899" t="str">
            <v>APPROVED</v>
          </cell>
          <cell r="F899">
            <v>42335</v>
          </cell>
          <cell r="G899">
            <v>42916</v>
          </cell>
          <cell r="H899">
            <v>427630.1</v>
          </cell>
          <cell r="I899" t="str">
            <v>FIN Submission</v>
          </cell>
          <cell r="J899">
            <v>43677</v>
          </cell>
        </row>
        <row r="900">
          <cell r="A900" t="str">
            <v>49253-T910</v>
          </cell>
          <cell r="B900" t="str">
            <v>U&amp;U 20V-T1 Transformer Replacement</v>
          </cell>
          <cell r="C900" t="str">
            <v>FIN Approval - External</v>
          </cell>
          <cell r="D900">
            <v>37</v>
          </cell>
          <cell r="E900" t="str">
            <v>APPROVED</v>
          </cell>
          <cell r="F900">
            <v>43038</v>
          </cell>
          <cell r="G900">
            <v>43434</v>
          </cell>
          <cell r="H900">
            <v>959609.9</v>
          </cell>
          <cell r="I900" t="str">
            <v>FIN Submission</v>
          </cell>
          <cell r="J900">
            <v>43676</v>
          </cell>
        </row>
        <row r="901">
          <cell r="A901" t="str">
            <v>C0002979</v>
          </cell>
          <cell r="B901" t="str">
            <v>POT- All terrain forklift</v>
          </cell>
          <cell r="C901" t="str">
            <v>FIN Approval - Internal</v>
          </cell>
          <cell r="D901">
            <v>20</v>
          </cell>
          <cell r="E901" t="str">
            <v>APPROVED</v>
          </cell>
          <cell r="F901">
            <v>43069</v>
          </cell>
          <cell r="G901">
            <v>43281</v>
          </cell>
          <cell r="H901">
            <v>71593</v>
          </cell>
          <cell r="I901" t="str">
            <v>FIN Submission</v>
          </cell>
          <cell r="J901">
            <v>43662</v>
          </cell>
        </row>
        <row r="902">
          <cell r="A902" t="str">
            <v>48026-T921</v>
          </cell>
          <cell r="B902" t="str">
            <v>L-6033/L-6035 CT Ratio Changes 1H</v>
          </cell>
          <cell r="C902" t="str">
            <v>FIN Approval - Internal</v>
          </cell>
          <cell r="D902">
            <v>58</v>
          </cell>
          <cell r="E902" t="str">
            <v>APPROVED</v>
          </cell>
          <cell r="F902">
            <v>42643</v>
          </cell>
          <cell r="G902">
            <v>42766</v>
          </cell>
          <cell r="H902">
            <v>9098.09</v>
          </cell>
          <cell r="I902" t="str">
            <v>FIN Submission</v>
          </cell>
          <cell r="J902">
            <v>43662</v>
          </cell>
        </row>
        <row r="903">
          <cell r="A903" t="str">
            <v>C0014638</v>
          </cell>
          <cell r="B903" t="str">
            <v>Slip Simulator</v>
          </cell>
          <cell r="C903" t="str">
            <v>FIN Approval - Internal</v>
          </cell>
          <cell r="D903">
            <v>4</v>
          </cell>
          <cell r="E903" t="str">
            <v>APPROVED</v>
          </cell>
          <cell r="F903">
            <v>43435</v>
          </cell>
          <cell r="G903">
            <v>43524</v>
          </cell>
          <cell r="H903">
            <v>211832</v>
          </cell>
          <cell r="I903" t="str">
            <v>FIN Submission</v>
          </cell>
          <cell r="J903">
            <v>43661</v>
          </cell>
        </row>
        <row r="904">
          <cell r="A904" t="str">
            <v>C0008005</v>
          </cell>
          <cell r="B904" t="str">
            <v>POT - B Coal Mill Refurbishment</v>
          </cell>
          <cell r="C904" t="str">
            <v>FIN Approval - Internal</v>
          </cell>
          <cell r="D904">
            <v>14</v>
          </cell>
          <cell r="E904" t="str">
            <v>APPROVED</v>
          </cell>
          <cell r="F904">
            <v>43434</v>
          </cell>
          <cell r="G904">
            <v>43615</v>
          </cell>
          <cell r="H904">
            <v>473830.22</v>
          </cell>
          <cell r="I904" t="str">
            <v>FIN Submission</v>
          </cell>
          <cell r="J904">
            <v>43661</v>
          </cell>
        </row>
        <row r="905">
          <cell r="A905" t="str">
            <v>C0004658</v>
          </cell>
          <cell r="B905" t="str">
            <v>POT - Unit 2 stack repairs</v>
          </cell>
          <cell r="C905" t="str">
            <v>FIN Approval - Internal</v>
          </cell>
          <cell r="D905">
            <v>18</v>
          </cell>
          <cell r="E905" t="str">
            <v>APPROVED</v>
          </cell>
          <cell r="F905">
            <v>43250</v>
          </cell>
          <cell r="G905">
            <v>43464</v>
          </cell>
          <cell r="H905">
            <v>118132.76</v>
          </cell>
          <cell r="I905" t="str">
            <v>FIN Submission</v>
          </cell>
          <cell r="J905">
            <v>43661</v>
          </cell>
        </row>
        <row r="906">
          <cell r="A906" t="str">
            <v>C0003739</v>
          </cell>
          <cell r="B906" t="str">
            <v>POT Turbine Valve Refurbishment</v>
          </cell>
          <cell r="C906" t="str">
            <v>FIN Approval - Internal</v>
          </cell>
          <cell r="D906">
            <v>21</v>
          </cell>
          <cell r="E906" t="str">
            <v>APPROVED</v>
          </cell>
          <cell r="F906">
            <v>43250</v>
          </cell>
          <cell r="G906">
            <v>43554</v>
          </cell>
          <cell r="H906">
            <v>453631.16</v>
          </cell>
          <cell r="I906" t="str">
            <v>FIN Submission</v>
          </cell>
          <cell r="J906">
            <v>43661</v>
          </cell>
        </row>
        <row r="907">
          <cell r="A907" t="str">
            <v>C0002641</v>
          </cell>
          <cell r="B907" t="str">
            <v>TUC1 South Vacuum Pump Replacement</v>
          </cell>
          <cell r="C907" t="str">
            <v>FIN Approval - Internal</v>
          </cell>
          <cell r="D907">
            <v>23</v>
          </cell>
          <cell r="E907" t="str">
            <v>APPROVED</v>
          </cell>
          <cell r="F907">
            <v>43084</v>
          </cell>
          <cell r="G907">
            <v>43617</v>
          </cell>
          <cell r="H907">
            <v>58862.22</v>
          </cell>
          <cell r="I907" t="str">
            <v>FIN Submission</v>
          </cell>
          <cell r="J907">
            <v>43661</v>
          </cell>
        </row>
        <row r="908">
          <cell r="A908" t="str">
            <v>52245</v>
          </cell>
          <cell r="B908" t="str">
            <v>PHB Trancel Screw Refurbishment</v>
          </cell>
          <cell r="C908" t="str">
            <v>FIN Approval - Internal</v>
          </cell>
          <cell r="D908">
            <v>25</v>
          </cell>
          <cell r="E908" t="str">
            <v>APPROVED</v>
          </cell>
          <cell r="F908">
            <v>43311</v>
          </cell>
          <cell r="G908">
            <v>43556</v>
          </cell>
          <cell r="H908">
            <v>79665.56</v>
          </cell>
          <cell r="I908" t="str">
            <v>FIN Submission</v>
          </cell>
          <cell r="J908">
            <v>43661</v>
          </cell>
        </row>
        <row r="909">
          <cell r="A909" t="str">
            <v>52274</v>
          </cell>
          <cell r="B909" t="str">
            <v>POT - Coal chute refurbishments</v>
          </cell>
          <cell r="C909" t="str">
            <v>FIN Approval - Internal</v>
          </cell>
          <cell r="D909">
            <v>25</v>
          </cell>
          <cell r="E909" t="str">
            <v>APPROVED</v>
          </cell>
          <cell r="F909">
            <v>43191</v>
          </cell>
          <cell r="G909">
            <v>43617</v>
          </cell>
          <cell r="H909">
            <v>73525.37</v>
          </cell>
          <cell r="I909" t="str">
            <v>FIN Submission</v>
          </cell>
          <cell r="J909">
            <v>43661</v>
          </cell>
        </row>
        <row r="910">
          <cell r="A910" t="str">
            <v>52291</v>
          </cell>
          <cell r="B910" t="str">
            <v>POT 4160V motor controls upgrade</v>
          </cell>
          <cell r="C910" t="str">
            <v>FIN Approval - Internal</v>
          </cell>
          <cell r="D910">
            <v>25</v>
          </cell>
          <cell r="E910" t="str">
            <v>APPROVED</v>
          </cell>
          <cell r="F910">
            <v>43250</v>
          </cell>
          <cell r="G910">
            <v>43464</v>
          </cell>
          <cell r="H910">
            <v>193497.07</v>
          </cell>
          <cell r="I910" t="str">
            <v>FIN Submission</v>
          </cell>
          <cell r="J910">
            <v>43661</v>
          </cell>
        </row>
        <row r="911">
          <cell r="A911" t="str">
            <v>52249</v>
          </cell>
          <cell r="B911" t="str">
            <v>POT Breaker Replacements / Upgrades</v>
          </cell>
          <cell r="C911" t="str">
            <v>FIN Approval - Internal</v>
          </cell>
          <cell r="D911">
            <v>25</v>
          </cell>
          <cell r="E911" t="str">
            <v>APPROVED</v>
          </cell>
          <cell r="F911">
            <v>43191</v>
          </cell>
          <cell r="G911">
            <v>43525</v>
          </cell>
          <cell r="H911">
            <v>92720.52</v>
          </cell>
          <cell r="I911" t="str">
            <v>FIN Submission</v>
          </cell>
          <cell r="J911">
            <v>43661</v>
          </cell>
        </row>
        <row r="912">
          <cell r="A912" t="str">
            <v>52281</v>
          </cell>
          <cell r="B912" t="str">
            <v>POT Refurbish South air compressor</v>
          </cell>
          <cell r="C912" t="str">
            <v>FIN Approval - Internal</v>
          </cell>
          <cell r="D912">
            <v>25</v>
          </cell>
          <cell r="E912" t="str">
            <v>APPROVED</v>
          </cell>
          <cell r="F912">
            <v>43344</v>
          </cell>
          <cell r="G912">
            <v>43617</v>
          </cell>
          <cell r="H912">
            <v>43967.96</v>
          </cell>
          <cell r="I912" t="str">
            <v>FIN Submission</v>
          </cell>
          <cell r="J912">
            <v>43661</v>
          </cell>
        </row>
        <row r="913">
          <cell r="A913" t="str">
            <v>52240</v>
          </cell>
          <cell r="B913" t="str">
            <v>TUC2 Chimney Refurbishment</v>
          </cell>
          <cell r="C913" t="str">
            <v>FIN Approval - Internal</v>
          </cell>
          <cell r="D913">
            <v>25</v>
          </cell>
          <cell r="E913" t="str">
            <v>APPROVED</v>
          </cell>
          <cell r="F913">
            <v>43266</v>
          </cell>
          <cell r="G913">
            <v>43646</v>
          </cell>
          <cell r="H913">
            <v>70477.42</v>
          </cell>
          <cell r="I913" t="str">
            <v>FIN Submission</v>
          </cell>
          <cell r="J913">
            <v>43661</v>
          </cell>
        </row>
        <row r="914">
          <cell r="A914" t="str">
            <v>51854</v>
          </cell>
          <cell r="B914" t="str">
            <v>PHB - Conveyors and Handling System</v>
          </cell>
          <cell r="C914" t="str">
            <v>FIN Approval - Internal</v>
          </cell>
          <cell r="D914">
            <v>26</v>
          </cell>
          <cell r="E914" t="str">
            <v>APPROVED</v>
          </cell>
          <cell r="F914">
            <v>43464</v>
          </cell>
          <cell r="G914">
            <v>43615</v>
          </cell>
          <cell r="H914">
            <v>200231.23</v>
          </cell>
          <cell r="I914" t="str">
            <v>FIN Submission</v>
          </cell>
          <cell r="J914">
            <v>43661</v>
          </cell>
        </row>
        <row r="915">
          <cell r="A915" t="str">
            <v>51818</v>
          </cell>
          <cell r="B915" t="str">
            <v>PHB Boiler Refurbishment 2018</v>
          </cell>
          <cell r="C915" t="str">
            <v>FIN Approval - Internal</v>
          </cell>
          <cell r="D915">
            <v>26</v>
          </cell>
          <cell r="E915" t="str">
            <v>APPROVED</v>
          </cell>
          <cell r="F915">
            <v>43434</v>
          </cell>
          <cell r="G915">
            <v>43585</v>
          </cell>
          <cell r="H915">
            <v>517201.85</v>
          </cell>
          <cell r="I915" t="str">
            <v>FIN Submission</v>
          </cell>
          <cell r="J915">
            <v>43661</v>
          </cell>
        </row>
        <row r="916">
          <cell r="A916" t="str">
            <v>51774-SJ31</v>
          </cell>
          <cell r="B916" t="str">
            <v>POT - UU CW repairs and replacement</v>
          </cell>
          <cell r="C916" t="str">
            <v>FIN Approval - Internal</v>
          </cell>
          <cell r="D916">
            <v>29</v>
          </cell>
          <cell r="E916" t="str">
            <v>APPROVED</v>
          </cell>
          <cell r="F916">
            <v>43220</v>
          </cell>
          <cell r="G916">
            <v>43465</v>
          </cell>
          <cell r="H916">
            <v>149265.22</v>
          </cell>
          <cell r="I916" t="str">
            <v>FIN Submission</v>
          </cell>
          <cell r="J916">
            <v>43661</v>
          </cell>
        </row>
        <row r="917">
          <cell r="A917" t="str">
            <v>51528-SI60</v>
          </cell>
          <cell r="B917" t="str">
            <v>TUC2 UU Rep Fireside Corroded Water</v>
          </cell>
          <cell r="C917" t="str">
            <v>FIN Approval - Internal</v>
          </cell>
          <cell r="D917">
            <v>29</v>
          </cell>
          <cell r="E917" t="str">
            <v>APPROVED</v>
          </cell>
          <cell r="F917">
            <v>42897</v>
          </cell>
          <cell r="G917">
            <v>43646</v>
          </cell>
          <cell r="H917">
            <v>83116.08</v>
          </cell>
          <cell r="I917" t="str">
            <v>FIN Submission</v>
          </cell>
          <cell r="J917">
            <v>43661</v>
          </cell>
        </row>
        <row r="918">
          <cell r="A918" t="str">
            <v>51852</v>
          </cell>
          <cell r="B918" t="str">
            <v>POT Coal Mill Overhaul 2018</v>
          </cell>
          <cell r="C918" t="str">
            <v>FIN Approval - Internal</v>
          </cell>
          <cell r="D918">
            <v>31</v>
          </cell>
          <cell r="E918" t="str">
            <v>APPROVED</v>
          </cell>
          <cell r="F918">
            <v>43344</v>
          </cell>
          <cell r="G918">
            <v>43606</v>
          </cell>
          <cell r="H918">
            <v>392516.69</v>
          </cell>
          <cell r="I918" t="str">
            <v>FIN Submission</v>
          </cell>
          <cell r="J918">
            <v>43661</v>
          </cell>
        </row>
        <row r="919">
          <cell r="A919" t="str">
            <v>49678-SH88</v>
          </cell>
          <cell r="B919" t="str">
            <v xml:space="preserve">TUC2 Replace Secondary Air Damper </v>
          </cell>
          <cell r="C919" t="str">
            <v>FIN Approval - Internal</v>
          </cell>
          <cell r="D919">
            <v>43</v>
          </cell>
          <cell r="E919" t="str">
            <v>APPROVED</v>
          </cell>
          <cell r="F919">
            <v>42916</v>
          </cell>
          <cell r="G919">
            <v>43646</v>
          </cell>
          <cell r="H919">
            <v>116270.64</v>
          </cell>
          <cell r="I919" t="str">
            <v>FIN Submission</v>
          </cell>
          <cell r="J919">
            <v>43661</v>
          </cell>
        </row>
        <row r="920">
          <cell r="A920" t="str">
            <v>49519-SI30</v>
          </cell>
          <cell r="B920" t="str">
            <v>POT - Asbestos management 2017</v>
          </cell>
          <cell r="C920" t="str">
            <v>FIN Approval - Internal</v>
          </cell>
          <cell r="D920">
            <v>46</v>
          </cell>
          <cell r="E920" t="str">
            <v>APPROVED</v>
          </cell>
          <cell r="F920">
            <v>43099</v>
          </cell>
          <cell r="G920">
            <v>43374</v>
          </cell>
          <cell r="H920">
            <v>147292.72</v>
          </cell>
          <cell r="I920" t="str">
            <v>FIN Submission</v>
          </cell>
          <cell r="J920">
            <v>43661</v>
          </cell>
        </row>
        <row r="921">
          <cell r="A921" t="str">
            <v>49463-SH66</v>
          </cell>
          <cell r="B921" t="str">
            <v>POT - Coal mill overhauls 2017</v>
          </cell>
          <cell r="C921" t="str">
            <v>FIN Approval - Internal</v>
          </cell>
          <cell r="D921">
            <v>46</v>
          </cell>
          <cell r="E921" t="str">
            <v>APPROVED</v>
          </cell>
          <cell r="F921">
            <v>43099</v>
          </cell>
          <cell r="G921">
            <v>43279</v>
          </cell>
          <cell r="H921">
            <v>501140.44</v>
          </cell>
          <cell r="I921" t="str">
            <v>FIN Submission</v>
          </cell>
          <cell r="J921">
            <v>43661</v>
          </cell>
        </row>
        <row r="922">
          <cell r="A922" t="str">
            <v>49420-SH47</v>
          </cell>
          <cell r="B922" t="str">
            <v>POT - Plant siding 2017</v>
          </cell>
          <cell r="C922" t="str">
            <v>FIN Approval - Internal</v>
          </cell>
          <cell r="D922">
            <v>46</v>
          </cell>
          <cell r="E922" t="str">
            <v>APPROVED</v>
          </cell>
          <cell r="F922">
            <v>43070</v>
          </cell>
          <cell r="G922">
            <v>43463</v>
          </cell>
          <cell r="H922">
            <v>237209.94</v>
          </cell>
          <cell r="I922" t="str">
            <v>FIN Submission</v>
          </cell>
          <cell r="J922">
            <v>43661</v>
          </cell>
        </row>
        <row r="923">
          <cell r="A923" t="str">
            <v>49516-SI75</v>
          </cell>
          <cell r="B923" t="str">
            <v>PTMT - Fire system refurbishment</v>
          </cell>
          <cell r="C923" t="str">
            <v>FIN Approval - Internal</v>
          </cell>
          <cell r="D923">
            <v>46</v>
          </cell>
          <cell r="E923" t="str">
            <v>APPROVED</v>
          </cell>
          <cell r="F923">
            <v>43174</v>
          </cell>
          <cell r="G923">
            <v>43400</v>
          </cell>
          <cell r="H923">
            <v>146970.79999999999</v>
          </cell>
          <cell r="I923" t="str">
            <v>FIN Submission</v>
          </cell>
          <cell r="J923">
            <v>43661</v>
          </cell>
        </row>
        <row r="924">
          <cell r="A924" t="str">
            <v>49514-SI29</v>
          </cell>
          <cell r="B924" t="str">
            <v>POT - LP heaters level controls</v>
          </cell>
          <cell r="C924" t="str">
            <v>FIN Approval - Internal</v>
          </cell>
          <cell r="D924">
            <v>47</v>
          </cell>
          <cell r="E924" t="str">
            <v>APPROVED</v>
          </cell>
          <cell r="F924">
            <v>43220</v>
          </cell>
          <cell r="G924">
            <v>43464</v>
          </cell>
          <cell r="H924">
            <v>89260.18</v>
          </cell>
          <cell r="I924" t="str">
            <v>FIN Submission</v>
          </cell>
          <cell r="J924">
            <v>43661</v>
          </cell>
        </row>
        <row r="925">
          <cell r="A925" t="str">
            <v>49517-SI73</v>
          </cell>
          <cell r="B925" t="str">
            <v>PTMT - Replace dock transformer</v>
          </cell>
          <cell r="C925" t="str">
            <v>FIN Approval - Internal</v>
          </cell>
          <cell r="D925">
            <v>47</v>
          </cell>
          <cell r="E925" t="str">
            <v>APPROVED</v>
          </cell>
          <cell r="F925">
            <v>43066</v>
          </cell>
          <cell r="G925">
            <v>43247</v>
          </cell>
          <cell r="H925">
            <v>69916.09</v>
          </cell>
          <cell r="I925" t="str">
            <v>FIN Submission</v>
          </cell>
          <cell r="J925">
            <v>43661</v>
          </cell>
        </row>
        <row r="926">
          <cell r="A926" t="str">
            <v>49279</v>
          </cell>
          <cell r="B926" t="str">
            <v>POT - Bay door replacements 2017</v>
          </cell>
          <cell r="C926" t="str">
            <v>FIN Approval - Internal</v>
          </cell>
          <cell r="D926">
            <v>48</v>
          </cell>
          <cell r="E926" t="str">
            <v>APPROVED</v>
          </cell>
          <cell r="F926">
            <v>43187</v>
          </cell>
          <cell r="G926">
            <v>43462</v>
          </cell>
          <cell r="H926">
            <v>64018.14</v>
          </cell>
          <cell r="I926" t="str">
            <v>FIN Submission</v>
          </cell>
          <cell r="J926">
            <v>43661</v>
          </cell>
        </row>
        <row r="927">
          <cell r="A927" t="str">
            <v>48931-SF98</v>
          </cell>
          <cell r="B927" t="str">
            <v>TUC UU Grease Pit and Effluent Pipi</v>
          </cell>
          <cell r="C927" t="str">
            <v>FIN Approval - Internal</v>
          </cell>
          <cell r="D927">
            <v>51</v>
          </cell>
          <cell r="E927" t="str">
            <v>APPROVED</v>
          </cell>
          <cell r="F927">
            <v>42765</v>
          </cell>
          <cell r="G927">
            <v>43646</v>
          </cell>
          <cell r="H927">
            <v>218008.65</v>
          </cell>
          <cell r="I927" t="str">
            <v>FIN Submission</v>
          </cell>
          <cell r="J927">
            <v>43661</v>
          </cell>
        </row>
        <row r="928">
          <cell r="A928" t="str">
            <v>48018-SF86</v>
          </cell>
          <cell r="B928" t="str">
            <v>TUC1 IP HP Turbine Blading Refurb</v>
          </cell>
          <cell r="C928" t="str">
            <v>FIN Approval - Internal</v>
          </cell>
          <cell r="D928">
            <v>58</v>
          </cell>
          <cell r="E928" t="str">
            <v>APPROVED</v>
          </cell>
          <cell r="F928">
            <v>42673</v>
          </cell>
          <cell r="G928">
            <v>43646</v>
          </cell>
          <cell r="H928">
            <v>1109243.9099999999</v>
          </cell>
          <cell r="I928" t="str">
            <v>FIN Submission</v>
          </cell>
          <cell r="J928">
            <v>43661</v>
          </cell>
        </row>
        <row r="929">
          <cell r="A929" t="str">
            <v>47711-SG48</v>
          </cell>
          <cell r="B929" t="str">
            <v>POT - PI interface to DCS</v>
          </cell>
          <cell r="C929" t="str">
            <v>FIN Approval - Internal</v>
          </cell>
          <cell r="D929">
            <v>59</v>
          </cell>
          <cell r="E929" t="str">
            <v>APPROVED</v>
          </cell>
          <cell r="F929">
            <v>43464</v>
          </cell>
          <cell r="G929">
            <v>43464</v>
          </cell>
          <cell r="H929">
            <v>28381.87</v>
          </cell>
          <cell r="I929" t="str">
            <v>FIN Submission</v>
          </cell>
          <cell r="J929">
            <v>43661</v>
          </cell>
        </row>
        <row r="930">
          <cell r="A930" t="str">
            <v>46487-SE57</v>
          </cell>
          <cell r="B930" t="str">
            <v>TUC - 4160V &amp; 600V Breakers 2015</v>
          </cell>
          <cell r="C930" t="str">
            <v>FIN Approval - Internal</v>
          </cell>
          <cell r="D930">
            <v>73</v>
          </cell>
          <cell r="E930" t="str">
            <v>APPROVED</v>
          </cell>
          <cell r="F930">
            <v>42931</v>
          </cell>
          <cell r="G930">
            <v>43646</v>
          </cell>
          <cell r="H930">
            <v>223497.78</v>
          </cell>
          <cell r="I930" t="str">
            <v>FIN Submission</v>
          </cell>
          <cell r="J930">
            <v>43661</v>
          </cell>
        </row>
        <row r="931">
          <cell r="A931" t="str">
            <v>46465-SE89</v>
          </cell>
          <cell r="B931" t="str">
            <v>TUC2 Turbine Valve Replace</v>
          </cell>
          <cell r="C931" t="str">
            <v>FIN Approval - Internal</v>
          </cell>
          <cell r="D931">
            <v>73</v>
          </cell>
          <cell r="E931" t="str">
            <v>APPROVED</v>
          </cell>
          <cell r="F931">
            <v>42904</v>
          </cell>
          <cell r="G931">
            <v>43646</v>
          </cell>
          <cell r="H931">
            <v>496420.9</v>
          </cell>
          <cell r="I931" t="str">
            <v>FIN Submission</v>
          </cell>
          <cell r="J931">
            <v>43661</v>
          </cell>
        </row>
        <row r="932">
          <cell r="A932" t="str">
            <v>45493-SC33</v>
          </cell>
          <cell r="B932" t="str">
            <v>TUC2 - Replace Hydrazine with DEHA</v>
          </cell>
          <cell r="C932" t="str">
            <v>FIN Approval - Internal</v>
          </cell>
          <cell r="D932">
            <v>85</v>
          </cell>
          <cell r="E932" t="str">
            <v>APPROVED</v>
          </cell>
          <cell r="F932">
            <v>42931</v>
          </cell>
          <cell r="G932">
            <v>43646</v>
          </cell>
          <cell r="H932">
            <v>156892.57999999999</v>
          </cell>
          <cell r="I932" t="str">
            <v>FIN Submission</v>
          </cell>
          <cell r="J932">
            <v>43661</v>
          </cell>
        </row>
        <row r="933">
          <cell r="A933" t="str">
            <v>45494-SC34</v>
          </cell>
          <cell r="B933" t="str">
            <v>TUC3 - Replace Hydrazine with DEHA</v>
          </cell>
          <cell r="C933" t="str">
            <v>FIN Approval - Internal</v>
          </cell>
          <cell r="D933">
            <v>85</v>
          </cell>
          <cell r="E933" t="str">
            <v>APPROVED</v>
          </cell>
          <cell r="F933">
            <v>42931</v>
          </cell>
          <cell r="G933">
            <v>43646</v>
          </cell>
          <cell r="H933">
            <v>170673.14</v>
          </cell>
          <cell r="I933" t="str">
            <v>FIN Submission</v>
          </cell>
          <cell r="J933">
            <v>43661</v>
          </cell>
        </row>
        <row r="934">
          <cell r="A934" t="str">
            <v>30163-SA40</v>
          </cell>
          <cell r="B934" t="str">
            <v xml:space="preserve">POT - Control room and permit room </v>
          </cell>
          <cell r="C934" t="str">
            <v>FIN Approval - Internal</v>
          </cell>
          <cell r="D934">
            <v>198</v>
          </cell>
          <cell r="E934" t="str">
            <v>APPROVED</v>
          </cell>
          <cell r="F934">
            <v>43131</v>
          </cell>
          <cell r="G934">
            <v>43441</v>
          </cell>
          <cell r="H934">
            <v>425373.76</v>
          </cell>
          <cell r="I934" t="str">
            <v>FIN Submission</v>
          </cell>
          <cell r="J934">
            <v>43661</v>
          </cell>
        </row>
        <row r="935">
          <cell r="A935" t="str">
            <v>51806</v>
          </cell>
          <cell r="B935" t="str">
            <v>LIN Mill Refurbishment 2018</v>
          </cell>
          <cell r="C935" t="str">
            <v>FIN Approval - Internal</v>
          </cell>
          <cell r="D935">
            <v>26</v>
          </cell>
          <cell r="E935" t="str">
            <v>APPROVED</v>
          </cell>
          <cell r="F935">
            <v>43394</v>
          </cell>
          <cell r="G935">
            <v>43576</v>
          </cell>
          <cell r="H935">
            <v>791432.03</v>
          </cell>
          <cell r="I935" t="str">
            <v>FIN Submission</v>
          </cell>
          <cell r="J935">
            <v>43644</v>
          </cell>
        </row>
        <row r="936">
          <cell r="A936" t="str">
            <v>51671-SI78</v>
          </cell>
          <cell r="B936" t="str">
            <v>LIN2 UU Valve Replacement</v>
          </cell>
          <cell r="C936" t="str">
            <v>FIN Approval - Internal</v>
          </cell>
          <cell r="D936">
            <v>26</v>
          </cell>
          <cell r="E936" t="str">
            <v>APPROVED</v>
          </cell>
          <cell r="F936">
            <v>42916</v>
          </cell>
          <cell r="G936">
            <v>43465</v>
          </cell>
          <cell r="H936">
            <v>110627.97</v>
          </cell>
          <cell r="I936" t="str">
            <v>FIN Submission</v>
          </cell>
          <cell r="J936">
            <v>43644</v>
          </cell>
        </row>
        <row r="937">
          <cell r="A937" t="str">
            <v>51955-SJ33</v>
          </cell>
          <cell r="B937" t="str">
            <v>LIN1 UU HE Piping Refurbishment</v>
          </cell>
          <cell r="C937" t="str">
            <v>FIN Approval - Internal</v>
          </cell>
          <cell r="D937">
            <v>27</v>
          </cell>
          <cell r="E937" t="str">
            <v>APPROVED</v>
          </cell>
          <cell r="F937">
            <v>42988</v>
          </cell>
          <cell r="G937">
            <v>43444</v>
          </cell>
          <cell r="H937">
            <v>170836.29</v>
          </cell>
          <cell r="I937" t="str">
            <v>FIN Submission</v>
          </cell>
          <cell r="J937">
            <v>43644</v>
          </cell>
        </row>
        <row r="938">
          <cell r="A938" t="str">
            <v>50071-P120</v>
          </cell>
          <cell r="B938" t="str">
            <v>T&amp;D Insp. Application Upgrade Ph 1</v>
          </cell>
          <cell r="C938" t="str">
            <v>FIN Approval - Internal</v>
          </cell>
          <cell r="D938">
            <v>41</v>
          </cell>
          <cell r="E938" t="str">
            <v>APPROVED</v>
          </cell>
          <cell r="F938">
            <v>43131</v>
          </cell>
          <cell r="G938">
            <v>43616</v>
          </cell>
          <cell r="H938">
            <v>652956.93000000005</v>
          </cell>
          <cell r="I938" t="str">
            <v>FIN Submission</v>
          </cell>
          <cell r="J938">
            <v>43644</v>
          </cell>
        </row>
        <row r="939">
          <cell r="A939" t="str">
            <v>49427-SH30</v>
          </cell>
          <cell r="B939" t="str">
            <v>LIN Coal Plant Structural Refurb.</v>
          </cell>
          <cell r="C939" t="str">
            <v>FIN Approval - Internal</v>
          </cell>
          <cell r="D939">
            <v>44</v>
          </cell>
          <cell r="E939" t="str">
            <v>APPROVED</v>
          </cell>
          <cell r="F939">
            <v>42994</v>
          </cell>
          <cell r="G939">
            <v>43450</v>
          </cell>
          <cell r="H939">
            <v>466203.69</v>
          </cell>
          <cell r="I939" t="str">
            <v>FIN Submission</v>
          </cell>
          <cell r="J939">
            <v>43644</v>
          </cell>
        </row>
        <row r="940">
          <cell r="A940" t="str">
            <v>49449-SI03</v>
          </cell>
          <cell r="B940" t="str">
            <v>LIN GSCW Line Replacement</v>
          </cell>
          <cell r="C940" t="str">
            <v>FIN Approval - Internal</v>
          </cell>
          <cell r="D940">
            <v>44</v>
          </cell>
          <cell r="E940" t="str">
            <v>APPROVED</v>
          </cell>
          <cell r="F940">
            <v>42995</v>
          </cell>
          <cell r="G940">
            <v>43816</v>
          </cell>
          <cell r="H940">
            <v>146123.51</v>
          </cell>
          <cell r="I940" t="str">
            <v>FIN Submission</v>
          </cell>
          <cell r="J940">
            <v>43644</v>
          </cell>
        </row>
        <row r="941">
          <cell r="A941" t="str">
            <v>49453-SH75</v>
          </cell>
          <cell r="B941" t="str">
            <v>LIN Stores Fire Protection Upgrade</v>
          </cell>
          <cell r="C941" t="str">
            <v>FIN Approval - Internal</v>
          </cell>
          <cell r="D941">
            <v>44</v>
          </cell>
          <cell r="E941" t="str">
            <v>APPROVED</v>
          </cell>
          <cell r="F941">
            <v>42995</v>
          </cell>
          <cell r="G941">
            <v>43451</v>
          </cell>
          <cell r="H941">
            <v>59290</v>
          </cell>
          <cell r="I941" t="str">
            <v>FIN Submission</v>
          </cell>
          <cell r="J941">
            <v>43644</v>
          </cell>
        </row>
        <row r="942">
          <cell r="A942" t="str">
            <v>49438-SI74</v>
          </cell>
          <cell r="B942" t="str">
            <v>LIN A Gallery Floor Refurbishment</v>
          </cell>
          <cell r="C942" t="str">
            <v>FIN Approval - Internal</v>
          </cell>
          <cell r="D942">
            <v>45</v>
          </cell>
          <cell r="E942" t="str">
            <v>APPROVED</v>
          </cell>
          <cell r="F942">
            <v>43055</v>
          </cell>
          <cell r="G942">
            <v>43465</v>
          </cell>
          <cell r="H942">
            <v>404299.13</v>
          </cell>
          <cell r="I942" t="str">
            <v>FIN Submission</v>
          </cell>
          <cell r="J942">
            <v>43644</v>
          </cell>
        </row>
        <row r="943">
          <cell r="A943" t="str">
            <v>48973-SG29</v>
          </cell>
          <cell r="B943" t="str">
            <v>LIN34 PE Precipitator Upgrade</v>
          </cell>
          <cell r="C943" t="str">
            <v>FIN Approval - Internal</v>
          </cell>
          <cell r="D943">
            <v>49</v>
          </cell>
          <cell r="E943" t="str">
            <v>APPROVED</v>
          </cell>
          <cell r="F943">
            <v>42543</v>
          </cell>
          <cell r="G943">
            <v>43091</v>
          </cell>
          <cell r="H943">
            <v>231822.17</v>
          </cell>
          <cell r="I943" t="str">
            <v>FIN Submission</v>
          </cell>
          <cell r="J943">
            <v>43644</v>
          </cell>
        </row>
        <row r="944">
          <cell r="A944" t="str">
            <v>46587-T856</v>
          </cell>
          <cell r="B944" t="str">
            <v>Metro Voltage Support Add Capacitor</v>
          </cell>
          <cell r="C944" t="str">
            <v>FIN Approval - Internal</v>
          </cell>
          <cell r="D944">
            <v>77</v>
          </cell>
          <cell r="E944" t="str">
            <v>APPROVED</v>
          </cell>
          <cell r="F944">
            <v>42873</v>
          </cell>
          <cell r="G944">
            <v>43615</v>
          </cell>
          <cell r="H944">
            <v>3234346.57</v>
          </cell>
          <cell r="I944" t="str">
            <v>FIN Submission</v>
          </cell>
          <cell r="J944">
            <v>43644</v>
          </cell>
        </row>
        <row r="945">
          <cell r="A945" t="str">
            <v>43227-P943</v>
          </cell>
          <cell r="B945" t="str">
            <v>2014 RTU Replacements</v>
          </cell>
          <cell r="C945" t="str">
            <v>FIN Approval - Internal</v>
          </cell>
          <cell r="D945">
            <v>108</v>
          </cell>
          <cell r="E945" t="str">
            <v>APPROVED</v>
          </cell>
          <cell r="F945">
            <v>42704</v>
          </cell>
          <cell r="G945">
            <v>43585</v>
          </cell>
          <cell r="H945">
            <v>857093.31</v>
          </cell>
          <cell r="I945" t="str">
            <v>FIN Submission</v>
          </cell>
          <cell r="J945">
            <v>43644</v>
          </cell>
        </row>
        <row r="946">
          <cell r="A946" t="str">
            <v>C0012119</v>
          </cell>
          <cell r="B946" t="str">
            <v xml:space="preserve">HYD UU WRC Diesel Tank Replacement </v>
          </cell>
          <cell r="C946" t="str">
            <v>FIN Approval - Internal</v>
          </cell>
          <cell r="D946">
            <v>10</v>
          </cell>
          <cell r="E946" t="str">
            <v>APPROVED</v>
          </cell>
          <cell r="F946">
            <v>43404</v>
          </cell>
          <cell r="G946">
            <v>43616</v>
          </cell>
          <cell r="H946">
            <v>240784.17</v>
          </cell>
          <cell r="I946" t="str">
            <v>FIN Submission</v>
          </cell>
          <cell r="J946">
            <v>43635</v>
          </cell>
        </row>
        <row r="947">
          <cell r="A947" t="str">
            <v>52016-SJ36</v>
          </cell>
          <cell r="B947" t="str">
            <v>LIN2 UU BA SCC Refurbishment</v>
          </cell>
          <cell r="C947" t="str">
            <v>FIN Approval - Internal</v>
          </cell>
          <cell r="D947">
            <v>25</v>
          </cell>
          <cell r="E947" t="str">
            <v>APPROVED</v>
          </cell>
          <cell r="F947">
            <v>43022</v>
          </cell>
          <cell r="G947">
            <v>43646</v>
          </cell>
          <cell r="H947">
            <v>248737.33</v>
          </cell>
          <cell r="I947" t="str">
            <v>FIN Submission</v>
          </cell>
          <cell r="J947">
            <v>43635</v>
          </cell>
        </row>
        <row r="948">
          <cell r="A948" t="str">
            <v>51777-SI83</v>
          </cell>
          <cell r="B948" t="str">
            <v>LIN1 UU Air Heater Refurb 2017</v>
          </cell>
          <cell r="C948" t="str">
            <v>FIN Approval - Internal</v>
          </cell>
          <cell r="D948">
            <v>27</v>
          </cell>
          <cell r="E948" t="str">
            <v>APPROVED</v>
          </cell>
          <cell r="F948">
            <v>42929</v>
          </cell>
          <cell r="G948">
            <v>43082</v>
          </cell>
          <cell r="H948">
            <v>51030.13</v>
          </cell>
          <cell r="I948" t="str">
            <v>FIN Submission</v>
          </cell>
          <cell r="J948">
            <v>43635</v>
          </cell>
        </row>
        <row r="949">
          <cell r="A949" t="str">
            <v>51778-SI86</v>
          </cell>
          <cell r="B949" t="str">
            <v>LIN1 UU Bottom Ash Refurb 2017</v>
          </cell>
          <cell r="C949" t="str">
            <v>FIN Approval - Internal</v>
          </cell>
          <cell r="D949">
            <v>27</v>
          </cell>
          <cell r="E949" t="str">
            <v>APPROVED</v>
          </cell>
          <cell r="F949">
            <v>42929</v>
          </cell>
          <cell r="G949">
            <v>43447</v>
          </cell>
          <cell r="H949">
            <v>203155.89</v>
          </cell>
          <cell r="I949" t="str">
            <v>FIN Submission</v>
          </cell>
          <cell r="J949">
            <v>43635</v>
          </cell>
        </row>
        <row r="950">
          <cell r="A950" t="str">
            <v>51776-SI79</v>
          </cell>
          <cell r="B950" t="str">
            <v>LIN1 UU Burner Frnt Refurb2017</v>
          </cell>
          <cell r="C950" t="str">
            <v>FIN Approval - Internal</v>
          </cell>
          <cell r="D950">
            <v>27</v>
          </cell>
          <cell r="E950" t="str">
            <v>APPROVED</v>
          </cell>
          <cell r="F950">
            <v>42929</v>
          </cell>
          <cell r="G950">
            <v>43465</v>
          </cell>
          <cell r="H950">
            <v>240778.83</v>
          </cell>
          <cell r="I950" t="str">
            <v>FIN Submission</v>
          </cell>
          <cell r="J950">
            <v>43635</v>
          </cell>
        </row>
        <row r="951">
          <cell r="A951" t="str">
            <v>51784-SI96</v>
          </cell>
          <cell r="B951" t="str">
            <v>LIN1 UU Condenser Door Replacement</v>
          </cell>
          <cell r="C951" t="str">
            <v>FIN Approval - Internal</v>
          </cell>
          <cell r="D951">
            <v>27</v>
          </cell>
          <cell r="E951" t="str">
            <v>APPROVED</v>
          </cell>
          <cell r="F951">
            <v>42931</v>
          </cell>
          <cell r="G951">
            <v>43084</v>
          </cell>
          <cell r="H951">
            <v>36441.47</v>
          </cell>
          <cell r="I951" t="str">
            <v>FIN Submission</v>
          </cell>
          <cell r="J951">
            <v>43635</v>
          </cell>
        </row>
        <row r="952">
          <cell r="A952" t="str">
            <v>51783-SI87</v>
          </cell>
          <cell r="B952" t="str">
            <v>LIN3 UU Turbine Control Valve Refur</v>
          </cell>
          <cell r="C952" t="str">
            <v>FIN Approval - Internal</v>
          </cell>
          <cell r="D952">
            <v>27</v>
          </cell>
          <cell r="E952" t="str">
            <v>APPROVED</v>
          </cell>
          <cell r="F952">
            <v>42931</v>
          </cell>
          <cell r="G952">
            <v>43465</v>
          </cell>
          <cell r="H952">
            <v>155029.91</v>
          </cell>
          <cell r="I952" t="str">
            <v>FIN Submission</v>
          </cell>
          <cell r="J952">
            <v>43635</v>
          </cell>
        </row>
        <row r="953">
          <cell r="A953" t="str">
            <v>51237-SI39</v>
          </cell>
          <cell r="B953" t="str">
            <v>LIN UU BFP Balance Piston Refurb.</v>
          </cell>
          <cell r="C953" t="str">
            <v>FIN Approval - Internal</v>
          </cell>
          <cell r="D953">
            <v>28</v>
          </cell>
          <cell r="E953" t="str">
            <v>APPROVED</v>
          </cell>
          <cell r="F953">
            <v>42916</v>
          </cell>
          <cell r="G953">
            <v>43464</v>
          </cell>
          <cell r="H953">
            <v>144805.54999999999</v>
          </cell>
          <cell r="I953" t="str">
            <v>FIN Submission</v>
          </cell>
          <cell r="J953">
            <v>43635</v>
          </cell>
        </row>
        <row r="954">
          <cell r="A954" t="str">
            <v>50317-SH38</v>
          </cell>
          <cell r="B954" t="str">
            <v>LIN UU Plant Siding Refurbishment</v>
          </cell>
          <cell r="C954" t="str">
            <v>FIN Approval - Internal</v>
          </cell>
          <cell r="D954">
            <v>34</v>
          </cell>
          <cell r="E954" t="str">
            <v>APPROVED</v>
          </cell>
          <cell r="F954">
            <v>42699</v>
          </cell>
          <cell r="G954">
            <v>43455</v>
          </cell>
          <cell r="H954">
            <v>147432.28</v>
          </cell>
          <cell r="I954" t="str">
            <v>FIN Submission</v>
          </cell>
          <cell r="J954">
            <v>43635</v>
          </cell>
        </row>
        <row r="955">
          <cell r="A955" t="str">
            <v>49697-SJ35</v>
          </cell>
          <cell r="B955" t="str">
            <v>TUC2 Replace Oil Purifier and I&amp;C H</v>
          </cell>
          <cell r="C955" t="str">
            <v>FIN Approval - Internal</v>
          </cell>
          <cell r="D955">
            <v>42</v>
          </cell>
          <cell r="E955" t="str">
            <v>APPROVED</v>
          </cell>
          <cell r="F955">
            <v>43434</v>
          </cell>
          <cell r="G955">
            <v>43585</v>
          </cell>
          <cell r="H955">
            <v>158536.65</v>
          </cell>
          <cell r="I955" t="str">
            <v>FIN Submission</v>
          </cell>
          <cell r="J955">
            <v>43635</v>
          </cell>
        </row>
        <row r="956">
          <cell r="A956" t="str">
            <v>49436-SI02</v>
          </cell>
          <cell r="B956" t="str">
            <v>LIN Reclaim Feeder Refurbishment</v>
          </cell>
          <cell r="C956" t="str">
            <v>FIN Approval - Internal</v>
          </cell>
          <cell r="D956">
            <v>44</v>
          </cell>
          <cell r="E956" t="str">
            <v>APPROVED</v>
          </cell>
          <cell r="F956">
            <v>43389</v>
          </cell>
          <cell r="G956">
            <v>43617</v>
          </cell>
          <cell r="H956">
            <v>248389.09</v>
          </cell>
          <cell r="I956" t="str">
            <v>FIN Submission</v>
          </cell>
          <cell r="J956">
            <v>43635</v>
          </cell>
        </row>
        <row r="957">
          <cell r="A957" t="str">
            <v>49455-SH52</v>
          </cell>
          <cell r="B957" t="str">
            <v>LIN1 Bus Duct IR Window Install</v>
          </cell>
          <cell r="C957" t="str">
            <v>FIN Approval - Internal</v>
          </cell>
          <cell r="D957">
            <v>44</v>
          </cell>
          <cell r="E957" t="str">
            <v>APPROVED</v>
          </cell>
          <cell r="F957">
            <v>42903</v>
          </cell>
          <cell r="G957">
            <v>43086</v>
          </cell>
          <cell r="H957">
            <v>135442.75</v>
          </cell>
          <cell r="I957" t="str">
            <v>FIN Submission</v>
          </cell>
          <cell r="J957">
            <v>43635</v>
          </cell>
        </row>
        <row r="958">
          <cell r="A958" t="str">
            <v>49040-G204</v>
          </cell>
          <cell r="B958" t="str">
            <v>CT's LM6000 TUC4 Cable Replacement</v>
          </cell>
          <cell r="C958" t="str">
            <v>FIN Approval - Internal</v>
          </cell>
          <cell r="D958">
            <v>49</v>
          </cell>
          <cell r="E958" t="str">
            <v>APPROVED</v>
          </cell>
          <cell r="F958">
            <v>42674</v>
          </cell>
          <cell r="G958">
            <v>43646</v>
          </cell>
          <cell r="H958">
            <v>54369.33</v>
          </cell>
          <cell r="I958" t="str">
            <v>FIN Submission</v>
          </cell>
          <cell r="J958">
            <v>43635</v>
          </cell>
        </row>
        <row r="959">
          <cell r="A959" t="str">
            <v>48834-G201</v>
          </cell>
          <cell r="B959" t="str">
            <v>Burnside Fuel Piping Replacement</v>
          </cell>
          <cell r="C959" t="str">
            <v>FIN Approval - Internal</v>
          </cell>
          <cell r="D959">
            <v>54</v>
          </cell>
          <cell r="E959" t="str">
            <v>APPROVED</v>
          </cell>
          <cell r="F959">
            <v>43281</v>
          </cell>
          <cell r="G959">
            <v>43646</v>
          </cell>
          <cell r="H959">
            <v>181692.58</v>
          </cell>
          <cell r="I959" t="str">
            <v>FIN Submission</v>
          </cell>
          <cell r="J959">
            <v>43635</v>
          </cell>
        </row>
        <row r="960">
          <cell r="A960" t="str">
            <v>47733-SE60</v>
          </cell>
          <cell r="B960" t="str">
            <v>TUC2 Boiler Feed Pump Motor Refurb</v>
          </cell>
          <cell r="C960" t="str">
            <v>FIN Approval - Internal</v>
          </cell>
          <cell r="D960">
            <v>60</v>
          </cell>
          <cell r="E960" t="str">
            <v>APPROVED</v>
          </cell>
          <cell r="F960">
            <v>42536</v>
          </cell>
          <cell r="G960">
            <v>43585</v>
          </cell>
          <cell r="H960">
            <v>81977.149999999994</v>
          </cell>
          <cell r="I960" t="str">
            <v>FIN Submission</v>
          </cell>
          <cell r="J960">
            <v>43635</v>
          </cell>
        </row>
        <row r="961">
          <cell r="A961" t="str">
            <v>46585-P979</v>
          </cell>
          <cell r="B961" t="str">
            <v>Upgrade Planning Tools</v>
          </cell>
          <cell r="C961" t="str">
            <v>FIN Approval - Internal</v>
          </cell>
          <cell r="D961">
            <v>71</v>
          </cell>
          <cell r="E961" t="str">
            <v>APPROVED</v>
          </cell>
          <cell r="F961">
            <v>42460</v>
          </cell>
          <cell r="G961">
            <v>43585</v>
          </cell>
          <cell r="H961">
            <v>247739.05</v>
          </cell>
          <cell r="I961" t="str">
            <v>FIN Submission</v>
          </cell>
          <cell r="J961">
            <v>43635</v>
          </cell>
        </row>
        <row r="962">
          <cell r="A962" t="str">
            <v>45733-G173</v>
          </cell>
          <cell r="B962" t="str">
            <v>BGT3 U&amp;U Generator Refurbishment</v>
          </cell>
          <cell r="C962" t="str">
            <v>FIN Approval - Internal</v>
          </cell>
          <cell r="D962">
            <v>90</v>
          </cell>
          <cell r="E962" t="str">
            <v>APPROVED</v>
          </cell>
          <cell r="F962">
            <v>42078</v>
          </cell>
          <cell r="G962">
            <v>43554</v>
          </cell>
          <cell r="H962">
            <v>2620930.9300000002</v>
          </cell>
          <cell r="I962" t="str">
            <v>FIN Submission</v>
          </cell>
          <cell r="J962">
            <v>43635</v>
          </cell>
        </row>
        <row r="963">
          <cell r="A963" t="str">
            <v>C0009178</v>
          </cell>
          <cell r="B963" t="str">
            <v>TUC2 High Energy Piping Refurbishme</v>
          </cell>
          <cell r="C963" t="str">
            <v>FIN Approval - Internal</v>
          </cell>
          <cell r="D963">
            <v>13</v>
          </cell>
          <cell r="E963" t="str">
            <v>APPROVED</v>
          </cell>
          <cell r="F963">
            <v>43266</v>
          </cell>
          <cell r="G963">
            <v>43585</v>
          </cell>
          <cell r="H963">
            <v>104909.52</v>
          </cell>
          <cell r="I963" t="str">
            <v>FIN Submission</v>
          </cell>
          <cell r="J963">
            <v>43595</v>
          </cell>
        </row>
        <row r="964">
          <cell r="A964" t="str">
            <v>52039</v>
          </cell>
          <cell r="B964" t="str">
            <v>LIN Automated Sweeper</v>
          </cell>
          <cell r="C964" t="str">
            <v>FIN Approval - Internal</v>
          </cell>
          <cell r="D964">
            <v>24</v>
          </cell>
          <cell r="E964" t="str">
            <v>APPROVED</v>
          </cell>
          <cell r="F964">
            <v>43202</v>
          </cell>
          <cell r="G964">
            <v>43454</v>
          </cell>
          <cell r="H964">
            <v>112985.96</v>
          </cell>
          <cell r="I964" t="str">
            <v>FIN Submission</v>
          </cell>
          <cell r="J964">
            <v>43595</v>
          </cell>
        </row>
        <row r="965">
          <cell r="A965" t="str">
            <v>49434-SH32</v>
          </cell>
          <cell r="B965" t="str">
            <v>LIN CW Screen Refurbishment</v>
          </cell>
          <cell r="C965" t="str">
            <v>FIN Approval - Internal</v>
          </cell>
          <cell r="D965">
            <v>44</v>
          </cell>
          <cell r="E965" t="str">
            <v>APPROVED</v>
          </cell>
          <cell r="F965">
            <v>43024</v>
          </cell>
          <cell r="G965">
            <v>43206</v>
          </cell>
          <cell r="H965">
            <v>334389.71999999997</v>
          </cell>
          <cell r="I965" t="str">
            <v>FIN Submission</v>
          </cell>
          <cell r="J965">
            <v>43595</v>
          </cell>
        </row>
        <row r="966">
          <cell r="A966" t="str">
            <v>49443-SH50</v>
          </cell>
          <cell r="B966" t="str">
            <v>LIN Coal System Guard Upgrade Ph3</v>
          </cell>
          <cell r="C966" t="str">
            <v>FIN Approval - Internal</v>
          </cell>
          <cell r="D966">
            <v>44</v>
          </cell>
          <cell r="E966" t="str">
            <v>APPROVED</v>
          </cell>
          <cell r="F966">
            <v>42933</v>
          </cell>
          <cell r="G966">
            <v>43086</v>
          </cell>
          <cell r="H966">
            <v>105887.79</v>
          </cell>
          <cell r="I966" t="str">
            <v>FIN Submission</v>
          </cell>
          <cell r="J966">
            <v>43595</v>
          </cell>
        </row>
        <row r="967">
          <cell r="A967" t="str">
            <v>49445-SI01</v>
          </cell>
          <cell r="B967" t="str">
            <v>LIN Feeder Controls Upgrades</v>
          </cell>
          <cell r="C967" t="str">
            <v>FIN Approval - Internal</v>
          </cell>
          <cell r="D967">
            <v>44</v>
          </cell>
          <cell r="E967" t="str">
            <v>APPROVED</v>
          </cell>
          <cell r="F967">
            <v>42995</v>
          </cell>
          <cell r="G967">
            <v>43086</v>
          </cell>
          <cell r="H967">
            <v>70489.94</v>
          </cell>
          <cell r="I967" t="str">
            <v>FIN Submission</v>
          </cell>
          <cell r="J967">
            <v>43595</v>
          </cell>
        </row>
        <row r="968">
          <cell r="A968" t="str">
            <v>49431-SH33</v>
          </cell>
          <cell r="B968" t="str">
            <v>LIN Mill Refurbishment 2017</v>
          </cell>
          <cell r="C968" t="str">
            <v>FIN Approval - Internal</v>
          </cell>
          <cell r="D968">
            <v>44</v>
          </cell>
          <cell r="E968" t="str">
            <v>APPROVED</v>
          </cell>
          <cell r="F968">
            <v>43024</v>
          </cell>
          <cell r="G968">
            <v>43206</v>
          </cell>
          <cell r="H968">
            <v>763974.17</v>
          </cell>
          <cell r="I968" t="str">
            <v>FIN Submission</v>
          </cell>
          <cell r="J968">
            <v>43595</v>
          </cell>
        </row>
        <row r="969">
          <cell r="A969" t="str">
            <v>49439-SH49</v>
          </cell>
          <cell r="B969" t="str">
            <v>LIN Plant Siding Replacement</v>
          </cell>
          <cell r="C969" t="str">
            <v>FIN Approval - Internal</v>
          </cell>
          <cell r="D969">
            <v>44</v>
          </cell>
          <cell r="E969" t="str">
            <v>APPROVED</v>
          </cell>
          <cell r="F969">
            <v>43055</v>
          </cell>
          <cell r="G969">
            <v>43450</v>
          </cell>
          <cell r="H969">
            <v>243027.55</v>
          </cell>
          <cell r="I969" t="str">
            <v>FIN Submission</v>
          </cell>
          <cell r="J969">
            <v>43595</v>
          </cell>
        </row>
        <row r="970">
          <cell r="A970" t="str">
            <v>49444-SH74</v>
          </cell>
          <cell r="B970" t="str">
            <v>LIN1 Misc Valve Refurbishment</v>
          </cell>
          <cell r="C970" t="str">
            <v>FIN Approval - Internal</v>
          </cell>
          <cell r="D970">
            <v>44</v>
          </cell>
          <cell r="E970" t="str">
            <v>APPROVED</v>
          </cell>
          <cell r="F970">
            <v>42903</v>
          </cell>
          <cell r="G970">
            <v>43451</v>
          </cell>
          <cell r="H970">
            <v>189057.29</v>
          </cell>
          <cell r="I970" t="str">
            <v>FIN Submission</v>
          </cell>
          <cell r="J970">
            <v>43595</v>
          </cell>
        </row>
        <row r="971">
          <cell r="A971" t="str">
            <v>49440-SH35</v>
          </cell>
          <cell r="B971" t="str">
            <v>LIN 1&amp;2 GSCW Piping Reconditioning</v>
          </cell>
          <cell r="C971" t="str">
            <v>FIN Approval - Internal</v>
          </cell>
          <cell r="D971">
            <v>45</v>
          </cell>
          <cell r="E971" t="str">
            <v>APPROVED</v>
          </cell>
          <cell r="F971">
            <v>42903</v>
          </cell>
          <cell r="G971">
            <v>43617</v>
          </cell>
          <cell r="H971">
            <v>243394.2</v>
          </cell>
          <cell r="I971" t="str">
            <v>FIN Submission</v>
          </cell>
          <cell r="J971">
            <v>43595</v>
          </cell>
        </row>
        <row r="972">
          <cell r="A972" t="str">
            <v>49433-SH67</v>
          </cell>
          <cell r="B972" t="str">
            <v>LIN1 SH5 Tube Replacement</v>
          </cell>
          <cell r="C972" t="str">
            <v>FIN Approval - Internal</v>
          </cell>
          <cell r="D972">
            <v>45</v>
          </cell>
          <cell r="E972" t="str">
            <v>APPROVED</v>
          </cell>
          <cell r="F972">
            <v>42902</v>
          </cell>
          <cell r="G972">
            <v>43450</v>
          </cell>
          <cell r="H972">
            <v>930560.85</v>
          </cell>
          <cell r="I972" t="str">
            <v>FIN Submission</v>
          </cell>
          <cell r="J972">
            <v>43595</v>
          </cell>
        </row>
        <row r="973">
          <cell r="A973" t="str">
            <v>49151-SH29</v>
          </cell>
          <cell r="B973" t="str">
            <v>LIN UU Grating Refurbishment</v>
          </cell>
          <cell r="C973" t="str">
            <v>FIN Approval - Internal</v>
          </cell>
          <cell r="D973">
            <v>46</v>
          </cell>
          <cell r="E973" t="str">
            <v>APPROVED</v>
          </cell>
          <cell r="F973">
            <v>43073</v>
          </cell>
          <cell r="G973">
            <v>43438</v>
          </cell>
          <cell r="H973">
            <v>246359.23</v>
          </cell>
          <cell r="I973" t="str">
            <v>FIN Submission</v>
          </cell>
          <cell r="J973">
            <v>43595</v>
          </cell>
        </row>
        <row r="974">
          <cell r="A974" t="str">
            <v>48776-SH28</v>
          </cell>
          <cell r="B974" t="str">
            <v>LIN Plant Lighting Upgrade</v>
          </cell>
          <cell r="C974" t="str">
            <v>FIN Approval - Internal</v>
          </cell>
          <cell r="D974">
            <v>48</v>
          </cell>
          <cell r="E974" t="str">
            <v>APPROVED</v>
          </cell>
          <cell r="F974">
            <v>42914</v>
          </cell>
          <cell r="G974">
            <v>43465</v>
          </cell>
          <cell r="H974">
            <v>228902.11</v>
          </cell>
          <cell r="I974" t="str">
            <v>FIN Submission</v>
          </cell>
          <cell r="J974">
            <v>43595</v>
          </cell>
        </row>
        <row r="975">
          <cell r="A975" t="str">
            <v>48631-H755</v>
          </cell>
          <cell r="B975" t="str">
            <v>HYD - Gulch Spillway Refurbishment</v>
          </cell>
          <cell r="C975" t="str">
            <v>FIN Approval - Internal</v>
          </cell>
          <cell r="D975">
            <v>52</v>
          </cell>
          <cell r="E975" t="str">
            <v>APPROVED</v>
          </cell>
          <cell r="F975">
            <v>43404</v>
          </cell>
          <cell r="G975">
            <v>43539</v>
          </cell>
          <cell r="H975">
            <v>637103.18999999994</v>
          </cell>
          <cell r="I975" t="str">
            <v>FIN Submission</v>
          </cell>
          <cell r="J975">
            <v>43595</v>
          </cell>
        </row>
        <row r="976">
          <cell r="A976" t="str">
            <v>47963-SI62</v>
          </cell>
          <cell r="B976" t="str">
            <v>LIN Waste Water Pipe Stand Refurb.</v>
          </cell>
          <cell r="C976" t="str">
            <v>FIN Approval - Internal</v>
          </cell>
          <cell r="D976">
            <v>56</v>
          </cell>
          <cell r="E976" t="str">
            <v>APPROVED</v>
          </cell>
          <cell r="F976">
            <v>43090</v>
          </cell>
          <cell r="G976">
            <v>43455</v>
          </cell>
          <cell r="H976">
            <v>128091.12</v>
          </cell>
          <cell r="I976" t="str">
            <v>FIN Submission</v>
          </cell>
          <cell r="J976">
            <v>43595</v>
          </cell>
        </row>
        <row r="977">
          <cell r="A977" t="str">
            <v>47867-SF77</v>
          </cell>
          <cell r="B977" t="str">
            <v>LIN Bunker Chute Sealing Phase 2</v>
          </cell>
          <cell r="C977" t="str">
            <v>FIN Approval - Internal</v>
          </cell>
          <cell r="D977">
            <v>57</v>
          </cell>
          <cell r="E977" t="str">
            <v>APPROVED</v>
          </cell>
          <cell r="F977">
            <v>42735</v>
          </cell>
          <cell r="G977">
            <v>43830</v>
          </cell>
          <cell r="H977">
            <v>238127.8</v>
          </cell>
          <cell r="I977" t="str">
            <v>FIN Submission</v>
          </cell>
          <cell r="J977">
            <v>43595</v>
          </cell>
        </row>
        <row r="978">
          <cell r="A978" t="str">
            <v>47761-SH37</v>
          </cell>
          <cell r="B978" t="str">
            <v>LIN1 Boiler Refurbishment 2016</v>
          </cell>
          <cell r="C978" t="str">
            <v>FIN Approval - Internal</v>
          </cell>
          <cell r="D978">
            <v>57</v>
          </cell>
          <cell r="E978" t="str">
            <v>APPROVED</v>
          </cell>
          <cell r="F978">
            <v>42907</v>
          </cell>
          <cell r="G978">
            <v>43425</v>
          </cell>
          <cell r="H978">
            <v>603844.55000000005</v>
          </cell>
          <cell r="I978" t="str">
            <v>FIN Submission</v>
          </cell>
          <cell r="J978">
            <v>43595</v>
          </cell>
        </row>
        <row r="979">
          <cell r="A979" t="str">
            <v>47960-SH83</v>
          </cell>
          <cell r="B979" t="str">
            <v>LIN1 Control Valve Rebuild</v>
          </cell>
          <cell r="C979" t="str">
            <v>FIN Approval - Internal</v>
          </cell>
          <cell r="D979">
            <v>58</v>
          </cell>
          <cell r="E979" t="str">
            <v>APPROVED</v>
          </cell>
          <cell r="F979">
            <v>42916</v>
          </cell>
          <cell r="G979">
            <v>43252</v>
          </cell>
          <cell r="H979">
            <v>242974.62</v>
          </cell>
          <cell r="I979" t="str">
            <v>FIN Submission</v>
          </cell>
          <cell r="J979">
            <v>43595</v>
          </cell>
        </row>
        <row r="980">
          <cell r="A980" t="str">
            <v>47116-SE14</v>
          </cell>
          <cell r="B980" t="str">
            <v>LIN Flyash System Upgrade</v>
          </cell>
          <cell r="C980" t="str">
            <v>FIN Approval - Internal</v>
          </cell>
          <cell r="D980">
            <v>65</v>
          </cell>
          <cell r="E980" t="str">
            <v>APPROVED</v>
          </cell>
          <cell r="F980">
            <v>42928</v>
          </cell>
          <cell r="G980">
            <v>43446</v>
          </cell>
          <cell r="H980">
            <v>249854.35</v>
          </cell>
          <cell r="I980" t="str">
            <v>FIN Submission</v>
          </cell>
          <cell r="J980">
            <v>43595</v>
          </cell>
        </row>
        <row r="981">
          <cell r="A981" t="str">
            <v>52231</v>
          </cell>
          <cell r="B981" t="str">
            <v>TUC6 Turbine Bypass Valve Refurbish</v>
          </cell>
          <cell r="C981" t="str">
            <v>FIN Approval - Internal</v>
          </cell>
          <cell r="D981">
            <v>24</v>
          </cell>
          <cell r="E981" t="str">
            <v>APPROVED</v>
          </cell>
          <cell r="F981">
            <v>43373</v>
          </cell>
          <cell r="G981">
            <v>43585</v>
          </cell>
          <cell r="H981">
            <v>131850.29</v>
          </cell>
          <cell r="I981" t="str">
            <v>FIN Submission</v>
          </cell>
          <cell r="J981">
            <v>43584</v>
          </cell>
        </row>
        <row r="982">
          <cell r="A982" t="str">
            <v>51492-D858</v>
          </cell>
          <cell r="B982" t="str">
            <v>87W-312G Tilley Point Rd Rebuild</v>
          </cell>
          <cell r="C982" t="str">
            <v>FIN Approval - Internal</v>
          </cell>
          <cell r="D982">
            <v>28</v>
          </cell>
          <cell r="E982" t="str">
            <v>APPROVED</v>
          </cell>
          <cell r="F982">
            <v>43159</v>
          </cell>
          <cell r="G982">
            <v>43585</v>
          </cell>
          <cell r="H982">
            <v>57834</v>
          </cell>
          <cell r="I982" t="str">
            <v>FIN Submission</v>
          </cell>
          <cell r="J982">
            <v>43584</v>
          </cell>
        </row>
        <row r="983">
          <cell r="A983" t="str">
            <v>51355</v>
          </cell>
          <cell r="B983" t="str">
            <v>TUC3 Opacity Meter Replacement</v>
          </cell>
          <cell r="C983" t="str">
            <v>FIN Approval - Internal</v>
          </cell>
          <cell r="D983">
            <v>28</v>
          </cell>
          <cell r="E983" t="str">
            <v>APPROVED</v>
          </cell>
          <cell r="F983">
            <v>43189</v>
          </cell>
          <cell r="G983">
            <v>43585</v>
          </cell>
          <cell r="H983">
            <v>39633.65</v>
          </cell>
          <cell r="I983" t="str">
            <v>FIN Submission</v>
          </cell>
          <cell r="J983">
            <v>43584</v>
          </cell>
        </row>
        <row r="984">
          <cell r="A984" t="str">
            <v>51316-SI41</v>
          </cell>
          <cell r="B984" t="str">
            <v xml:space="preserve">TUC2 UU Reheat ESV Cover Hardware </v>
          </cell>
          <cell r="C984" t="str">
            <v>FIN Approval - Internal</v>
          </cell>
          <cell r="D984">
            <v>29</v>
          </cell>
          <cell r="E984" t="str">
            <v>APPROVED</v>
          </cell>
          <cell r="F984">
            <v>42916</v>
          </cell>
          <cell r="G984">
            <v>43585</v>
          </cell>
          <cell r="H984">
            <v>84172.5</v>
          </cell>
          <cell r="I984" t="str">
            <v>FIN Submission</v>
          </cell>
          <cell r="J984">
            <v>43584</v>
          </cell>
        </row>
        <row r="985">
          <cell r="A985" t="str">
            <v>50720-D809</v>
          </cell>
          <cell r="B985" t="str">
            <v>641V-311G-Indian Rd-Rebuild</v>
          </cell>
          <cell r="C985" t="str">
            <v>FIN Approval - Internal</v>
          </cell>
          <cell r="D985">
            <v>31</v>
          </cell>
          <cell r="E985" t="str">
            <v>APPROVED</v>
          </cell>
          <cell r="F985">
            <v>42824</v>
          </cell>
          <cell r="G985">
            <v>43585</v>
          </cell>
          <cell r="H985">
            <v>172883.13</v>
          </cell>
          <cell r="I985" t="str">
            <v>FIN Submission</v>
          </cell>
          <cell r="J985">
            <v>43584</v>
          </cell>
        </row>
        <row r="986">
          <cell r="A986" t="str">
            <v>49677-SI66</v>
          </cell>
          <cell r="B986" t="str">
            <v>TUC2 Replace Bailey Control Valves</v>
          </cell>
          <cell r="C986" t="str">
            <v>FIN Approval - Internal</v>
          </cell>
          <cell r="D986">
            <v>42</v>
          </cell>
          <cell r="E986" t="str">
            <v>APPROVED</v>
          </cell>
          <cell r="F986">
            <v>42916</v>
          </cell>
          <cell r="G986">
            <v>43585</v>
          </cell>
          <cell r="H986">
            <v>57094.77</v>
          </cell>
          <cell r="I986" t="str">
            <v>FIN Submission</v>
          </cell>
          <cell r="J986">
            <v>43584</v>
          </cell>
        </row>
        <row r="987">
          <cell r="A987" t="str">
            <v>49426-D753</v>
          </cell>
          <cell r="B987" t="str">
            <v>IR 489 DAL Agricultural Campus</v>
          </cell>
          <cell r="C987" t="str">
            <v>FIN Approval - Internal</v>
          </cell>
          <cell r="D987">
            <v>43</v>
          </cell>
          <cell r="E987" t="str">
            <v>APPROVED</v>
          </cell>
          <cell r="F987">
            <v>43251</v>
          </cell>
          <cell r="G987">
            <v>43496</v>
          </cell>
          <cell r="H987">
            <v>0</v>
          </cell>
          <cell r="I987" t="str">
            <v>FIN Submission</v>
          </cell>
          <cell r="J987">
            <v>43584</v>
          </cell>
        </row>
        <row r="988">
          <cell r="A988" t="str">
            <v>49773-T922</v>
          </cell>
          <cell r="B988" t="str">
            <v>L5530 Wagners Brook Line Relocatio</v>
          </cell>
          <cell r="C988" t="str">
            <v>FIN Approval - Internal</v>
          </cell>
          <cell r="D988">
            <v>43</v>
          </cell>
          <cell r="E988" t="str">
            <v>APPROVED</v>
          </cell>
          <cell r="F988">
            <v>42625</v>
          </cell>
          <cell r="G988">
            <v>43524</v>
          </cell>
          <cell r="H988">
            <v>0</v>
          </cell>
          <cell r="I988" t="str">
            <v>FIN Submission</v>
          </cell>
          <cell r="J988">
            <v>43584</v>
          </cell>
        </row>
        <row r="989">
          <cell r="A989" t="str">
            <v>49862-D846</v>
          </cell>
          <cell r="B989" t="str">
            <v>50N-410 Rebuild Trenton</v>
          </cell>
          <cell r="C989" t="str">
            <v>FIN Approval - Internal</v>
          </cell>
          <cell r="D989">
            <v>44</v>
          </cell>
          <cell r="E989" t="str">
            <v>APPROVED</v>
          </cell>
          <cell r="F989">
            <v>42947</v>
          </cell>
          <cell r="G989">
            <v>43585</v>
          </cell>
          <cell r="H989">
            <v>486542.03</v>
          </cell>
          <cell r="I989" t="str">
            <v>FIN Submission</v>
          </cell>
          <cell r="J989">
            <v>43584</v>
          </cell>
        </row>
        <row r="990">
          <cell r="A990" t="str">
            <v>45813-D569</v>
          </cell>
          <cell r="B990" t="str">
            <v>IR 262 Millbrook</v>
          </cell>
          <cell r="C990" t="str">
            <v>FIN Approval - Internal</v>
          </cell>
          <cell r="D990">
            <v>47</v>
          </cell>
          <cell r="E990" t="str">
            <v>APPROVED</v>
          </cell>
          <cell r="F990">
            <v>41958</v>
          </cell>
          <cell r="G990">
            <v>43465</v>
          </cell>
          <cell r="H990">
            <v>0</v>
          </cell>
          <cell r="I990" t="str">
            <v>FIN Submission</v>
          </cell>
          <cell r="J990">
            <v>43584</v>
          </cell>
        </row>
        <row r="991">
          <cell r="A991" t="str">
            <v>47472-D659</v>
          </cell>
          <cell r="B991" t="str">
            <v>IR 448/469 Hardwood Lands</v>
          </cell>
          <cell r="C991" t="str">
            <v>FIN Approval - Internal</v>
          </cell>
          <cell r="D991">
            <v>48</v>
          </cell>
          <cell r="E991" t="str">
            <v>APPROVED</v>
          </cell>
          <cell r="F991">
            <v>42704</v>
          </cell>
          <cell r="G991">
            <v>43465</v>
          </cell>
          <cell r="H991">
            <v>0</v>
          </cell>
          <cell r="I991" t="str">
            <v>FIN Submission</v>
          </cell>
          <cell r="J991">
            <v>43584</v>
          </cell>
        </row>
        <row r="992">
          <cell r="A992" t="str">
            <v>48991-T907</v>
          </cell>
          <cell r="B992" t="str">
            <v>L5028 Lafarge Relocate</v>
          </cell>
          <cell r="C992" t="str">
            <v>FIN Approval - Internal</v>
          </cell>
          <cell r="D992">
            <v>48</v>
          </cell>
          <cell r="E992" t="str">
            <v>APPROVED</v>
          </cell>
          <cell r="F992">
            <v>42551</v>
          </cell>
          <cell r="G992">
            <v>43524</v>
          </cell>
          <cell r="H992">
            <v>0</v>
          </cell>
          <cell r="I992" t="str">
            <v>FIN Submission</v>
          </cell>
          <cell r="J992">
            <v>43584</v>
          </cell>
        </row>
        <row r="993">
          <cell r="A993" t="str">
            <v>45772-D565</v>
          </cell>
          <cell r="B993" t="str">
            <v>IR 421 Hassests</v>
          </cell>
          <cell r="C993" t="str">
            <v>FIN Approval - Internal</v>
          </cell>
          <cell r="D993">
            <v>49</v>
          </cell>
          <cell r="E993" t="str">
            <v>APPROVED</v>
          </cell>
          <cell r="F993">
            <v>42035</v>
          </cell>
          <cell r="G993">
            <v>43465</v>
          </cell>
          <cell r="H993">
            <v>0</v>
          </cell>
          <cell r="I993" t="str">
            <v>FIN Submission</v>
          </cell>
          <cell r="J993">
            <v>43584</v>
          </cell>
        </row>
        <row r="994">
          <cell r="A994" t="str">
            <v>48651-G202</v>
          </cell>
          <cell r="B994" t="str">
            <v>LM6000 Flame Detector Cable</v>
          </cell>
          <cell r="C994" t="str">
            <v>FIN Approval - Internal</v>
          </cell>
          <cell r="D994">
            <v>49</v>
          </cell>
          <cell r="E994" t="str">
            <v>APPROVED</v>
          </cell>
          <cell r="F994">
            <v>42581</v>
          </cell>
          <cell r="G994">
            <v>43554</v>
          </cell>
          <cell r="H994">
            <v>6308.79</v>
          </cell>
          <cell r="I994" t="str">
            <v>FIN Submission</v>
          </cell>
          <cell r="J994">
            <v>43584</v>
          </cell>
        </row>
        <row r="995">
          <cell r="A995" t="str">
            <v>48435-G197</v>
          </cell>
          <cell r="B995" t="str">
            <v>LM6000 Common NOx equipment kit</v>
          </cell>
          <cell r="C995" t="str">
            <v>FIN Approval - Internal</v>
          </cell>
          <cell r="D995">
            <v>50</v>
          </cell>
          <cell r="E995" t="str">
            <v>APPROVED</v>
          </cell>
          <cell r="F995">
            <v>42459</v>
          </cell>
          <cell r="G995">
            <v>43466</v>
          </cell>
          <cell r="H995">
            <v>95009.21</v>
          </cell>
          <cell r="I995" t="str">
            <v>FIN Submission</v>
          </cell>
          <cell r="J995">
            <v>43584</v>
          </cell>
        </row>
        <row r="996">
          <cell r="A996" t="str">
            <v>47892-SE75</v>
          </cell>
          <cell r="B996" t="str">
            <v>TUC1 Turbine Valves</v>
          </cell>
          <cell r="C996" t="str">
            <v>FIN Approval - Internal</v>
          </cell>
          <cell r="D996">
            <v>56</v>
          </cell>
          <cell r="E996" t="str">
            <v>APPROVED</v>
          </cell>
          <cell r="F996">
            <v>42658</v>
          </cell>
          <cell r="G996">
            <v>43373</v>
          </cell>
          <cell r="H996">
            <v>245443.58</v>
          </cell>
          <cell r="I996" t="str">
            <v>FIN Submission</v>
          </cell>
          <cell r="J996">
            <v>43584</v>
          </cell>
        </row>
        <row r="997">
          <cell r="A997" t="str">
            <v>47053-D638</v>
          </cell>
          <cell r="B997" t="str">
            <v>IR 497 East Amherst</v>
          </cell>
          <cell r="C997" t="str">
            <v>FIN Approval - Internal</v>
          </cell>
          <cell r="D997">
            <v>57</v>
          </cell>
          <cell r="E997" t="str">
            <v>APPROVED</v>
          </cell>
          <cell r="F997">
            <v>42673</v>
          </cell>
          <cell r="G997">
            <v>43343</v>
          </cell>
          <cell r="H997">
            <v>0</v>
          </cell>
          <cell r="I997" t="str">
            <v>FIN Submission</v>
          </cell>
          <cell r="J997">
            <v>43584</v>
          </cell>
        </row>
        <row r="998">
          <cell r="A998" t="str">
            <v>47211-SE08</v>
          </cell>
          <cell r="B998" t="str">
            <v>TUC1 South CW Pump Refurb</v>
          </cell>
          <cell r="C998" t="str">
            <v>FIN Approval - Internal</v>
          </cell>
          <cell r="D998">
            <v>57</v>
          </cell>
          <cell r="E998" t="str">
            <v>APPROVED</v>
          </cell>
          <cell r="F998">
            <v>42124</v>
          </cell>
          <cell r="G998">
            <v>43281</v>
          </cell>
          <cell r="H998">
            <v>155519.57</v>
          </cell>
          <cell r="I998" t="str">
            <v>FIN Submission</v>
          </cell>
          <cell r="J998">
            <v>43584</v>
          </cell>
        </row>
        <row r="999">
          <cell r="A999" t="str">
            <v>47756-D703</v>
          </cell>
          <cell r="B999" t="str">
            <v>36V-303 Reconductor Middle Dyke Rd</v>
          </cell>
          <cell r="C999" t="str">
            <v>FIN Approval - Internal</v>
          </cell>
          <cell r="D999">
            <v>64</v>
          </cell>
          <cell r="E999" t="str">
            <v>APPROVED</v>
          </cell>
          <cell r="F999">
            <v>42766</v>
          </cell>
          <cell r="G999">
            <v>43555</v>
          </cell>
          <cell r="H999">
            <v>287678.08000000002</v>
          </cell>
          <cell r="I999" t="str">
            <v>FIN Submission</v>
          </cell>
          <cell r="J999">
            <v>43584</v>
          </cell>
        </row>
        <row r="1000">
          <cell r="A1000" t="str">
            <v>44773-D521</v>
          </cell>
          <cell r="B1000" t="str">
            <v>IR 417 Gays River</v>
          </cell>
          <cell r="C1000" t="str">
            <v>FIN Approval - Internal</v>
          </cell>
          <cell r="D1000">
            <v>64</v>
          </cell>
          <cell r="E1000" t="str">
            <v>APPROVED</v>
          </cell>
          <cell r="F1000">
            <v>41774</v>
          </cell>
          <cell r="G1000">
            <v>43524</v>
          </cell>
          <cell r="H1000">
            <v>0</v>
          </cell>
          <cell r="I1000" t="str">
            <v>FIN Submission</v>
          </cell>
          <cell r="J1000">
            <v>43584</v>
          </cell>
        </row>
        <row r="1001">
          <cell r="A1001" t="str">
            <v>46835-D614</v>
          </cell>
          <cell r="B1001" t="str">
            <v>IR 162 Terence Bay</v>
          </cell>
          <cell r="C1001" t="str">
            <v>FIN Approval - Internal</v>
          </cell>
          <cell r="D1001">
            <v>68</v>
          </cell>
          <cell r="E1001" t="str">
            <v>APPROVED</v>
          </cell>
          <cell r="F1001">
            <v>42734</v>
          </cell>
          <cell r="G1001">
            <v>43496</v>
          </cell>
          <cell r="H1001">
            <v>0</v>
          </cell>
          <cell r="I1001" t="str">
            <v>FIN Submission</v>
          </cell>
          <cell r="J1001">
            <v>43584</v>
          </cell>
        </row>
        <row r="1002">
          <cell r="A1002" t="str">
            <v>44028-SB42</v>
          </cell>
          <cell r="B1002" t="str">
            <v>TUC3 - U&amp;U N CW Pump Refurbishment</v>
          </cell>
          <cell r="C1002" t="str">
            <v>FIN Approval - Internal</v>
          </cell>
          <cell r="D1002">
            <v>69</v>
          </cell>
          <cell r="E1002" t="str">
            <v>APPROVED</v>
          </cell>
          <cell r="F1002">
            <v>41517</v>
          </cell>
          <cell r="G1002">
            <v>43281</v>
          </cell>
          <cell r="H1002">
            <v>67042.42</v>
          </cell>
          <cell r="I1002" t="str">
            <v>FIN Submission</v>
          </cell>
          <cell r="J1002">
            <v>43584</v>
          </cell>
        </row>
        <row r="1003">
          <cell r="A1003" t="str">
            <v>46459-D596</v>
          </cell>
          <cell r="B1003" t="str">
            <v>103W-312 Borgels Point Deter. Poles</v>
          </cell>
          <cell r="C1003" t="str">
            <v>FIN Approval - Internal</v>
          </cell>
          <cell r="D1003">
            <v>78</v>
          </cell>
          <cell r="E1003" t="str">
            <v>APPROVED</v>
          </cell>
          <cell r="F1003">
            <v>42003</v>
          </cell>
          <cell r="G1003">
            <v>43585</v>
          </cell>
          <cell r="H1003">
            <v>74691.45</v>
          </cell>
          <cell r="I1003" t="str">
            <v>FIN Submission</v>
          </cell>
          <cell r="J1003">
            <v>43584</v>
          </cell>
        </row>
        <row r="1004">
          <cell r="A1004" t="str">
            <v>46398-D609</v>
          </cell>
          <cell r="B1004" t="str">
            <v>20H Spryfield Voltage Conversion</v>
          </cell>
          <cell r="C1004" t="str">
            <v>FIN Approval - Internal</v>
          </cell>
          <cell r="D1004">
            <v>80</v>
          </cell>
          <cell r="E1004" t="str">
            <v>APPROVED</v>
          </cell>
          <cell r="F1004">
            <v>42460</v>
          </cell>
          <cell r="G1004">
            <v>43585</v>
          </cell>
          <cell r="H1004">
            <v>607212.26</v>
          </cell>
          <cell r="I1004" t="str">
            <v>FIN Submission</v>
          </cell>
          <cell r="J1004">
            <v>43584</v>
          </cell>
        </row>
        <row r="1005">
          <cell r="A1005" t="str">
            <v>45615-D541</v>
          </cell>
          <cell r="B1005" t="str">
            <v xml:space="preserve">IR 264 Pockwock </v>
          </cell>
          <cell r="C1005" t="str">
            <v>FIN Approval - Internal</v>
          </cell>
          <cell r="D1005">
            <v>82</v>
          </cell>
          <cell r="E1005" t="str">
            <v>APPROVED</v>
          </cell>
          <cell r="F1005">
            <v>41973</v>
          </cell>
          <cell r="G1005">
            <v>43555</v>
          </cell>
          <cell r="H1005">
            <v>0</v>
          </cell>
          <cell r="I1005" t="str">
            <v>FIN Submission</v>
          </cell>
          <cell r="J1005">
            <v>43584</v>
          </cell>
        </row>
        <row r="1006">
          <cell r="A1006" t="str">
            <v>45770-D568</v>
          </cell>
          <cell r="B1006" t="str">
            <v xml:space="preserve">IR 401 Lucasville </v>
          </cell>
          <cell r="C1006" t="str">
            <v>FIN Approval - Internal</v>
          </cell>
          <cell r="D1006">
            <v>82</v>
          </cell>
          <cell r="E1006" t="str">
            <v>APPROVED</v>
          </cell>
          <cell r="F1006">
            <v>42035</v>
          </cell>
          <cell r="G1006">
            <v>43465</v>
          </cell>
          <cell r="H1006">
            <v>0</v>
          </cell>
          <cell r="I1006" t="str">
            <v>FIN Submission</v>
          </cell>
          <cell r="J1006">
            <v>43584</v>
          </cell>
        </row>
        <row r="1007">
          <cell r="A1007" t="str">
            <v>45550-D557</v>
          </cell>
          <cell r="B1007" t="str">
            <v>Upgrade Port Hood Transfer Scheme</v>
          </cell>
          <cell r="C1007" t="str">
            <v>FIN Approval - Internal</v>
          </cell>
          <cell r="D1007">
            <v>84</v>
          </cell>
          <cell r="E1007" t="str">
            <v>APPROVED</v>
          </cell>
          <cell r="F1007">
            <v>43190</v>
          </cell>
          <cell r="G1007">
            <v>43585</v>
          </cell>
          <cell r="H1007">
            <v>69487.47</v>
          </cell>
          <cell r="I1007" t="str">
            <v>FIN Submission</v>
          </cell>
          <cell r="J1007">
            <v>43584</v>
          </cell>
        </row>
        <row r="1008">
          <cell r="A1008" t="str">
            <v>45287-D529</v>
          </cell>
          <cell r="B1008" t="str">
            <v>IR 388 Forbes Lake</v>
          </cell>
          <cell r="C1008" t="str">
            <v>FIN Approval - Internal</v>
          </cell>
          <cell r="D1008">
            <v>86</v>
          </cell>
          <cell r="E1008" t="str">
            <v>APPROVED</v>
          </cell>
          <cell r="F1008">
            <v>42095</v>
          </cell>
          <cell r="G1008">
            <v>43343</v>
          </cell>
          <cell r="H1008">
            <v>0</v>
          </cell>
          <cell r="I1008" t="str">
            <v>FIN Submission</v>
          </cell>
          <cell r="J1008">
            <v>43584</v>
          </cell>
        </row>
        <row r="1009">
          <cell r="A1009" t="str">
            <v>42587-D419</v>
          </cell>
          <cell r="B1009" t="str">
            <v>IR 274 Lingan</v>
          </cell>
          <cell r="C1009" t="str">
            <v>FIN Approval - Internal</v>
          </cell>
          <cell r="D1009">
            <v>88</v>
          </cell>
          <cell r="E1009" t="str">
            <v>APPROVED</v>
          </cell>
          <cell r="F1009">
            <v>41205</v>
          </cell>
          <cell r="G1009">
            <v>43524</v>
          </cell>
          <cell r="H1009">
            <v>0</v>
          </cell>
          <cell r="I1009" t="str">
            <v>FIN Submission</v>
          </cell>
          <cell r="J1009">
            <v>43584</v>
          </cell>
        </row>
        <row r="1010">
          <cell r="A1010" t="str">
            <v>44566-D509</v>
          </cell>
          <cell r="B1010" t="str">
            <v>IR 319 Three Mile Plain</v>
          </cell>
          <cell r="C1010" t="str">
            <v>FIN Approval - Internal</v>
          </cell>
          <cell r="D1010">
            <v>89</v>
          </cell>
          <cell r="E1010" t="str">
            <v>APPROVED</v>
          </cell>
          <cell r="F1010">
            <v>42003</v>
          </cell>
          <cell r="G1010">
            <v>43465</v>
          </cell>
          <cell r="H1010">
            <v>0</v>
          </cell>
          <cell r="I1010" t="str">
            <v>FIN Submission</v>
          </cell>
          <cell r="J1010">
            <v>43584</v>
          </cell>
        </row>
        <row r="1011">
          <cell r="A1011" t="str">
            <v>44737-SC85</v>
          </cell>
          <cell r="B1011" t="str">
            <v>TUC2 -Battery bank inverter&amp;charger</v>
          </cell>
          <cell r="C1011" t="str">
            <v>FIN Approval - Internal</v>
          </cell>
          <cell r="D1011">
            <v>89</v>
          </cell>
          <cell r="E1011" t="str">
            <v>APPROVED</v>
          </cell>
          <cell r="F1011">
            <v>42781</v>
          </cell>
          <cell r="G1011">
            <v>43585</v>
          </cell>
          <cell r="H1011">
            <v>113646.79</v>
          </cell>
          <cell r="I1011" t="str">
            <v>FIN Submission</v>
          </cell>
          <cell r="J1011">
            <v>43584</v>
          </cell>
        </row>
        <row r="1012">
          <cell r="A1012" t="str">
            <v>43282-D497</v>
          </cell>
          <cell r="B1012" t="str">
            <v>2013 Distribution Feeder Ties</v>
          </cell>
          <cell r="C1012" t="str">
            <v>FIN Approval - Internal</v>
          </cell>
          <cell r="D1012">
            <v>103</v>
          </cell>
          <cell r="E1012" t="str">
            <v>APPROVED</v>
          </cell>
          <cell r="F1012">
            <v>42429</v>
          </cell>
          <cell r="G1012">
            <v>43585</v>
          </cell>
          <cell r="H1012">
            <v>510003.76</v>
          </cell>
          <cell r="I1012" t="str">
            <v>FIN Submission</v>
          </cell>
          <cell r="J1012">
            <v>43584</v>
          </cell>
        </row>
        <row r="1013">
          <cell r="A1013" t="str">
            <v>43278-D517</v>
          </cell>
          <cell r="B1013" t="str">
            <v>Halifax 4kV Conversion Part-1</v>
          </cell>
          <cell r="C1013" t="str">
            <v>FIN Approval - Internal</v>
          </cell>
          <cell r="D1013">
            <v>108</v>
          </cell>
          <cell r="E1013" t="str">
            <v>APPROVED</v>
          </cell>
          <cell r="F1013">
            <v>42916</v>
          </cell>
          <cell r="G1013">
            <v>43555</v>
          </cell>
          <cell r="H1013">
            <v>385352.94</v>
          </cell>
          <cell r="I1013" t="str">
            <v>FIN Submission</v>
          </cell>
          <cell r="J1013">
            <v>43584</v>
          </cell>
        </row>
        <row r="1014">
          <cell r="A1014" t="str">
            <v>41534-D389</v>
          </cell>
          <cell r="B1014" t="str">
            <v>2012 Reliability Technologies Dist.</v>
          </cell>
          <cell r="C1014" t="str">
            <v>FIN Approval - Internal</v>
          </cell>
          <cell r="D1014">
            <v>140</v>
          </cell>
          <cell r="E1014" t="str">
            <v>APPROVED</v>
          </cell>
          <cell r="F1014">
            <v>41751</v>
          </cell>
          <cell r="G1014">
            <v>43585</v>
          </cell>
          <cell r="H1014">
            <v>1258532.93</v>
          </cell>
          <cell r="I1014" t="str">
            <v>FIN Submission</v>
          </cell>
          <cell r="J1014">
            <v>43584</v>
          </cell>
        </row>
        <row r="1015">
          <cell r="A1015" t="str">
            <v>37982-G196</v>
          </cell>
          <cell r="B1015" t="str">
            <v>CT - BGT3 AVR Replacement</v>
          </cell>
          <cell r="C1015" t="str">
            <v>FIN Approval - Internal</v>
          </cell>
          <cell r="D1015">
            <v>184</v>
          </cell>
          <cell r="E1015" t="str">
            <v>APPROVED</v>
          </cell>
          <cell r="F1015">
            <v>42520</v>
          </cell>
          <cell r="G1015">
            <v>43585</v>
          </cell>
          <cell r="H1015">
            <v>93502.55</v>
          </cell>
          <cell r="I1015" t="str">
            <v>FIN Submission</v>
          </cell>
          <cell r="J1015">
            <v>43584</v>
          </cell>
        </row>
        <row r="1016">
          <cell r="A1016" t="str">
            <v>C0001118</v>
          </cell>
          <cell r="B1016" t="str">
            <v>TRE6 CW Stop Logs U&amp;U</v>
          </cell>
          <cell r="C1016" t="str">
            <v>FIN Approval - Internal</v>
          </cell>
          <cell r="D1016">
            <v>16</v>
          </cell>
          <cell r="E1016" t="str">
            <v>APPROVED</v>
          </cell>
          <cell r="F1016">
            <v>43054</v>
          </cell>
          <cell r="G1016">
            <v>43205</v>
          </cell>
          <cell r="H1016">
            <v>139605.07999999999</v>
          </cell>
          <cell r="I1016" t="str">
            <v>FIN Submission</v>
          </cell>
          <cell r="J1016">
            <v>43556</v>
          </cell>
        </row>
        <row r="1017">
          <cell r="A1017" t="str">
            <v>50151-H785</v>
          </cell>
          <cell r="B1017" t="str">
            <v>HYD - WRC Main Access Entr Bridge</v>
          </cell>
          <cell r="C1017" t="str">
            <v>FIN Approval - Internal</v>
          </cell>
          <cell r="D1017">
            <v>31</v>
          </cell>
          <cell r="E1017" t="str">
            <v>APPROVED</v>
          </cell>
          <cell r="F1017">
            <v>43039</v>
          </cell>
          <cell r="G1017">
            <v>43465</v>
          </cell>
          <cell r="H1017">
            <v>797752.88</v>
          </cell>
          <cell r="I1017" t="str">
            <v>FIN Submission</v>
          </cell>
          <cell r="J1017">
            <v>43556</v>
          </cell>
        </row>
        <row r="1018">
          <cell r="A1018" t="str">
            <v>44587-SJ01</v>
          </cell>
          <cell r="B1018" t="str">
            <v xml:space="preserve">POT - Selective ash site capping </v>
          </cell>
          <cell r="C1018" t="str">
            <v>FIN Approval - Internal</v>
          </cell>
          <cell r="D1018">
            <v>80</v>
          </cell>
          <cell r="E1018" t="str">
            <v>APPROVED</v>
          </cell>
          <cell r="F1018">
            <v>43084</v>
          </cell>
          <cell r="G1018">
            <v>43358</v>
          </cell>
          <cell r="H1018">
            <v>76334.679999999993</v>
          </cell>
          <cell r="I1018" t="str">
            <v>FIN Submission</v>
          </cell>
          <cell r="J1018">
            <v>43556</v>
          </cell>
        </row>
        <row r="1019">
          <cell r="A1019" t="str">
            <v>51514-H830</v>
          </cell>
          <cell r="B1019" t="str">
            <v>HYD WRC Fire Pump line Refurb</v>
          </cell>
          <cell r="C1019" t="str">
            <v>FIN Approval - Internal</v>
          </cell>
          <cell r="D1019">
            <v>27</v>
          </cell>
          <cell r="E1019" t="str">
            <v>APPROVED</v>
          </cell>
          <cell r="F1019">
            <v>42993</v>
          </cell>
          <cell r="G1019">
            <v>43100</v>
          </cell>
          <cell r="H1019">
            <v>68638.42</v>
          </cell>
          <cell r="I1019" t="str">
            <v>FIN Submission</v>
          </cell>
          <cell r="J1019">
            <v>43553</v>
          </cell>
        </row>
        <row r="1020">
          <cell r="A1020" t="str">
            <v>51412-D848</v>
          </cell>
          <cell r="B1020" t="str">
            <v>87H-313G Harbourview Dr Rebuild</v>
          </cell>
          <cell r="C1020" t="str">
            <v>FIN Approval - Internal</v>
          </cell>
          <cell r="D1020">
            <v>28</v>
          </cell>
          <cell r="E1020" t="str">
            <v>APPROVED</v>
          </cell>
          <cell r="F1020">
            <v>42947</v>
          </cell>
          <cell r="G1020">
            <v>43616</v>
          </cell>
          <cell r="H1020">
            <v>97950.92</v>
          </cell>
          <cell r="I1020" t="str">
            <v>FIN Submission</v>
          </cell>
          <cell r="J1020">
            <v>43553</v>
          </cell>
        </row>
        <row r="1021">
          <cell r="A1021" t="str">
            <v>51253-H820</v>
          </cell>
          <cell r="B1021" t="str">
            <v>HYD - WHR Rotork Replacement</v>
          </cell>
          <cell r="C1021" t="str">
            <v>FIN Approval - Internal</v>
          </cell>
          <cell r="D1021">
            <v>28</v>
          </cell>
          <cell r="E1021" t="str">
            <v>APPROVED</v>
          </cell>
          <cell r="F1021">
            <v>43008</v>
          </cell>
          <cell r="G1021">
            <v>43188</v>
          </cell>
          <cell r="H1021">
            <v>11443.42</v>
          </cell>
          <cell r="I1021" t="str">
            <v>FIN Submission</v>
          </cell>
          <cell r="J1021">
            <v>43553</v>
          </cell>
        </row>
        <row r="1022">
          <cell r="A1022" t="str">
            <v>51574-H831</v>
          </cell>
          <cell r="B1022" t="str">
            <v>HYD Wey Rotor Brush Replacement</v>
          </cell>
          <cell r="C1022" t="str">
            <v>FIN Approval - Internal</v>
          </cell>
          <cell r="D1022">
            <v>28</v>
          </cell>
          <cell r="E1022" t="str">
            <v>APPROVED</v>
          </cell>
          <cell r="F1022">
            <v>42916</v>
          </cell>
          <cell r="G1022">
            <v>43465</v>
          </cell>
          <cell r="H1022">
            <v>39547.449999999997</v>
          </cell>
          <cell r="I1022" t="str">
            <v>FIN Submission</v>
          </cell>
          <cell r="J1022">
            <v>43553</v>
          </cell>
        </row>
        <row r="1023">
          <cell r="A1023" t="str">
            <v>51477-D850</v>
          </cell>
          <cell r="B1023" t="str">
            <v xml:space="preserve">23H-301Forest Hill Dr and Tremont </v>
          </cell>
          <cell r="C1023" t="str">
            <v>FIN Approval - Internal</v>
          </cell>
          <cell r="D1023">
            <v>29</v>
          </cell>
          <cell r="E1023" t="str">
            <v>APPROVED</v>
          </cell>
          <cell r="F1023">
            <v>43008</v>
          </cell>
          <cell r="G1023">
            <v>43496</v>
          </cell>
          <cell r="H1023">
            <v>79420.679999999993</v>
          </cell>
          <cell r="I1023" t="str">
            <v>FIN Submission</v>
          </cell>
          <cell r="J1023">
            <v>43553</v>
          </cell>
        </row>
        <row r="1024">
          <cell r="A1024" t="str">
            <v>51408-H826</v>
          </cell>
          <cell r="B1024" t="str">
            <v>HYD LGB Breaker Motor Rewind</v>
          </cell>
          <cell r="C1024" t="str">
            <v>FIN Approval - Internal</v>
          </cell>
          <cell r="D1024">
            <v>29</v>
          </cell>
          <cell r="E1024" t="str">
            <v>APPROVED</v>
          </cell>
          <cell r="F1024">
            <v>43008</v>
          </cell>
          <cell r="G1024">
            <v>43465</v>
          </cell>
          <cell r="H1024">
            <v>8243.16</v>
          </cell>
          <cell r="I1024" t="str">
            <v>FIN Submission</v>
          </cell>
          <cell r="J1024">
            <v>43553</v>
          </cell>
        </row>
        <row r="1025">
          <cell r="A1025" t="str">
            <v>50751-H799</v>
          </cell>
          <cell r="B1025" t="str">
            <v>HYD - ANN Rack Replacement</v>
          </cell>
          <cell r="C1025" t="str">
            <v>FIN Approval - Internal</v>
          </cell>
          <cell r="D1025">
            <v>30</v>
          </cell>
          <cell r="E1025" t="str">
            <v>APPROVED</v>
          </cell>
          <cell r="F1025">
            <v>43100</v>
          </cell>
          <cell r="G1025">
            <v>43465</v>
          </cell>
          <cell r="H1025">
            <v>44586.69</v>
          </cell>
          <cell r="I1025" t="str">
            <v>FIN Submission</v>
          </cell>
          <cell r="J1025">
            <v>43553</v>
          </cell>
        </row>
        <row r="1026">
          <cell r="A1026" t="str">
            <v>50718-H798</v>
          </cell>
          <cell r="B1026" t="str">
            <v>HYD - BLK Auto Syncronizer Rplc</v>
          </cell>
          <cell r="C1026" t="str">
            <v>FIN Approval - Internal</v>
          </cell>
          <cell r="D1026">
            <v>30</v>
          </cell>
          <cell r="E1026" t="str">
            <v>APPROVED</v>
          </cell>
          <cell r="F1026">
            <v>43039</v>
          </cell>
          <cell r="G1026">
            <v>43188</v>
          </cell>
          <cell r="H1026">
            <v>19706.080000000002</v>
          </cell>
          <cell r="I1026" t="str">
            <v>FIN Submission</v>
          </cell>
          <cell r="J1026">
            <v>43553</v>
          </cell>
        </row>
        <row r="1027">
          <cell r="A1027" t="str">
            <v>50833-H810</v>
          </cell>
          <cell r="B1027" t="str">
            <v>HYD Lumsden Battery Bank Replace</v>
          </cell>
          <cell r="C1027" t="str">
            <v>FIN Approval - Internal</v>
          </cell>
          <cell r="D1027">
            <v>30</v>
          </cell>
          <cell r="E1027" t="str">
            <v>APPROVED</v>
          </cell>
          <cell r="F1027">
            <v>43008</v>
          </cell>
          <cell r="G1027">
            <v>43188</v>
          </cell>
          <cell r="H1027">
            <v>41701.94</v>
          </cell>
          <cell r="I1027" t="str">
            <v>FIN Submission</v>
          </cell>
          <cell r="J1027">
            <v>43553</v>
          </cell>
        </row>
        <row r="1028">
          <cell r="A1028" t="str">
            <v>50831-H808</v>
          </cell>
          <cell r="B1028" t="str">
            <v>HYD Methals Lighting Replacement</v>
          </cell>
          <cell r="C1028" t="str">
            <v>FIN Approval - Internal</v>
          </cell>
          <cell r="D1028">
            <v>30</v>
          </cell>
          <cell r="E1028" t="str">
            <v>APPROVED</v>
          </cell>
          <cell r="F1028">
            <v>43006</v>
          </cell>
          <cell r="G1028">
            <v>43188</v>
          </cell>
          <cell r="H1028">
            <v>11706.25</v>
          </cell>
          <cell r="I1028" t="str">
            <v>FIN Submission</v>
          </cell>
          <cell r="J1028">
            <v>43553</v>
          </cell>
        </row>
        <row r="1029">
          <cell r="A1029" t="str">
            <v>51401-H828</v>
          </cell>
          <cell r="B1029" t="str">
            <v>HYD Methals Tailrace gate</v>
          </cell>
          <cell r="C1029" t="str">
            <v>FIN Approval - Internal</v>
          </cell>
          <cell r="D1029">
            <v>30</v>
          </cell>
          <cell r="E1029" t="str">
            <v>APPROVED</v>
          </cell>
          <cell r="F1029">
            <v>42886</v>
          </cell>
          <cell r="G1029">
            <v>43064</v>
          </cell>
          <cell r="H1029">
            <v>88958.91</v>
          </cell>
          <cell r="I1029" t="str">
            <v>FIN Submission</v>
          </cell>
          <cell r="J1029">
            <v>43553</v>
          </cell>
        </row>
        <row r="1030">
          <cell r="A1030" t="str">
            <v>51115-P138</v>
          </cell>
          <cell r="B1030" t="str">
            <v>Depot Upgrades West</v>
          </cell>
          <cell r="C1030" t="str">
            <v>FIN Approval - Internal</v>
          </cell>
          <cell r="D1030">
            <v>31</v>
          </cell>
          <cell r="E1030" t="str">
            <v>APPROVED</v>
          </cell>
          <cell r="F1030">
            <v>43008</v>
          </cell>
          <cell r="G1030">
            <v>43646</v>
          </cell>
          <cell r="H1030">
            <v>246587.77</v>
          </cell>
          <cell r="I1030" t="str">
            <v>FIN Submission</v>
          </cell>
          <cell r="J1030">
            <v>43553</v>
          </cell>
        </row>
        <row r="1031">
          <cell r="A1031" t="str">
            <v>50811-H807</v>
          </cell>
          <cell r="B1031" t="str">
            <v>HYD HMS Welding Shop Crane Replace</v>
          </cell>
          <cell r="C1031" t="str">
            <v>FIN Approval - Internal</v>
          </cell>
          <cell r="D1031">
            <v>31</v>
          </cell>
          <cell r="E1031" t="str">
            <v>APPROVED</v>
          </cell>
          <cell r="F1031">
            <v>42916</v>
          </cell>
          <cell r="G1031">
            <v>43100</v>
          </cell>
          <cell r="H1031">
            <v>4657.95</v>
          </cell>
          <cell r="I1031" t="str">
            <v>FIN Submission</v>
          </cell>
          <cell r="J1031">
            <v>43553</v>
          </cell>
        </row>
        <row r="1032">
          <cell r="A1032" t="str">
            <v>50791-H803</v>
          </cell>
          <cell r="B1032" t="str">
            <v>HYD Tusket Gen Leed Replace</v>
          </cell>
          <cell r="C1032" t="str">
            <v>FIN Approval - Internal</v>
          </cell>
          <cell r="D1032">
            <v>31</v>
          </cell>
          <cell r="E1032" t="str">
            <v>APPROVED</v>
          </cell>
          <cell r="F1032">
            <v>42825</v>
          </cell>
          <cell r="G1032">
            <v>43188</v>
          </cell>
          <cell r="H1032">
            <v>39793.54</v>
          </cell>
          <cell r="I1032" t="str">
            <v>FIN Submission</v>
          </cell>
          <cell r="J1032">
            <v>43553</v>
          </cell>
        </row>
        <row r="1033">
          <cell r="A1033" t="str">
            <v>50512-H789</v>
          </cell>
          <cell r="B1033" t="str">
            <v>Dickie Brook headgate repair</v>
          </cell>
          <cell r="C1033" t="str">
            <v>FIN Approval - Internal</v>
          </cell>
          <cell r="D1033">
            <v>32</v>
          </cell>
          <cell r="E1033" t="str">
            <v>APPROVED</v>
          </cell>
          <cell r="F1033">
            <v>43008</v>
          </cell>
          <cell r="G1033">
            <v>43188</v>
          </cell>
          <cell r="H1033">
            <v>25434.959999999999</v>
          </cell>
          <cell r="I1033" t="str">
            <v>FIN Submission</v>
          </cell>
          <cell r="J1033">
            <v>43553</v>
          </cell>
        </row>
        <row r="1034">
          <cell r="A1034" t="str">
            <v>50755-H800</v>
          </cell>
          <cell r="B1034" t="str">
            <v>HYD - RUT 1 Generator Resealing</v>
          </cell>
          <cell r="C1034" t="str">
            <v>FIN Approval - Internal</v>
          </cell>
          <cell r="D1034">
            <v>33</v>
          </cell>
          <cell r="E1034" t="str">
            <v>APPROVED</v>
          </cell>
          <cell r="F1034">
            <v>42916</v>
          </cell>
          <cell r="G1034">
            <v>43252</v>
          </cell>
          <cell r="H1034">
            <v>81384.320000000007</v>
          </cell>
          <cell r="I1034" t="str">
            <v>FIN Submission</v>
          </cell>
          <cell r="J1034">
            <v>43553</v>
          </cell>
        </row>
        <row r="1035">
          <cell r="A1035" t="str">
            <v>49975-G237</v>
          </cell>
          <cell r="B1035" t="str">
            <v>CT - LM6000 TUC 5 Metal Scan Upgrad</v>
          </cell>
          <cell r="C1035" t="str">
            <v>FIN Approval - Internal</v>
          </cell>
          <cell r="D1035">
            <v>40</v>
          </cell>
          <cell r="E1035" t="str">
            <v>APPROVED</v>
          </cell>
          <cell r="F1035">
            <v>43100</v>
          </cell>
          <cell r="G1035">
            <v>43617</v>
          </cell>
          <cell r="H1035">
            <v>34391.629999999997</v>
          </cell>
          <cell r="I1035" t="str">
            <v>FIN Submission</v>
          </cell>
          <cell r="J1035">
            <v>43553</v>
          </cell>
        </row>
        <row r="1036">
          <cell r="A1036" t="str">
            <v>49354-G221</v>
          </cell>
          <cell r="B1036" t="str">
            <v>CT - BGT Exhaust Stack Grating Repl</v>
          </cell>
          <cell r="C1036" t="str">
            <v>FIN Approval - Internal</v>
          </cell>
          <cell r="D1036">
            <v>43</v>
          </cell>
          <cell r="E1036" t="str">
            <v>APPROVED</v>
          </cell>
          <cell r="F1036">
            <v>42643</v>
          </cell>
          <cell r="G1036">
            <v>43497</v>
          </cell>
          <cell r="H1036">
            <v>23728.59</v>
          </cell>
          <cell r="I1036" t="str">
            <v>FIN Submission</v>
          </cell>
          <cell r="J1036">
            <v>43553</v>
          </cell>
        </row>
        <row r="1037">
          <cell r="A1037" t="str">
            <v>49391-G210</v>
          </cell>
          <cell r="B1037" t="str">
            <v>CT's LM6000 TUC5 Cable Replacement</v>
          </cell>
          <cell r="C1037" t="str">
            <v>FIN Approval - Internal</v>
          </cell>
          <cell r="D1037">
            <v>46</v>
          </cell>
          <cell r="E1037" t="str">
            <v>APPROVED</v>
          </cell>
          <cell r="F1037">
            <v>42673</v>
          </cell>
          <cell r="G1037">
            <v>43524</v>
          </cell>
          <cell r="H1037">
            <v>54404.2</v>
          </cell>
          <cell r="I1037" t="str">
            <v>FIN Submission</v>
          </cell>
          <cell r="J1037">
            <v>43553</v>
          </cell>
        </row>
        <row r="1038">
          <cell r="A1038" t="str">
            <v>49596-H781</v>
          </cell>
          <cell r="B1038" t="str">
            <v>HYD - Hells Gate 2 Overhaul</v>
          </cell>
          <cell r="C1038" t="str">
            <v>FIN Approval - Internal</v>
          </cell>
          <cell r="D1038">
            <v>47</v>
          </cell>
          <cell r="E1038" t="str">
            <v>APPROVED</v>
          </cell>
          <cell r="F1038">
            <v>43069</v>
          </cell>
          <cell r="G1038">
            <v>43617</v>
          </cell>
          <cell r="H1038">
            <v>1144529.07</v>
          </cell>
          <cell r="I1038" t="str">
            <v>FIN Submission</v>
          </cell>
          <cell r="J1038">
            <v>43553</v>
          </cell>
        </row>
        <row r="1039">
          <cell r="A1039" t="str">
            <v>49216-D748</v>
          </cell>
          <cell r="B1039" t="str">
            <v>Kentville URD Replacement 2016</v>
          </cell>
          <cell r="C1039" t="str">
            <v>FIN Approval - Internal</v>
          </cell>
          <cell r="D1039">
            <v>51</v>
          </cell>
          <cell r="E1039" t="str">
            <v>APPROVED</v>
          </cell>
          <cell r="F1039">
            <v>43008</v>
          </cell>
          <cell r="G1039">
            <v>43524</v>
          </cell>
          <cell r="H1039">
            <v>130982.76</v>
          </cell>
          <cell r="I1039" t="str">
            <v>FIN Submission</v>
          </cell>
          <cell r="J1039">
            <v>43553</v>
          </cell>
        </row>
        <row r="1040">
          <cell r="A1040" t="str">
            <v>48114-T893</v>
          </cell>
          <cell r="B1040" t="str">
            <v xml:space="preserve">2016 Steel Tower Life Extension </v>
          </cell>
          <cell r="C1040" t="str">
            <v>FIN Approval - Internal</v>
          </cell>
          <cell r="D1040">
            <v>58</v>
          </cell>
          <cell r="E1040" t="str">
            <v>APPROVED</v>
          </cell>
          <cell r="F1040">
            <v>42582</v>
          </cell>
          <cell r="G1040">
            <v>43465</v>
          </cell>
          <cell r="H1040">
            <v>1519276.91</v>
          </cell>
          <cell r="I1040" t="str">
            <v>FIN Submission</v>
          </cell>
          <cell r="J1040">
            <v>43553</v>
          </cell>
        </row>
        <row r="1041">
          <cell r="A1041" t="str">
            <v>47732-D699</v>
          </cell>
          <cell r="B1041" t="str">
            <v>131H-424/137H-412 Feeder Tie</v>
          </cell>
          <cell r="C1041" t="str">
            <v>FIN Approval - Internal</v>
          </cell>
          <cell r="D1041">
            <v>60</v>
          </cell>
          <cell r="E1041" t="str">
            <v>APPROVED</v>
          </cell>
          <cell r="F1041">
            <v>42885</v>
          </cell>
          <cell r="G1041">
            <v>43496</v>
          </cell>
          <cell r="H1041">
            <v>302903.59000000003</v>
          </cell>
          <cell r="I1041" t="str">
            <v>FIN Submission</v>
          </cell>
          <cell r="J1041">
            <v>43553</v>
          </cell>
        </row>
        <row r="1042">
          <cell r="A1042" t="str">
            <v>46651-D682</v>
          </cell>
          <cell r="B1042" t="str">
            <v>23H-Rockingham Voltage Conversion-P</v>
          </cell>
          <cell r="C1042" t="str">
            <v>FIN Approval - Internal</v>
          </cell>
          <cell r="D1042">
            <v>64</v>
          </cell>
          <cell r="E1042" t="str">
            <v>APPROVED</v>
          </cell>
          <cell r="F1042">
            <v>42459</v>
          </cell>
          <cell r="G1042">
            <v>43496</v>
          </cell>
          <cell r="H1042">
            <v>703659.01</v>
          </cell>
          <cell r="I1042" t="str">
            <v>FIN Submission</v>
          </cell>
          <cell r="J1042">
            <v>43553</v>
          </cell>
        </row>
        <row r="1043">
          <cell r="A1043" t="str">
            <v>45892-H724</v>
          </cell>
          <cell r="B1043" t="str">
            <v>HYD - ANN Sluiceway Stop Log Repair</v>
          </cell>
          <cell r="C1043" t="str">
            <v>FIN Approval - Internal</v>
          </cell>
          <cell r="D1043">
            <v>67</v>
          </cell>
          <cell r="E1043" t="str">
            <v>APPROVED</v>
          </cell>
          <cell r="F1043">
            <v>42247</v>
          </cell>
          <cell r="G1043">
            <v>42308</v>
          </cell>
          <cell r="H1043">
            <v>172863.34</v>
          </cell>
          <cell r="I1043" t="str">
            <v>FIN Submission</v>
          </cell>
          <cell r="J1043">
            <v>43553</v>
          </cell>
        </row>
        <row r="1044">
          <cell r="A1044" t="str">
            <v>46232-H717</v>
          </cell>
          <cell r="B1044" t="str">
            <v>HYD - WHR Pipeline Replacement</v>
          </cell>
          <cell r="C1044" t="str">
            <v>FIN Approval - Internal</v>
          </cell>
          <cell r="D1044">
            <v>75</v>
          </cell>
          <cell r="E1044" t="str">
            <v>APPROVED</v>
          </cell>
          <cell r="F1044">
            <v>42369</v>
          </cell>
          <cell r="G1044">
            <v>43312</v>
          </cell>
          <cell r="H1044">
            <v>644694.24</v>
          </cell>
          <cell r="I1044" t="str">
            <v>FIN Submission</v>
          </cell>
          <cell r="J1044">
            <v>43553</v>
          </cell>
        </row>
        <row r="1045">
          <cell r="A1045" t="str">
            <v>41789-S903</v>
          </cell>
          <cell r="B1045" t="str">
            <v>PH Biomass Project APA Extra Costs</v>
          </cell>
          <cell r="C1045" t="str">
            <v>FIN Approval - Internal</v>
          </cell>
          <cell r="D1045">
            <v>40</v>
          </cell>
          <cell r="E1045" t="str">
            <v>APPROVED</v>
          </cell>
          <cell r="F1045">
            <v>41274</v>
          </cell>
          <cell r="G1045">
            <v>43738</v>
          </cell>
          <cell r="H1045">
            <v>96638704.480000004</v>
          </cell>
          <cell r="I1045" t="str">
            <v>FIN Submission</v>
          </cell>
          <cell r="J1045">
            <v>43549</v>
          </cell>
        </row>
        <row r="1046">
          <cell r="A1046" t="str">
            <v>45792-T810</v>
          </cell>
          <cell r="B1046" t="str">
            <v>L5012 Upgrade</v>
          </cell>
          <cell r="C1046" t="str">
            <v>FIN Approval - Internal</v>
          </cell>
          <cell r="D1046">
            <v>78</v>
          </cell>
          <cell r="E1046" t="str">
            <v>APPROVED</v>
          </cell>
          <cell r="F1046">
            <v>42185</v>
          </cell>
          <cell r="G1046">
            <v>43524</v>
          </cell>
          <cell r="H1046">
            <v>71268.14</v>
          </cell>
          <cell r="I1046" t="str">
            <v>FIN Submission</v>
          </cell>
          <cell r="J1046">
            <v>43549</v>
          </cell>
        </row>
        <row r="1047">
          <cell r="A1047" t="str">
            <v>40430-T648</v>
          </cell>
          <cell r="B1047" t="str">
            <v>PH Biomass Tx Interconnection</v>
          </cell>
          <cell r="C1047" t="str">
            <v>FIN Approval - Internal</v>
          </cell>
          <cell r="D1047">
            <v>79</v>
          </cell>
          <cell r="E1047" t="str">
            <v>APPROVED</v>
          </cell>
          <cell r="F1047">
            <v>40908</v>
          </cell>
          <cell r="G1047">
            <v>43554</v>
          </cell>
          <cell r="H1047">
            <v>1342899.03</v>
          </cell>
          <cell r="I1047" t="str">
            <v>FIN Submission</v>
          </cell>
          <cell r="J1047">
            <v>43549</v>
          </cell>
        </row>
        <row r="1048">
          <cell r="A1048" t="str">
            <v>45054-P942</v>
          </cell>
          <cell r="B1048" t="str">
            <v>Replace Radio Tower Methals Hydro</v>
          </cell>
          <cell r="C1048" t="str">
            <v>FIN Approval - Internal</v>
          </cell>
          <cell r="D1048">
            <v>84</v>
          </cell>
          <cell r="E1048" t="str">
            <v>APPROVED</v>
          </cell>
          <cell r="F1048">
            <v>42400</v>
          </cell>
          <cell r="G1048">
            <v>43496</v>
          </cell>
          <cell r="H1048">
            <v>219859.19</v>
          </cell>
          <cell r="I1048" t="str">
            <v>FIN Submission</v>
          </cell>
          <cell r="J1048">
            <v>43549</v>
          </cell>
        </row>
        <row r="1049">
          <cell r="A1049" t="str">
            <v>44984-T821</v>
          </cell>
          <cell r="B1049" t="str">
            <v>9C Aberdeen Line Tap</v>
          </cell>
          <cell r="C1049" t="str">
            <v>FIN Approval - Internal</v>
          </cell>
          <cell r="D1049">
            <v>92</v>
          </cell>
          <cell r="E1049" t="str">
            <v>APPROVED</v>
          </cell>
          <cell r="F1049">
            <v>41988</v>
          </cell>
          <cell r="G1049">
            <v>43524</v>
          </cell>
          <cell r="H1049">
            <v>831031.91</v>
          </cell>
          <cell r="I1049" t="str">
            <v>FIN Submission</v>
          </cell>
          <cell r="J1049">
            <v>43549</v>
          </cell>
        </row>
        <row r="1050">
          <cell r="A1050" t="str">
            <v>39029-S661</v>
          </cell>
          <cell r="B1050" t="str">
            <v>PH Biomass Project</v>
          </cell>
          <cell r="C1050" t="str">
            <v>FIN Approval - Internal</v>
          </cell>
          <cell r="D1050">
            <v>176</v>
          </cell>
          <cell r="E1050" t="str">
            <v>APPROVED</v>
          </cell>
          <cell r="F1050">
            <v>41440</v>
          </cell>
          <cell r="G1050">
            <v>43617</v>
          </cell>
          <cell r="H1050">
            <v>110568803.48999999</v>
          </cell>
          <cell r="I1050" t="str">
            <v>FIN Submission</v>
          </cell>
          <cell r="J1050">
            <v>43549</v>
          </cell>
        </row>
        <row r="1051">
          <cell r="A1051" t="str">
            <v>31204-H564</v>
          </cell>
          <cell r="B1051" t="str">
            <v>HYD - Donahoe Lake Dam Refurb</v>
          </cell>
          <cell r="C1051" t="str">
            <v>FIN Approval - Internal</v>
          </cell>
          <cell r="D1051">
            <v>199</v>
          </cell>
          <cell r="E1051" t="str">
            <v>APPROVED</v>
          </cell>
          <cell r="F1051">
            <v>41212</v>
          </cell>
          <cell r="G1051">
            <v>43069</v>
          </cell>
          <cell r="H1051">
            <v>1514667.17</v>
          </cell>
          <cell r="I1051" t="str">
            <v>FIN Submission</v>
          </cell>
          <cell r="J1051">
            <v>43549</v>
          </cell>
        </row>
        <row r="1052">
          <cell r="A1052" t="str">
            <v>C0003539</v>
          </cell>
          <cell r="B1052" t="str">
            <v>POT - UU 2 North Boiler Feed Pump M</v>
          </cell>
          <cell r="C1052" t="str">
            <v>FIN Approval - Internal</v>
          </cell>
          <cell r="D1052">
            <v>17</v>
          </cell>
          <cell r="E1052" t="str">
            <v>APPROVED</v>
          </cell>
          <cell r="F1052">
            <v>43130</v>
          </cell>
          <cell r="G1052">
            <v>43464</v>
          </cell>
          <cell r="H1052">
            <v>190932.68</v>
          </cell>
          <cell r="I1052" t="str">
            <v>FIN Submission</v>
          </cell>
          <cell r="J1052">
            <v>43546</v>
          </cell>
        </row>
        <row r="1053">
          <cell r="A1053" t="str">
            <v>52242</v>
          </cell>
          <cell r="B1053" t="str">
            <v>POT -  West CW Pump Overhaul</v>
          </cell>
          <cell r="C1053" t="str">
            <v>FIN Approval - Internal</v>
          </cell>
          <cell r="D1053">
            <v>23</v>
          </cell>
          <cell r="E1053" t="str">
            <v>APPROVED</v>
          </cell>
          <cell r="F1053">
            <v>43250</v>
          </cell>
          <cell r="G1053">
            <v>43464</v>
          </cell>
          <cell r="H1053">
            <v>214568.29</v>
          </cell>
          <cell r="I1053" t="str">
            <v>FIN Submission</v>
          </cell>
          <cell r="J1053">
            <v>43546</v>
          </cell>
        </row>
        <row r="1054">
          <cell r="A1054" t="str">
            <v>48029-P992</v>
          </cell>
          <cell r="B1054" t="str">
            <v>AMO Meridium Dashboards</v>
          </cell>
          <cell r="C1054" t="str">
            <v>FIN Approval - Internal</v>
          </cell>
          <cell r="D1054">
            <v>49</v>
          </cell>
          <cell r="E1054" t="str">
            <v>APPROVED</v>
          </cell>
          <cell r="F1054">
            <v>43189</v>
          </cell>
          <cell r="G1054">
            <v>43830</v>
          </cell>
          <cell r="H1054">
            <v>187021.5</v>
          </cell>
          <cell r="I1054" t="str">
            <v>FIN Submission</v>
          </cell>
          <cell r="J1054">
            <v>43536</v>
          </cell>
        </row>
        <row r="1055">
          <cell r="A1055" t="str">
            <v>41139-H655</v>
          </cell>
          <cell r="B1055" t="str">
            <v>HYD - ANN Sluiceway Superstructure</v>
          </cell>
          <cell r="C1055" t="str">
            <v>FIN Approval - External</v>
          </cell>
          <cell r="D1055">
            <v>112</v>
          </cell>
          <cell r="E1055" t="str">
            <v>APPROVED</v>
          </cell>
          <cell r="F1055">
            <v>43069</v>
          </cell>
          <cell r="G1055">
            <v>43281</v>
          </cell>
          <cell r="H1055">
            <v>3041862.15</v>
          </cell>
          <cell r="I1055" t="str">
            <v>FIN Submission</v>
          </cell>
          <cell r="J1055">
            <v>43536</v>
          </cell>
        </row>
        <row r="1056">
          <cell r="A1056" t="str">
            <v>C0002182</v>
          </cell>
          <cell r="B1056" t="str">
            <v>92H-332 Sheldrake Lake Conversion</v>
          </cell>
          <cell r="C1056" t="str">
            <v>FIN Approval - Internal</v>
          </cell>
          <cell r="D1056">
            <v>23</v>
          </cell>
          <cell r="E1056" t="str">
            <v>APPROVED</v>
          </cell>
          <cell r="F1056">
            <v>43131</v>
          </cell>
          <cell r="G1056">
            <v>43496</v>
          </cell>
          <cell r="H1056">
            <v>301959.18</v>
          </cell>
          <cell r="I1056" t="str">
            <v>FIN Submission</v>
          </cell>
          <cell r="J1056">
            <v>43507</v>
          </cell>
        </row>
        <row r="1057">
          <cell r="A1057" t="str">
            <v>51551-D859</v>
          </cell>
          <cell r="B1057" t="str">
            <v>2H-411-Cowie Hill UG System Replac</v>
          </cell>
          <cell r="C1057" t="str">
            <v>FIN Approval - Internal</v>
          </cell>
          <cell r="D1057">
            <v>28</v>
          </cell>
          <cell r="E1057" t="str">
            <v>APPROVED</v>
          </cell>
          <cell r="F1057">
            <v>43099</v>
          </cell>
          <cell r="G1057">
            <v>43312</v>
          </cell>
          <cell r="H1057">
            <v>64082.12</v>
          </cell>
          <cell r="I1057" t="str">
            <v>FIN Submission</v>
          </cell>
          <cell r="J1057">
            <v>43507</v>
          </cell>
        </row>
        <row r="1058">
          <cell r="A1058" t="str">
            <v>51502-P151</v>
          </cell>
          <cell r="B1058" t="str">
            <v>CIP Security Upgrades</v>
          </cell>
          <cell r="C1058" t="str">
            <v>FIN Approval - Internal</v>
          </cell>
          <cell r="D1058">
            <v>28</v>
          </cell>
          <cell r="E1058" t="str">
            <v>APPROVED</v>
          </cell>
          <cell r="F1058">
            <v>43281</v>
          </cell>
          <cell r="G1058">
            <v>43373</v>
          </cell>
          <cell r="H1058">
            <v>191557.2</v>
          </cell>
          <cell r="I1058" t="str">
            <v>FIN Submission</v>
          </cell>
          <cell r="J1058">
            <v>43507</v>
          </cell>
        </row>
        <row r="1059">
          <cell r="A1059" t="str">
            <v>51535-D866</v>
          </cell>
          <cell r="B1059" t="str">
            <v>Kentville URD Replacement 2017</v>
          </cell>
          <cell r="C1059" t="str">
            <v>FIN Approval - Internal</v>
          </cell>
          <cell r="D1059">
            <v>29</v>
          </cell>
          <cell r="E1059" t="str">
            <v>APPROVED</v>
          </cell>
          <cell r="F1059">
            <v>43008</v>
          </cell>
          <cell r="G1059">
            <v>43465</v>
          </cell>
          <cell r="H1059">
            <v>51637.51</v>
          </cell>
          <cell r="I1059" t="str">
            <v>FIN Submission</v>
          </cell>
          <cell r="J1059">
            <v>43507</v>
          </cell>
        </row>
        <row r="1060">
          <cell r="A1060" t="str">
            <v>50715-D808</v>
          </cell>
          <cell r="B1060" t="str">
            <v>108H-411 Simmonds Dr Pole Replc</v>
          </cell>
          <cell r="C1060" t="str">
            <v>FIN Approval - Internal</v>
          </cell>
          <cell r="D1060">
            <v>30</v>
          </cell>
          <cell r="E1060" t="str">
            <v>APPROVED</v>
          </cell>
          <cell r="F1060">
            <v>43008</v>
          </cell>
          <cell r="G1060">
            <v>43465</v>
          </cell>
          <cell r="H1060">
            <v>173274.17</v>
          </cell>
          <cell r="I1060" t="str">
            <v>FIN Submission</v>
          </cell>
          <cell r="J1060">
            <v>43507</v>
          </cell>
        </row>
        <row r="1061">
          <cell r="A1061" t="str">
            <v>51529-D879</v>
          </cell>
          <cell r="B1061" t="str">
            <v xml:space="preserve">R371-041 Recloser Replacement </v>
          </cell>
          <cell r="C1061" t="str">
            <v>FIN Approval - Internal</v>
          </cell>
          <cell r="D1061">
            <v>30</v>
          </cell>
          <cell r="E1061" t="str">
            <v>APPROVED</v>
          </cell>
          <cell r="F1061">
            <v>43038</v>
          </cell>
          <cell r="G1061">
            <v>43465</v>
          </cell>
          <cell r="H1061">
            <v>15714.39</v>
          </cell>
          <cell r="I1061" t="str">
            <v>FIN Submission</v>
          </cell>
          <cell r="J1061">
            <v>43507</v>
          </cell>
        </row>
        <row r="1062">
          <cell r="A1062" t="str">
            <v>50812-D839</v>
          </cell>
          <cell r="B1062" t="str">
            <v>11S-301J Voltage Regulator Addition</v>
          </cell>
          <cell r="C1062" t="str">
            <v>FIN Approval - Internal</v>
          </cell>
          <cell r="D1062">
            <v>31</v>
          </cell>
          <cell r="E1062" t="str">
            <v>APPROVED</v>
          </cell>
          <cell r="F1062">
            <v>43099</v>
          </cell>
          <cell r="G1062">
            <v>43555</v>
          </cell>
          <cell r="H1062">
            <v>30067.57</v>
          </cell>
          <cell r="I1062" t="str">
            <v>FIN Submission</v>
          </cell>
          <cell r="J1062">
            <v>43507</v>
          </cell>
        </row>
        <row r="1063">
          <cell r="A1063" t="str">
            <v>50671-D798</v>
          </cell>
          <cell r="B1063" t="str">
            <v>627N-311-Spencer Point Rd-Pole Repl</v>
          </cell>
          <cell r="C1063" t="str">
            <v>FIN Approval - Internal</v>
          </cell>
          <cell r="D1063">
            <v>31</v>
          </cell>
          <cell r="E1063" t="str">
            <v>APPROVED</v>
          </cell>
          <cell r="F1063">
            <v>42794</v>
          </cell>
          <cell r="G1063">
            <v>43465</v>
          </cell>
          <cell r="H1063">
            <v>31722.82</v>
          </cell>
          <cell r="I1063" t="str">
            <v>FIN Submission</v>
          </cell>
          <cell r="J1063">
            <v>43507</v>
          </cell>
        </row>
        <row r="1064">
          <cell r="A1064" t="str">
            <v>50936-D820</v>
          </cell>
          <cell r="B1064" t="str">
            <v>2017 Manhole Equipment Replacements</v>
          </cell>
          <cell r="C1064" t="str">
            <v>FIN Approval - Internal</v>
          </cell>
          <cell r="D1064">
            <v>32</v>
          </cell>
          <cell r="E1064" t="str">
            <v>APPROVED</v>
          </cell>
          <cell r="F1064">
            <v>43040</v>
          </cell>
          <cell r="G1064">
            <v>43312</v>
          </cell>
          <cell r="H1064">
            <v>163101.66</v>
          </cell>
          <cell r="I1064" t="str">
            <v>FIN Submission</v>
          </cell>
          <cell r="J1064">
            <v>43507</v>
          </cell>
        </row>
        <row r="1065">
          <cell r="A1065" t="str">
            <v>50692-D799</v>
          </cell>
          <cell r="B1065" t="str">
            <v>2017 Padmount Switch Replacement</v>
          </cell>
          <cell r="C1065" t="str">
            <v>FIN Approval - Internal</v>
          </cell>
          <cell r="D1065">
            <v>32</v>
          </cell>
          <cell r="E1065" t="str">
            <v>APPROVED</v>
          </cell>
          <cell r="F1065">
            <v>43040</v>
          </cell>
          <cell r="G1065">
            <v>43465</v>
          </cell>
          <cell r="H1065">
            <v>200247.5</v>
          </cell>
          <cell r="I1065" t="str">
            <v>FIN Submission</v>
          </cell>
          <cell r="J1065">
            <v>43507</v>
          </cell>
        </row>
        <row r="1066">
          <cell r="A1066" t="str">
            <v>50673-D800</v>
          </cell>
          <cell r="B1066" t="str">
            <v>49C Pomquet Forks Conversion Ph 2</v>
          </cell>
          <cell r="C1066" t="str">
            <v>FIN Approval - Internal</v>
          </cell>
          <cell r="D1066">
            <v>32</v>
          </cell>
          <cell r="E1066" t="str">
            <v>APPROVED</v>
          </cell>
          <cell r="F1066">
            <v>42946</v>
          </cell>
          <cell r="G1066">
            <v>43465</v>
          </cell>
          <cell r="H1066">
            <v>92508.02</v>
          </cell>
          <cell r="I1066" t="str">
            <v>FIN Submission</v>
          </cell>
          <cell r="J1066">
            <v>43507</v>
          </cell>
        </row>
        <row r="1067">
          <cell r="A1067" t="str">
            <v>50611-D796</v>
          </cell>
          <cell r="B1067" t="str">
            <v>524C-201 Cape Jack Rd Conversion</v>
          </cell>
          <cell r="C1067" t="str">
            <v>FIN Approval - Internal</v>
          </cell>
          <cell r="D1067">
            <v>33</v>
          </cell>
          <cell r="E1067" t="str">
            <v>APPROVED</v>
          </cell>
          <cell r="F1067">
            <v>42885</v>
          </cell>
          <cell r="G1067">
            <v>43312</v>
          </cell>
          <cell r="H1067">
            <v>93146.559999999998</v>
          </cell>
          <cell r="I1067" t="str">
            <v>FIN Submission</v>
          </cell>
          <cell r="J1067">
            <v>43507</v>
          </cell>
        </row>
        <row r="1068">
          <cell r="A1068" t="str">
            <v>50772-D845</v>
          </cell>
          <cell r="B1068" t="str">
            <v>37N-412 Glooscap Trail Rebuild Phas</v>
          </cell>
          <cell r="C1068" t="str">
            <v>FIN Approval - Internal</v>
          </cell>
          <cell r="D1068">
            <v>37</v>
          </cell>
          <cell r="E1068" t="str">
            <v>APPROVED</v>
          </cell>
          <cell r="F1068">
            <v>42885</v>
          </cell>
          <cell r="G1068">
            <v>43465</v>
          </cell>
          <cell r="H1068">
            <v>375232.25</v>
          </cell>
          <cell r="I1068" t="str">
            <v>FIN Submission</v>
          </cell>
          <cell r="J1068">
            <v>43507</v>
          </cell>
        </row>
        <row r="1069">
          <cell r="A1069" t="str">
            <v>49613-G225</v>
          </cell>
          <cell r="B1069" t="str">
            <v>CT LM6000 Oil Conditioner</v>
          </cell>
          <cell r="C1069" t="str">
            <v>FIN Approval - Internal</v>
          </cell>
          <cell r="D1069">
            <v>38</v>
          </cell>
          <cell r="E1069" t="str">
            <v>APPROVED</v>
          </cell>
          <cell r="F1069">
            <v>42947</v>
          </cell>
          <cell r="G1069">
            <v>43465</v>
          </cell>
          <cell r="H1069">
            <v>114525.52</v>
          </cell>
          <cell r="I1069" t="str">
            <v>FIN Submission</v>
          </cell>
          <cell r="J1069">
            <v>43507</v>
          </cell>
        </row>
        <row r="1070">
          <cell r="A1070" t="str">
            <v>49974-G236</v>
          </cell>
          <cell r="B1070" t="str">
            <v>CT - LM6000 TUC 4 Metal Scan Upgrad</v>
          </cell>
          <cell r="C1070" t="str">
            <v>FIN Approval - Internal</v>
          </cell>
          <cell r="D1070">
            <v>39</v>
          </cell>
          <cell r="E1070" t="str">
            <v>APPROVED</v>
          </cell>
          <cell r="F1070">
            <v>43146</v>
          </cell>
          <cell r="G1070">
            <v>43495</v>
          </cell>
          <cell r="H1070">
            <v>39496.480000000003</v>
          </cell>
          <cell r="I1070" t="str">
            <v>FIN Submission</v>
          </cell>
          <cell r="J1070">
            <v>43507</v>
          </cell>
        </row>
        <row r="1071">
          <cell r="A1071" t="str">
            <v>50032-D770</v>
          </cell>
          <cell r="B1071" t="str">
            <v>Route 4 Highway Shift St. Peters</v>
          </cell>
          <cell r="C1071" t="str">
            <v>FIN Approval - Internal</v>
          </cell>
          <cell r="D1071">
            <v>39</v>
          </cell>
          <cell r="E1071" t="str">
            <v>APPROVED</v>
          </cell>
          <cell r="F1071">
            <v>42719</v>
          </cell>
          <cell r="G1071">
            <v>43312</v>
          </cell>
          <cell r="H1071">
            <v>208557.35</v>
          </cell>
          <cell r="I1071" t="str">
            <v>FIN Submission</v>
          </cell>
          <cell r="J1071">
            <v>43507</v>
          </cell>
        </row>
        <row r="1072">
          <cell r="A1072" t="str">
            <v>49956-D831</v>
          </cell>
          <cell r="B1072" t="str">
            <v>505V Station Retirement</v>
          </cell>
          <cell r="C1072" t="str">
            <v>FIN Approval - Internal</v>
          </cell>
          <cell r="D1072">
            <v>41</v>
          </cell>
          <cell r="E1072" t="str">
            <v>APPROVED</v>
          </cell>
          <cell r="F1072">
            <v>43131</v>
          </cell>
          <cell r="G1072">
            <v>43465</v>
          </cell>
          <cell r="H1072">
            <v>24027.89</v>
          </cell>
          <cell r="I1072" t="str">
            <v>FIN Submission</v>
          </cell>
          <cell r="J1072">
            <v>43507</v>
          </cell>
        </row>
        <row r="1073">
          <cell r="A1073" t="str">
            <v>49918-D779</v>
          </cell>
          <cell r="B1073" t="str">
            <v>54H-303 Underground Device Replacem</v>
          </cell>
          <cell r="C1073" t="str">
            <v>FIN Approval - Internal</v>
          </cell>
          <cell r="D1073">
            <v>41</v>
          </cell>
          <cell r="E1073" t="str">
            <v>APPROVED</v>
          </cell>
          <cell r="F1073">
            <v>42947</v>
          </cell>
          <cell r="G1073">
            <v>43496</v>
          </cell>
          <cell r="H1073">
            <v>521501.35</v>
          </cell>
          <cell r="I1073" t="str">
            <v>FIN Submission</v>
          </cell>
          <cell r="J1073">
            <v>43507</v>
          </cell>
        </row>
        <row r="1074">
          <cell r="A1074" t="str">
            <v>49604-D764</v>
          </cell>
          <cell r="B1074" t="str">
            <v>16V-314G Weymouth Falls Line Extens</v>
          </cell>
          <cell r="C1074" t="str">
            <v>FIN Approval - Internal</v>
          </cell>
          <cell r="D1074">
            <v>45</v>
          </cell>
          <cell r="E1074" t="str">
            <v>APPROVED</v>
          </cell>
          <cell r="F1074">
            <v>42916</v>
          </cell>
          <cell r="G1074">
            <v>43465</v>
          </cell>
          <cell r="H1074">
            <v>122457.29</v>
          </cell>
          <cell r="I1074" t="str">
            <v>FIN Submission</v>
          </cell>
          <cell r="J1074">
            <v>43507</v>
          </cell>
        </row>
        <row r="1075">
          <cell r="A1075" t="str">
            <v>48155-P126</v>
          </cell>
          <cell r="B1075" t="str">
            <v>2016 SCADA Application Upgrade</v>
          </cell>
          <cell r="C1075" t="str">
            <v>FIN Approval - Internal</v>
          </cell>
          <cell r="D1075">
            <v>51</v>
          </cell>
          <cell r="E1075" t="str">
            <v>APPROVED</v>
          </cell>
          <cell r="F1075">
            <v>43008</v>
          </cell>
          <cell r="G1075">
            <v>43465</v>
          </cell>
          <cell r="H1075">
            <v>480190.28</v>
          </cell>
          <cell r="I1075" t="str">
            <v>FIN Submission</v>
          </cell>
          <cell r="J1075">
            <v>43507</v>
          </cell>
        </row>
        <row r="1076">
          <cell r="A1076" t="str">
            <v>47942-G213</v>
          </cell>
          <cell r="B1076" t="str">
            <v>TUC5 LM6000 Enclosure Painting</v>
          </cell>
          <cell r="C1076" t="str">
            <v>FIN Approval - Internal</v>
          </cell>
          <cell r="D1076">
            <v>51</v>
          </cell>
          <cell r="E1076" t="str">
            <v>APPROVED</v>
          </cell>
          <cell r="F1076">
            <v>42673</v>
          </cell>
          <cell r="G1076">
            <v>43466</v>
          </cell>
          <cell r="H1076">
            <v>77836.12</v>
          </cell>
          <cell r="I1076" t="str">
            <v>FIN Submission</v>
          </cell>
          <cell r="J1076">
            <v>43507</v>
          </cell>
        </row>
        <row r="1077">
          <cell r="A1077" t="str">
            <v>47898-SF94</v>
          </cell>
          <cell r="B1077" t="str">
            <v>TUC Asbestos Abatement</v>
          </cell>
          <cell r="C1077" t="str">
            <v>FIN Approval - Internal</v>
          </cell>
          <cell r="D1077">
            <v>53</v>
          </cell>
          <cell r="E1077" t="str">
            <v>APPROVED</v>
          </cell>
          <cell r="F1077">
            <v>42716</v>
          </cell>
          <cell r="G1077">
            <v>43373</v>
          </cell>
          <cell r="H1077">
            <v>185301.35</v>
          </cell>
          <cell r="I1077" t="str">
            <v>FIN Submission</v>
          </cell>
          <cell r="J1077">
            <v>43507</v>
          </cell>
        </row>
        <row r="1078">
          <cell r="A1078" t="str">
            <v>48238-P105</v>
          </cell>
          <cell r="B1078" t="str">
            <v>Customer Billing Experience Improve</v>
          </cell>
          <cell r="C1078" t="str">
            <v>FIN Approval - Internal</v>
          </cell>
          <cell r="D1078">
            <v>61</v>
          </cell>
          <cell r="E1078" t="str">
            <v>APPROVED</v>
          </cell>
          <cell r="F1078">
            <v>42978</v>
          </cell>
          <cell r="G1078">
            <v>43465</v>
          </cell>
          <cell r="H1078">
            <v>409880.56</v>
          </cell>
          <cell r="I1078" t="str">
            <v>FIN Submission</v>
          </cell>
          <cell r="J1078">
            <v>43507</v>
          </cell>
        </row>
        <row r="1079">
          <cell r="A1079" t="str">
            <v>47292-D650</v>
          </cell>
          <cell r="B1079" t="str">
            <v>89W-302G - Rhodes Corner Rebuild</v>
          </cell>
          <cell r="C1079" t="str">
            <v>FIN Approval - Internal</v>
          </cell>
          <cell r="D1079">
            <v>63</v>
          </cell>
          <cell r="E1079" t="str">
            <v>APPROVED</v>
          </cell>
          <cell r="F1079">
            <v>42735</v>
          </cell>
          <cell r="G1079">
            <v>43465</v>
          </cell>
          <cell r="H1079">
            <v>250596.63</v>
          </cell>
          <cell r="I1079" t="str">
            <v>FIN Submission</v>
          </cell>
          <cell r="J1079">
            <v>43507</v>
          </cell>
        </row>
        <row r="1080">
          <cell r="A1080" t="str">
            <v>46354-T839</v>
          </cell>
          <cell r="B1080" t="str">
            <v>2015 Reactor Breaker Replacements</v>
          </cell>
          <cell r="C1080" t="str">
            <v>FIN Approval - Internal</v>
          </cell>
          <cell r="D1080">
            <v>71</v>
          </cell>
          <cell r="E1080" t="str">
            <v>APPROVED</v>
          </cell>
          <cell r="F1080">
            <v>42430</v>
          </cell>
          <cell r="G1080">
            <v>43465</v>
          </cell>
          <cell r="H1080">
            <v>522124.01</v>
          </cell>
          <cell r="I1080" t="str">
            <v>FIN Submission</v>
          </cell>
          <cell r="J1080">
            <v>43507</v>
          </cell>
        </row>
        <row r="1081">
          <cell r="A1081" t="str">
            <v>46307-P954</v>
          </cell>
          <cell r="B1081" t="str">
            <v>2015 Multiplexer Network Upgrades</v>
          </cell>
          <cell r="C1081" t="str">
            <v>FIN Approval - Internal</v>
          </cell>
          <cell r="D1081">
            <v>72</v>
          </cell>
          <cell r="E1081" t="str">
            <v>APPROVED</v>
          </cell>
          <cell r="F1081">
            <v>42735</v>
          </cell>
          <cell r="G1081">
            <v>43190</v>
          </cell>
          <cell r="H1081">
            <v>412204.76</v>
          </cell>
          <cell r="I1081" t="str">
            <v>FIN Submission</v>
          </cell>
          <cell r="J1081">
            <v>43507</v>
          </cell>
        </row>
        <row r="1082">
          <cell r="A1082" t="str">
            <v>46310-P956</v>
          </cell>
          <cell r="B1082" t="str">
            <v>2015 Telecom Battery &amp; Charger Rplc</v>
          </cell>
          <cell r="C1082" t="str">
            <v>FIN Approval - Internal</v>
          </cell>
          <cell r="D1082">
            <v>73</v>
          </cell>
          <cell r="E1082" t="str">
            <v>APPROVED</v>
          </cell>
          <cell r="F1082">
            <v>42521</v>
          </cell>
          <cell r="G1082">
            <v>43465</v>
          </cell>
          <cell r="H1082">
            <v>147531.13</v>
          </cell>
          <cell r="I1082" t="str">
            <v>FIN Submission</v>
          </cell>
          <cell r="J1082">
            <v>43507</v>
          </cell>
        </row>
        <row r="1083">
          <cell r="A1083" t="str">
            <v>46050-P944</v>
          </cell>
          <cell r="B1083" t="str">
            <v>Operator Training Simulator</v>
          </cell>
          <cell r="C1083" t="str">
            <v>FIN Approval - Internal</v>
          </cell>
          <cell r="D1083">
            <v>75</v>
          </cell>
          <cell r="E1083" t="str">
            <v>APPROVED</v>
          </cell>
          <cell r="F1083">
            <v>43159</v>
          </cell>
          <cell r="G1083">
            <v>43465</v>
          </cell>
          <cell r="H1083">
            <v>737603.57</v>
          </cell>
          <cell r="I1083" t="str">
            <v>FIN Submission</v>
          </cell>
          <cell r="J1083">
            <v>43507</v>
          </cell>
        </row>
        <row r="1084">
          <cell r="A1084" t="str">
            <v>46356-T841</v>
          </cell>
          <cell r="B1084" t="str">
            <v>2015 Sacrificial Anode Install Prog</v>
          </cell>
          <cell r="C1084" t="str">
            <v>FIN Approval - Internal</v>
          </cell>
          <cell r="D1084">
            <v>76</v>
          </cell>
          <cell r="E1084" t="str">
            <v>APPROVED</v>
          </cell>
          <cell r="F1084">
            <v>42124</v>
          </cell>
          <cell r="G1084">
            <v>42886</v>
          </cell>
          <cell r="H1084">
            <v>2378745.9700000002</v>
          </cell>
          <cell r="I1084" t="str">
            <v>FIN Submission</v>
          </cell>
          <cell r="J1084">
            <v>43507</v>
          </cell>
        </row>
        <row r="1085">
          <cell r="A1085" t="str">
            <v>44972-P932</v>
          </cell>
          <cell r="B1085" t="str">
            <v>2014 Telecom Building Replacement</v>
          </cell>
          <cell r="C1085" t="str">
            <v>FIN Approval - Internal</v>
          </cell>
          <cell r="D1085">
            <v>87</v>
          </cell>
          <cell r="E1085" t="str">
            <v>APPROVED</v>
          </cell>
          <cell r="F1085">
            <v>42095</v>
          </cell>
          <cell r="G1085">
            <v>43039</v>
          </cell>
          <cell r="H1085">
            <v>231400.94</v>
          </cell>
          <cell r="I1085" t="str">
            <v>FIN Submission</v>
          </cell>
          <cell r="J1085">
            <v>43507</v>
          </cell>
        </row>
        <row r="1086">
          <cell r="A1086" t="str">
            <v>44966-P930</v>
          </cell>
          <cell r="B1086" t="str">
            <v>2014 Microwave System Capacity Upgr</v>
          </cell>
          <cell r="C1086" t="str">
            <v>FIN Approval - Internal</v>
          </cell>
          <cell r="D1086">
            <v>89</v>
          </cell>
          <cell r="E1086" t="str">
            <v>APPROVED</v>
          </cell>
          <cell r="F1086">
            <v>42034</v>
          </cell>
          <cell r="G1086">
            <v>42916</v>
          </cell>
          <cell r="H1086">
            <v>401906.92</v>
          </cell>
          <cell r="I1086" t="str">
            <v>FIN Submission</v>
          </cell>
          <cell r="J1086">
            <v>43507</v>
          </cell>
        </row>
        <row r="1087">
          <cell r="A1087" t="str">
            <v>44967-P931</v>
          </cell>
          <cell r="B1087" t="str">
            <v>2014 Multiplexer Network Upgrades</v>
          </cell>
          <cell r="C1087" t="str">
            <v>FIN Approval - Internal</v>
          </cell>
          <cell r="D1087">
            <v>92</v>
          </cell>
          <cell r="E1087" t="str">
            <v>APPROVED</v>
          </cell>
          <cell r="F1087">
            <v>42429</v>
          </cell>
          <cell r="G1087">
            <v>42979</v>
          </cell>
          <cell r="H1087">
            <v>452193.15</v>
          </cell>
          <cell r="I1087" t="str">
            <v>FIN Submission</v>
          </cell>
          <cell r="J1087">
            <v>43507</v>
          </cell>
        </row>
        <row r="1088">
          <cell r="A1088" t="str">
            <v>44775-G176</v>
          </cell>
          <cell r="B1088" t="str">
            <v>TUC#4 LM6000 Generator Stator Refur</v>
          </cell>
          <cell r="C1088" t="str">
            <v>FIN Approval - Internal</v>
          </cell>
          <cell r="D1088">
            <v>92</v>
          </cell>
          <cell r="E1088" t="str">
            <v>APPROVED</v>
          </cell>
          <cell r="F1088">
            <v>42704</v>
          </cell>
          <cell r="G1088">
            <v>43466</v>
          </cell>
          <cell r="H1088">
            <v>1204252.1299999999</v>
          </cell>
          <cell r="I1088" t="str">
            <v>FIN Submission</v>
          </cell>
          <cell r="J1088">
            <v>43507</v>
          </cell>
        </row>
        <row r="1089">
          <cell r="A1089" t="str">
            <v>43203-D642</v>
          </cell>
          <cell r="B1089" t="str">
            <v>58C-405 Belle Cote Phase 1</v>
          </cell>
          <cell r="C1089" t="str">
            <v>FIN Approval - Internal</v>
          </cell>
          <cell r="D1089">
            <v>101</v>
          </cell>
          <cell r="E1089" t="str">
            <v>APPROVED</v>
          </cell>
          <cell r="F1089">
            <v>42307</v>
          </cell>
          <cell r="G1089">
            <v>43496</v>
          </cell>
          <cell r="H1089">
            <v>307312.64000000001</v>
          </cell>
          <cell r="I1089" t="str">
            <v>FIN Submission</v>
          </cell>
          <cell r="J1089">
            <v>43507</v>
          </cell>
        </row>
        <row r="1090">
          <cell r="A1090" t="str">
            <v>43174-P915</v>
          </cell>
          <cell r="B1090" t="str">
            <v>2013 Telecom Building Replacement</v>
          </cell>
          <cell r="C1090" t="str">
            <v>FIN Approval - Internal</v>
          </cell>
          <cell r="D1090">
            <v>102</v>
          </cell>
          <cell r="E1090" t="str">
            <v>APPROVED</v>
          </cell>
          <cell r="F1090">
            <v>42095</v>
          </cell>
          <cell r="G1090">
            <v>43038</v>
          </cell>
          <cell r="H1090">
            <v>235315.01</v>
          </cell>
          <cell r="I1090" t="str">
            <v>FIN Submission</v>
          </cell>
          <cell r="J1090">
            <v>43507</v>
          </cell>
        </row>
        <row r="1091">
          <cell r="A1091" t="str">
            <v>43151-G165</v>
          </cell>
          <cell r="B1091" t="str">
            <v>CT - System 1 for LM6000s</v>
          </cell>
          <cell r="C1091" t="str">
            <v>FIN Approval - Internal</v>
          </cell>
          <cell r="D1091">
            <v>102</v>
          </cell>
          <cell r="E1091" t="str">
            <v>APPROVED</v>
          </cell>
          <cell r="F1091">
            <v>42566</v>
          </cell>
          <cell r="G1091">
            <v>43495</v>
          </cell>
          <cell r="H1091">
            <v>134033.10999999999</v>
          </cell>
          <cell r="I1091" t="str">
            <v>FIN Submission</v>
          </cell>
          <cell r="J1091">
            <v>43507</v>
          </cell>
        </row>
        <row r="1092">
          <cell r="A1092" t="str">
            <v>43173-P913</v>
          </cell>
          <cell r="B1092" t="str">
            <v>2013 Upgrade Multiplexer Group</v>
          </cell>
          <cell r="C1092" t="str">
            <v>FIN Approval - Internal</v>
          </cell>
          <cell r="D1092">
            <v>104</v>
          </cell>
          <cell r="E1092" t="str">
            <v>APPROVED</v>
          </cell>
          <cell r="F1092">
            <v>42719</v>
          </cell>
          <cell r="G1092">
            <v>43099</v>
          </cell>
          <cell r="H1092">
            <v>140190.56</v>
          </cell>
          <cell r="I1092" t="str">
            <v>FIN Submission</v>
          </cell>
          <cell r="J1092">
            <v>43507</v>
          </cell>
        </row>
        <row r="1093">
          <cell r="A1093" t="str">
            <v>41555-T738</v>
          </cell>
          <cell r="B1093" t="str">
            <v>Spare Wind Farm Gen. Transformer</v>
          </cell>
          <cell r="C1093" t="str">
            <v>FIN Approval - Internal</v>
          </cell>
          <cell r="D1093">
            <v>104</v>
          </cell>
          <cell r="E1093" t="str">
            <v>APPROVED</v>
          </cell>
          <cell r="F1093">
            <v>41577</v>
          </cell>
          <cell r="G1093">
            <v>42003</v>
          </cell>
          <cell r="H1093">
            <v>776283.2</v>
          </cell>
          <cell r="I1093" t="str">
            <v>FIN Submission</v>
          </cell>
          <cell r="J1093">
            <v>43507</v>
          </cell>
        </row>
        <row r="1094">
          <cell r="A1094" t="str">
            <v>41341-D427</v>
          </cell>
          <cell r="B1094" t="str">
            <v>1H-Water Street New Feeder</v>
          </cell>
          <cell r="C1094" t="str">
            <v>FIN Approval - Internal</v>
          </cell>
          <cell r="D1094">
            <v>132</v>
          </cell>
          <cell r="E1094" t="str">
            <v>APPROVED</v>
          </cell>
          <cell r="F1094">
            <v>42429</v>
          </cell>
          <cell r="G1094">
            <v>43465</v>
          </cell>
          <cell r="H1094">
            <v>373801.96</v>
          </cell>
          <cell r="I1094" t="str">
            <v>FIN Submission</v>
          </cell>
          <cell r="J1094">
            <v>43507</v>
          </cell>
        </row>
        <row r="1095">
          <cell r="A1095" t="str">
            <v>43260-T746</v>
          </cell>
          <cell r="B1095" t="str">
            <v>2013 Trans Line Insulator Replace</v>
          </cell>
          <cell r="C1095" t="str">
            <v>FIN Approval - External</v>
          </cell>
          <cell r="D1095">
            <v>96</v>
          </cell>
          <cell r="E1095" t="str">
            <v>APPROVED</v>
          </cell>
          <cell r="F1095">
            <v>42643</v>
          </cell>
          <cell r="G1095">
            <v>43008</v>
          </cell>
          <cell r="H1095">
            <v>303626.15999999997</v>
          </cell>
          <cell r="I1095" t="str">
            <v>FIN Submission</v>
          </cell>
          <cell r="J1095">
            <v>43490</v>
          </cell>
        </row>
        <row r="1096">
          <cell r="A1096" t="str">
            <v>43683-T789</v>
          </cell>
          <cell r="B1096" t="str">
            <v>South Canoe Wind Project Tx Line</v>
          </cell>
          <cell r="C1096" t="str">
            <v>FIN Approval - External</v>
          </cell>
          <cell r="D1096">
            <v>105</v>
          </cell>
          <cell r="E1096" t="str">
            <v>APPROVED</v>
          </cell>
          <cell r="F1096">
            <v>41943</v>
          </cell>
          <cell r="G1096">
            <v>43404</v>
          </cell>
          <cell r="H1096">
            <v>5179766.6500000004</v>
          </cell>
          <cell r="I1096" t="str">
            <v>FIN Submission</v>
          </cell>
          <cell r="J1096">
            <v>43483</v>
          </cell>
        </row>
        <row r="1097">
          <cell r="A1097" t="str">
            <v>47703-SF73</v>
          </cell>
          <cell r="B1097" t="str">
            <v>POT - Replace DCS servers</v>
          </cell>
          <cell r="C1097" t="str">
            <v>FIN Approval - Internal</v>
          </cell>
          <cell r="D1097">
            <v>58</v>
          </cell>
          <cell r="E1097" t="str">
            <v>APPROVED</v>
          </cell>
          <cell r="F1097">
            <v>42916</v>
          </cell>
          <cell r="G1097">
            <v>43281</v>
          </cell>
          <cell r="H1097">
            <v>247397.56</v>
          </cell>
          <cell r="I1097" t="str">
            <v>FIN Submission</v>
          </cell>
          <cell r="J1097">
            <v>43468</v>
          </cell>
        </row>
        <row r="1098">
          <cell r="A1098" t="str">
            <v>47687-SF30</v>
          </cell>
          <cell r="B1098" t="str">
            <v>POT - Unit 2 Boiler Reconditioning</v>
          </cell>
          <cell r="C1098" t="str">
            <v>FIN Approval - Internal</v>
          </cell>
          <cell r="D1098">
            <v>64</v>
          </cell>
          <cell r="E1098" t="str">
            <v>APPROVED</v>
          </cell>
          <cell r="F1098">
            <v>42916</v>
          </cell>
          <cell r="G1098">
            <v>43434</v>
          </cell>
          <cell r="H1098">
            <v>1588495.46</v>
          </cell>
          <cell r="I1098" t="str">
            <v>FIN Submission</v>
          </cell>
          <cell r="J1098">
            <v>43468</v>
          </cell>
        </row>
        <row r="1099">
          <cell r="A1099" t="str">
            <v>47055-D633</v>
          </cell>
          <cell r="B1099" t="str">
            <v>50W-412 Camperdown Overloaded Equip</v>
          </cell>
          <cell r="C1099" t="str">
            <v>FIN Approval - Internal</v>
          </cell>
          <cell r="D1099">
            <v>66</v>
          </cell>
          <cell r="E1099" t="str">
            <v>APPROVED</v>
          </cell>
          <cell r="F1099">
            <v>42825</v>
          </cell>
          <cell r="G1099">
            <v>43465</v>
          </cell>
          <cell r="H1099">
            <v>146219.44</v>
          </cell>
          <cell r="I1099" t="str">
            <v>FIN Submission</v>
          </cell>
          <cell r="J1099">
            <v>43468</v>
          </cell>
        </row>
        <row r="1100">
          <cell r="A1100" t="str">
            <v>46422-SE41</v>
          </cell>
          <cell r="B1100" t="str">
            <v>POT - Automatic trash rack cleaning</v>
          </cell>
          <cell r="C1100" t="str">
            <v>FIN Approval - Internal</v>
          </cell>
          <cell r="D1100">
            <v>76</v>
          </cell>
          <cell r="E1100" t="str">
            <v>APPROVED</v>
          </cell>
          <cell r="F1100">
            <v>43069</v>
          </cell>
          <cell r="G1100">
            <v>43401</v>
          </cell>
          <cell r="H1100">
            <v>524740.27</v>
          </cell>
          <cell r="I1100" t="str">
            <v>FIN Submission</v>
          </cell>
          <cell r="J1100">
            <v>43468</v>
          </cell>
        </row>
        <row r="1101">
          <cell r="A1101" t="str">
            <v>45003-D652</v>
          </cell>
          <cell r="B1101" t="str">
            <v>2015 Hydraulic Recloser Repl.</v>
          </cell>
          <cell r="C1101" t="str">
            <v>FIN Approval - Internal</v>
          </cell>
          <cell r="D1101">
            <v>89</v>
          </cell>
          <cell r="E1101" t="str">
            <v>APPROVED</v>
          </cell>
          <cell r="F1101">
            <v>42689</v>
          </cell>
          <cell r="G1101">
            <v>43465</v>
          </cell>
          <cell r="H1101">
            <v>237079.49</v>
          </cell>
          <cell r="I1101" t="str">
            <v>FIN Submission</v>
          </cell>
          <cell r="J1101">
            <v>43468</v>
          </cell>
        </row>
        <row r="1102">
          <cell r="A1102" t="str">
            <v>43033-SH97</v>
          </cell>
          <cell r="B1102" t="str">
            <v>POT - Breaker Replacements and Refu</v>
          </cell>
          <cell r="C1102" t="str">
            <v>FIN Approval - Internal</v>
          </cell>
          <cell r="D1102">
            <v>103</v>
          </cell>
          <cell r="E1102" t="str">
            <v>APPROVED</v>
          </cell>
          <cell r="F1102">
            <v>42916</v>
          </cell>
          <cell r="G1102">
            <v>43281</v>
          </cell>
          <cell r="H1102">
            <v>71588.289999999994</v>
          </cell>
          <cell r="I1102" t="str">
            <v>FIN Submission</v>
          </cell>
          <cell r="J1102">
            <v>43468</v>
          </cell>
        </row>
        <row r="1103">
          <cell r="A1103" t="str">
            <v>43681-T788</v>
          </cell>
          <cell r="B1103" t="str">
            <v>South Canoe Subs. Network Upgrades</v>
          </cell>
          <cell r="C1103" t="str">
            <v>FIN Approval - External</v>
          </cell>
          <cell r="D1103">
            <v>104</v>
          </cell>
          <cell r="E1103" t="str">
            <v>APPROVED</v>
          </cell>
          <cell r="F1103">
            <v>41943</v>
          </cell>
          <cell r="G1103">
            <v>43404</v>
          </cell>
          <cell r="H1103">
            <v>4270257.5999999996</v>
          </cell>
          <cell r="I1103" t="str">
            <v>FIN Submission</v>
          </cell>
          <cell r="J1103">
            <v>43468</v>
          </cell>
        </row>
        <row r="1104">
          <cell r="A1104" t="str">
            <v>20758-H650</v>
          </cell>
          <cell r="B1104" t="str">
            <v>HYD - U&amp;U Nictaux Intake &amp; Pipeline</v>
          </cell>
          <cell r="C1104" t="str">
            <v>FIN Approval - External</v>
          </cell>
          <cell r="D1104">
            <v>183</v>
          </cell>
          <cell r="E1104" t="str">
            <v>APPROVED</v>
          </cell>
          <cell r="F1104">
            <v>42338</v>
          </cell>
          <cell r="G1104">
            <v>43404</v>
          </cell>
          <cell r="H1104">
            <v>3522587.68</v>
          </cell>
          <cell r="I1104" t="str">
            <v>FIN Submission</v>
          </cell>
          <cell r="J1104">
            <v>43468</v>
          </cell>
        </row>
        <row r="1105">
          <cell r="A1105" t="str">
            <v>49464-SH89</v>
          </cell>
          <cell r="B1105" t="str">
            <v>POT - E Coal Conveyor Refurbishment</v>
          </cell>
          <cell r="C1105" t="str">
            <v>FIN Approval - Internal</v>
          </cell>
          <cell r="D1105">
            <v>35</v>
          </cell>
          <cell r="E1105" t="str">
            <v>APPROVED</v>
          </cell>
          <cell r="F1105">
            <v>42916</v>
          </cell>
          <cell r="G1105">
            <v>43281</v>
          </cell>
          <cell r="H1105">
            <v>71420.850000000006</v>
          </cell>
          <cell r="I1105" t="str">
            <v>FIN Submission</v>
          </cell>
          <cell r="J1105">
            <v>43454</v>
          </cell>
        </row>
        <row r="1106">
          <cell r="A1106" t="str">
            <v>49501-SI80</v>
          </cell>
          <cell r="B1106" t="str">
            <v>PHB - Selective Turbine Valve Refur</v>
          </cell>
          <cell r="C1106" t="str">
            <v>FIN Approval - Internal</v>
          </cell>
          <cell r="D1106">
            <v>36</v>
          </cell>
          <cell r="E1106" t="str">
            <v>APPROVED</v>
          </cell>
          <cell r="F1106">
            <v>42977</v>
          </cell>
          <cell r="G1106">
            <v>43252</v>
          </cell>
          <cell r="H1106">
            <v>220677.65</v>
          </cell>
          <cell r="I1106" t="str">
            <v>FIN Submission</v>
          </cell>
          <cell r="J1106">
            <v>43454</v>
          </cell>
        </row>
        <row r="1107">
          <cell r="A1107" t="str">
            <v>49511-SI16</v>
          </cell>
          <cell r="B1107" t="str">
            <v>POT - Replace ID fan damper drives</v>
          </cell>
          <cell r="C1107" t="str">
            <v>FIN Approval - Internal</v>
          </cell>
          <cell r="D1107">
            <v>36</v>
          </cell>
          <cell r="E1107" t="str">
            <v>APPROVED</v>
          </cell>
          <cell r="F1107">
            <v>42899</v>
          </cell>
          <cell r="G1107">
            <v>43264</v>
          </cell>
          <cell r="H1107">
            <v>217348.49</v>
          </cell>
          <cell r="I1107" t="str">
            <v>FIN Submission</v>
          </cell>
          <cell r="J1107">
            <v>43454</v>
          </cell>
        </row>
        <row r="1108">
          <cell r="A1108" t="str">
            <v>49510-SH90</v>
          </cell>
          <cell r="B1108" t="str">
            <v xml:space="preserve">POT - Refurbish travelling screens </v>
          </cell>
          <cell r="C1108" t="str">
            <v>FIN Approval - Internal</v>
          </cell>
          <cell r="D1108">
            <v>37</v>
          </cell>
          <cell r="E1108" t="str">
            <v>APPROVED</v>
          </cell>
          <cell r="F1108">
            <v>42977</v>
          </cell>
          <cell r="G1108">
            <v>43281</v>
          </cell>
          <cell r="H1108">
            <v>88675.96</v>
          </cell>
          <cell r="I1108" t="str">
            <v>FIN Submission</v>
          </cell>
          <cell r="J1108">
            <v>43454</v>
          </cell>
        </row>
        <row r="1109">
          <cell r="A1109" t="str">
            <v>49467-SH40</v>
          </cell>
          <cell r="B1109" t="str">
            <v>POT - SSC refurbishment</v>
          </cell>
          <cell r="C1109" t="str">
            <v>FIN Approval - Internal</v>
          </cell>
          <cell r="D1109">
            <v>37</v>
          </cell>
          <cell r="E1109" t="str">
            <v>APPROVED</v>
          </cell>
          <cell r="F1109">
            <v>42916</v>
          </cell>
          <cell r="G1109">
            <v>43281</v>
          </cell>
          <cell r="H1109">
            <v>198390.73</v>
          </cell>
          <cell r="I1109" t="str">
            <v>FIN Submission</v>
          </cell>
          <cell r="J1109">
            <v>43454</v>
          </cell>
        </row>
        <row r="1110">
          <cell r="A1110" t="str">
            <v>49512-SG94</v>
          </cell>
          <cell r="B1110" t="str">
            <v>POT - PLC Migration - Coal system</v>
          </cell>
          <cell r="C1110" t="str">
            <v>FIN Approval - Internal</v>
          </cell>
          <cell r="D1110">
            <v>38</v>
          </cell>
          <cell r="E1110" t="str">
            <v>APPROVED</v>
          </cell>
          <cell r="F1110">
            <v>42916</v>
          </cell>
          <cell r="G1110">
            <v>43281</v>
          </cell>
          <cell r="H1110">
            <v>173887.53</v>
          </cell>
          <cell r="I1110" t="str">
            <v>FIN Submission</v>
          </cell>
          <cell r="J1110">
            <v>43454</v>
          </cell>
        </row>
        <row r="1111">
          <cell r="A1111" t="str">
            <v>49419-SH64</v>
          </cell>
          <cell r="B1111" t="str">
            <v>POT - Selective Boiler Refurbishmen</v>
          </cell>
          <cell r="C1111" t="str">
            <v>FIN Approval - Internal</v>
          </cell>
          <cell r="D1111">
            <v>46</v>
          </cell>
          <cell r="E1111" t="str">
            <v>APPROVED</v>
          </cell>
          <cell r="F1111">
            <v>42916</v>
          </cell>
          <cell r="G1111">
            <v>43220</v>
          </cell>
          <cell r="H1111">
            <v>1180397.1200000001</v>
          </cell>
          <cell r="I1111" t="str">
            <v>FIN Submission</v>
          </cell>
          <cell r="J1111">
            <v>43454</v>
          </cell>
        </row>
        <row r="1112">
          <cell r="A1112" t="str">
            <v>49113-D741</v>
          </cell>
          <cell r="B1112" t="str">
            <v xml:space="preserve">12V-303G - Clementsport Rd Rebuild </v>
          </cell>
          <cell r="C1112" t="str">
            <v>FIN Approval - Internal</v>
          </cell>
          <cell r="D1112">
            <v>48</v>
          </cell>
          <cell r="E1112" t="str">
            <v>APPROVED</v>
          </cell>
          <cell r="F1112">
            <v>42916</v>
          </cell>
          <cell r="G1112">
            <v>43465</v>
          </cell>
          <cell r="H1112">
            <v>129382.28</v>
          </cell>
          <cell r="I1112" t="str">
            <v>FIN Submission</v>
          </cell>
          <cell r="J1112">
            <v>43454</v>
          </cell>
        </row>
        <row r="1113">
          <cell r="A1113" t="str">
            <v>49191-D747</v>
          </cell>
          <cell r="B1113" t="str">
            <v>16V-314H St Bernard’s 3ph Extension</v>
          </cell>
          <cell r="C1113" t="str">
            <v>FIN Approval - Internal</v>
          </cell>
          <cell r="D1113">
            <v>49</v>
          </cell>
          <cell r="E1113" t="str">
            <v>APPROVED</v>
          </cell>
          <cell r="F1113">
            <v>42870</v>
          </cell>
          <cell r="G1113">
            <v>43465</v>
          </cell>
          <cell r="H1113">
            <v>101702.26</v>
          </cell>
          <cell r="I1113" t="str">
            <v>FIN Submission</v>
          </cell>
          <cell r="J1113">
            <v>43454</v>
          </cell>
        </row>
        <row r="1114">
          <cell r="A1114" t="str">
            <v>49060-SH98</v>
          </cell>
          <cell r="B1114" t="str">
            <v xml:space="preserve">POT - Condenser Dog Bone Expansion </v>
          </cell>
          <cell r="C1114" t="str">
            <v>FIN Approval - Internal</v>
          </cell>
          <cell r="D1114">
            <v>49</v>
          </cell>
          <cell r="E1114" t="str">
            <v>APPROVED</v>
          </cell>
          <cell r="F1114">
            <v>42902</v>
          </cell>
          <cell r="G1114">
            <v>43267</v>
          </cell>
          <cell r="H1114">
            <v>148198.94</v>
          </cell>
          <cell r="I1114" t="str">
            <v>FIN Submission</v>
          </cell>
          <cell r="J1114">
            <v>43454</v>
          </cell>
        </row>
        <row r="1115">
          <cell r="A1115" t="str">
            <v>48976-D732</v>
          </cell>
          <cell r="B1115" t="str">
            <v>46W-301 Port Joli Rebuild</v>
          </cell>
          <cell r="C1115" t="str">
            <v>FIN Approval - Internal</v>
          </cell>
          <cell r="D1115">
            <v>51</v>
          </cell>
          <cell r="E1115" t="str">
            <v>APPROVED</v>
          </cell>
          <cell r="F1115">
            <v>42734</v>
          </cell>
          <cell r="G1115">
            <v>43465</v>
          </cell>
          <cell r="H1115">
            <v>114626.83</v>
          </cell>
          <cell r="I1115" t="str">
            <v>FIN Submission</v>
          </cell>
          <cell r="J1115">
            <v>43454</v>
          </cell>
        </row>
        <row r="1116">
          <cell r="A1116" t="str">
            <v>48535-H752</v>
          </cell>
          <cell r="B1116" t="str">
            <v>HYD Scragg Lake Dam Spillway Refurb</v>
          </cell>
          <cell r="C1116" t="str">
            <v>FIN Approval - External</v>
          </cell>
          <cell r="D1116">
            <v>55</v>
          </cell>
          <cell r="E1116" t="str">
            <v>APPROVED</v>
          </cell>
          <cell r="F1116">
            <v>43069</v>
          </cell>
          <cell r="G1116">
            <v>43404</v>
          </cell>
          <cell r="H1116">
            <v>1625671.86</v>
          </cell>
          <cell r="I1116" t="str">
            <v>FIN Submission</v>
          </cell>
          <cell r="J1116">
            <v>43454</v>
          </cell>
        </row>
        <row r="1117">
          <cell r="A1117" t="str">
            <v>47721-D670</v>
          </cell>
          <cell r="B1117" t="str">
            <v>2016 PCB Phase-out for Pole Top Tx</v>
          </cell>
          <cell r="C1117" t="str">
            <v>FIN Approval - Internal</v>
          </cell>
          <cell r="D1117">
            <v>61</v>
          </cell>
          <cell r="E1117" t="str">
            <v>APPROVED</v>
          </cell>
          <cell r="F1117">
            <v>43100</v>
          </cell>
          <cell r="G1117">
            <v>43465</v>
          </cell>
          <cell r="H1117">
            <v>4199560.83</v>
          </cell>
          <cell r="I1117" t="str">
            <v>FIN Submission</v>
          </cell>
          <cell r="J1117">
            <v>43454</v>
          </cell>
        </row>
        <row r="1118">
          <cell r="A1118" t="str">
            <v>C0002650</v>
          </cell>
          <cell r="B1118" t="str">
            <v>TRE5 BFP Recirc Valve Replace U&amp;U</v>
          </cell>
          <cell r="C1118" t="str">
            <v>FIN Approval - Internal</v>
          </cell>
          <cell r="D1118">
            <v>21</v>
          </cell>
          <cell r="E1118" t="str">
            <v>APPROVED</v>
          </cell>
          <cell r="F1118">
            <v>43054</v>
          </cell>
          <cell r="G1118">
            <v>43449</v>
          </cell>
          <cell r="H1118">
            <v>108546.29</v>
          </cell>
          <cell r="I1118" t="str">
            <v>FIN Submission</v>
          </cell>
          <cell r="J1118">
            <v>43452</v>
          </cell>
        </row>
        <row r="1119">
          <cell r="A1119" t="str">
            <v>C0002020</v>
          </cell>
          <cell r="B1119" t="str">
            <v>TRE6 Boiler Water Wall Panel U&amp;U</v>
          </cell>
          <cell r="C1119" t="str">
            <v>FIN Approval - Internal</v>
          </cell>
          <cell r="D1119">
            <v>22</v>
          </cell>
          <cell r="E1119" t="str">
            <v>APPROVED</v>
          </cell>
          <cell r="F1119">
            <v>43068</v>
          </cell>
          <cell r="G1119">
            <v>43388</v>
          </cell>
          <cell r="H1119">
            <v>884687.94</v>
          </cell>
          <cell r="I1119" t="str">
            <v>FIN Submission</v>
          </cell>
          <cell r="J1119">
            <v>43452</v>
          </cell>
        </row>
        <row r="1120">
          <cell r="A1120" t="str">
            <v>49051-SG31</v>
          </cell>
          <cell r="B1120" t="str">
            <v>LIN4 UU Misc. Valve Refubishment</v>
          </cell>
          <cell r="C1120" t="str">
            <v>FIN Approval - Internal</v>
          </cell>
          <cell r="D1120">
            <v>26</v>
          </cell>
          <cell r="E1120" t="str">
            <v>APPROVED</v>
          </cell>
          <cell r="F1120">
            <v>42532</v>
          </cell>
          <cell r="G1120">
            <v>43080</v>
          </cell>
          <cell r="H1120">
            <v>244497.2</v>
          </cell>
          <cell r="I1120" t="str">
            <v>FIN Submission</v>
          </cell>
          <cell r="J1120">
            <v>43452</v>
          </cell>
        </row>
        <row r="1121">
          <cell r="A1121" t="str">
            <v>51572</v>
          </cell>
          <cell r="B1121" t="str">
            <v>Mount Hope Ave Mini Sub</v>
          </cell>
          <cell r="C1121" t="str">
            <v>FIN Approval - Internal</v>
          </cell>
          <cell r="D1121">
            <v>29</v>
          </cell>
          <cell r="E1121" t="str">
            <v>APPROVED</v>
          </cell>
          <cell r="F1121">
            <v>43099</v>
          </cell>
          <cell r="G1121">
            <v>43465</v>
          </cell>
          <cell r="H1121">
            <v>96423.67</v>
          </cell>
          <cell r="I1121" t="str">
            <v>FIN Submission</v>
          </cell>
          <cell r="J1121">
            <v>43452</v>
          </cell>
        </row>
        <row r="1122">
          <cell r="A1122" t="str">
            <v>50722-D811</v>
          </cell>
          <cell r="B1122" t="str">
            <v>88H-401-Higginsville Rd-Rebuild</v>
          </cell>
          <cell r="C1122" t="str">
            <v>FIN Approval - Internal</v>
          </cell>
          <cell r="D1122">
            <v>30</v>
          </cell>
          <cell r="E1122" t="str">
            <v>APPROVED</v>
          </cell>
          <cell r="F1122">
            <v>42916</v>
          </cell>
          <cell r="G1122">
            <v>43465</v>
          </cell>
          <cell r="H1122">
            <v>81396.03</v>
          </cell>
          <cell r="I1122" t="str">
            <v>FIN Submission</v>
          </cell>
          <cell r="J1122">
            <v>43452</v>
          </cell>
        </row>
        <row r="1123">
          <cell r="A1123" t="str">
            <v>50711-D807</v>
          </cell>
          <cell r="B1123" t="str">
            <v>5N-301 Debert Beach Road Pole Replc</v>
          </cell>
          <cell r="C1123" t="str">
            <v>FIN Approval - Internal</v>
          </cell>
          <cell r="D1123">
            <v>31</v>
          </cell>
          <cell r="E1123" t="str">
            <v>APPROVED</v>
          </cell>
          <cell r="F1123">
            <v>42782</v>
          </cell>
          <cell r="G1123">
            <v>43465</v>
          </cell>
          <cell r="H1123">
            <v>12851.58</v>
          </cell>
          <cell r="I1123" t="str">
            <v>FIN Submission</v>
          </cell>
          <cell r="J1123">
            <v>43452</v>
          </cell>
        </row>
        <row r="1124">
          <cell r="A1124" t="str">
            <v>50719-D816</v>
          </cell>
          <cell r="B1124" t="str">
            <v>7N-301G-Ferry Rd - Phase Extension</v>
          </cell>
          <cell r="C1124" t="str">
            <v>FIN Approval - Internal</v>
          </cell>
          <cell r="D1124">
            <v>31</v>
          </cell>
          <cell r="E1124" t="str">
            <v>APPROVED</v>
          </cell>
          <cell r="F1124">
            <v>43038</v>
          </cell>
          <cell r="G1124">
            <v>43465</v>
          </cell>
          <cell r="H1124">
            <v>176000.1</v>
          </cell>
          <cell r="I1124" t="str">
            <v>FIN Submission</v>
          </cell>
          <cell r="J1124">
            <v>43452</v>
          </cell>
        </row>
        <row r="1125">
          <cell r="A1125" t="str">
            <v>50737-D813</v>
          </cell>
          <cell r="B1125" t="str">
            <v>36N-201 - Boars Back Rd Rebuild</v>
          </cell>
          <cell r="C1125" t="str">
            <v>FIN Approval - Internal</v>
          </cell>
          <cell r="D1125">
            <v>32</v>
          </cell>
          <cell r="E1125" t="str">
            <v>APPROVED</v>
          </cell>
          <cell r="F1125">
            <v>43190</v>
          </cell>
          <cell r="G1125">
            <v>43434</v>
          </cell>
          <cell r="H1125">
            <v>329735.27</v>
          </cell>
          <cell r="I1125" t="str">
            <v>FIN Submission</v>
          </cell>
          <cell r="J1125">
            <v>43452</v>
          </cell>
        </row>
        <row r="1126">
          <cell r="A1126" t="str">
            <v>50935-D819</v>
          </cell>
          <cell r="B1126" t="str">
            <v>551C-301 - Little Liscomb Rd - Rebu</v>
          </cell>
          <cell r="C1126" t="str">
            <v>FIN Approval - Internal</v>
          </cell>
          <cell r="D1126">
            <v>32</v>
          </cell>
          <cell r="E1126" t="str">
            <v>APPROVED</v>
          </cell>
          <cell r="F1126">
            <v>43190</v>
          </cell>
          <cell r="G1126">
            <v>43465</v>
          </cell>
          <cell r="H1126">
            <v>140274.10999999999</v>
          </cell>
          <cell r="I1126" t="str">
            <v>FIN Submission</v>
          </cell>
          <cell r="J1126">
            <v>43452</v>
          </cell>
        </row>
        <row r="1127">
          <cell r="A1127" t="str">
            <v>51114-P137</v>
          </cell>
          <cell r="B1127" t="str">
            <v>Depot Upgrades Central</v>
          </cell>
          <cell r="C1127" t="str">
            <v>FIN Approval - Internal</v>
          </cell>
          <cell r="D1127">
            <v>32</v>
          </cell>
          <cell r="E1127" t="str">
            <v>APPROVED</v>
          </cell>
          <cell r="F1127">
            <v>43008</v>
          </cell>
          <cell r="G1127">
            <v>43434</v>
          </cell>
          <cell r="H1127">
            <v>233856.21</v>
          </cell>
          <cell r="I1127" t="str">
            <v>FIN Submission</v>
          </cell>
          <cell r="J1127">
            <v>43452</v>
          </cell>
        </row>
        <row r="1128">
          <cell r="A1128" t="str">
            <v>49633-H779</v>
          </cell>
          <cell r="B1128" t="str">
            <v>HYD - Trout River Lake Canal Refurb</v>
          </cell>
          <cell r="C1128" t="str">
            <v>FIN Approval - External</v>
          </cell>
          <cell r="D1128">
            <v>41</v>
          </cell>
          <cell r="E1128" t="str">
            <v>APPROVED</v>
          </cell>
          <cell r="F1128">
            <v>43100</v>
          </cell>
          <cell r="G1128">
            <v>43373</v>
          </cell>
          <cell r="H1128">
            <v>165817.97</v>
          </cell>
          <cell r="I1128" t="str">
            <v>FIN Submission</v>
          </cell>
          <cell r="J1128">
            <v>43452</v>
          </cell>
        </row>
        <row r="1129">
          <cell r="A1129" t="str">
            <v>49482-SH56</v>
          </cell>
          <cell r="B1129" t="str">
            <v>POA Coal System Refurbishment</v>
          </cell>
          <cell r="C1129" t="str">
            <v>FIN Approval - Internal</v>
          </cell>
          <cell r="D1129">
            <v>43</v>
          </cell>
          <cell r="E1129" t="str">
            <v>APPROVED</v>
          </cell>
          <cell r="F1129">
            <v>42936</v>
          </cell>
          <cell r="G1129">
            <v>43454</v>
          </cell>
          <cell r="H1129">
            <v>307027.88</v>
          </cell>
          <cell r="I1129" t="str">
            <v>FIN Submission</v>
          </cell>
          <cell r="J1129">
            <v>43452</v>
          </cell>
        </row>
        <row r="1130">
          <cell r="A1130" t="str">
            <v>49476-SI35</v>
          </cell>
          <cell r="B1130" t="str">
            <v>POA SH3 Tube Replacement Phase 3</v>
          </cell>
          <cell r="C1130" t="str">
            <v>FIN Approval - Internal</v>
          </cell>
          <cell r="D1130">
            <v>43</v>
          </cell>
          <cell r="E1130" t="str">
            <v>APPROVED</v>
          </cell>
          <cell r="F1130">
            <v>42935</v>
          </cell>
          <cell r="G1130">
            <v>43453</v>
          </cell>
          <cell r="H1130">
            <v>602859.21</v>
          </cell>
          <cell r="I1130" t="str">
            <v>FIN Submission</v>
          </cell>
          <cell r="J1130">
            <v>43452</v>
          </cell>
        </row>
        <row r="1131">
          <cell r="A1131" t="str">
            <v>49487-SH77</v>
          </cell>
          <cell r="B1131" t="str">
            <v>POA Turbine Valve Refurbishment</v>
          </cell>
          <cell r="C1131" t="str">
            <v>FIN Approval - Internal</v>
          </cell>
          <cell r="D1131">
            <v>43</v>
          </cell>
          <cell r="E1131" t="str">
            <v>APPROVED</v>
          </cell>
          <cell r="F1131">
            <v>42923</v>
          </cell>
          <cell r="G1131">
            <v>43465</v>
          </cell>
          <cell r="H1131">
            <v>242021.45</v>
          </cell>
          <cell r="I1131" t="str">
            <v>FIN Submission</v>
          </cell>
          <cell r="J1131">
            <v>43452</v>
          </cell>
        </row>
        <row r="1132">
          <cell r="A1132" t="str">
            <v>48511-SF33</v>
          </cell>
          <cell r="B1132" t="str">
            <v>TUC3 Main and Auxiliary Governors</v>
          </cell>
          <cell r="C1132" t="str">
            <v>FIN Approval - Internal</v>
          </cell>
          <cell r="D1132">
            <v>44</v>
          </cell>
          <cell r="E1132" t="str">
            <v>APPROVED</v>
          </cell>
          <cell r="F1132">
            <v>42369</v>
          </cell>
          <cell r="G1132">
            <v>43281</v>
          </cell>
          <cell r="H1132">
            <v>129800.35</v>
          </cell>
          <cell r="I1132" t="str">
            <v>FIN Submission</v>
          </cell>
          <cell r="J1132">
            <v>43452</v>
          </cell>
        </row>
        <row r="1133">
          <cell r="A1133" t="str">
            <v>49450-SG99</v>
          </cell>
          <cell r="B1133" t="str">
            <v>LIN PA Service Air Compressor Repl.</v>
          </cell>
          <cell r="C1133" t="str">
            <v>FIN Approval - Internal</v>
          </cell>
          <cell r="D1133">
            <v>45</v>
          </cell>
          <cell r="E1133" t="str">
            <v>APPROVED</v>
          </cell>
          <cell r="F1133">
            <v>42660</v>
          </cell>
          <cell r="G1133">
            <v>43465</v>
          </cell>
          <cell r="H1133">
            <v>213047.58</v>
          </cell>
          <cell r="I1133" t="str">
            <v>FIN Submission</v>
          </cell>
          <cell r="J1133">
            <v>43452</v>
          </cell>
        </row>
        <row r="1134">
          <cell r="A1134" t="str">
            <v>49415-SG62</v>
          </cell>
          <cell r="B1134" t="str">
            <v>LIN4 UU HP IP Seal Replacement</v>
          </cell>
          <cell r="C1134" t="str">
            <v>FIN Approval - Internal</v>
          </cell>
          <cell r="D1134">
            <v>48</v>
          </cell>
          <cell r="E1134" t="str">
            <v>APPROVED</v>
          </cell>
          <cell r="F1134">
            <v>42535</v>
          </cell>
          <cell r="G1134">
            <v>43465</v>
          </cell>
          <cell r="H1134">
            <v>552137.12</v>
          </cell>
          <cell r="I1134" t="str">
            <v>FIN Submission</v>
          </cell>
          <cell r="J1134">
            <v>43452</v>
          </cell>
        </row>
        <row r="1135">
          <cell r="A1135" t="str">
            <v>48775-SF90</v>
          </cell>
          <cell r="B1135" t="str">
            <v>LIN34 PA GSCW Reconditioning</v>
          </cell>
          <cell r="C1135" t="str">
            <v>FIN Approval - Internal</v>
          </cell>
          <cell r="D1135">
            <v>49</v>
          </cell>
          <cell r="E1135" t="str">
            <v>APPROVED</v>
          </cell>
          <cell r="F1135">
            <v>42549</v>
          </cell>
          <cell r="G1135">
            <v>43097</v>
          </cell>
          <cell r="H1135">
            <v>198285.7</v>
          </cell>
          <cell r="I1135" t="str">
            <v>FIN Submission</v>
          </cell>
          <cell r="J1135">
            <v>43452</v>
          </cell>
        </row>
        <row r="1136">
          <cell r="A1136" t="str">
            <v>48193-D687</v>
          </cell>
          <cell r="B1136" t="str">
            <v>IR 503 Bridgewater Biomass</v>
          </cell>
          <cell r="C1136" t="str">
            <v>FIN Approval - Internal</v>
          </cell>
          <cell r="D1136">
            <v>51</v>
          </cell>
          <cell r="E1136" t="str">
            <v>APPROVED</v>
          </cell>
          <cell r="F1136">
            <v>43465</v>
          </cell>
          <cell r="G1136">
            <v>43465</v>
          </cell>
          <cell r="H1136">
            <v>0</v>
          </cell>
          <cell r="I1136" t="str">
            <v>FIN Submission</v>
          </cell>
          <cell r="J1136">
            <v>43452</v>
          </cell>
        </row>
        <row r="1137">
          <cell r="A1137" t="str">
            <v>47868-SF97</v>
          </cell>
          <cell r="B1137" t="str">
            <v>LIN Stack Lighting Replacement</v>
          </cell>
          <cell r="C1137" t="str">
            <v>FIN Approval - Internal</v>
          </cell>
          <cell r="D1137">
            <v>56</v>
          </cell>
          <cell r="E1137" t="str">
            <v>APPROVED</v>
          </cell>
          <cell r="F1137">
            <v>42674</v>
          </cell>
          <cell r="G1137">
            <v>43100</v>
          </cell>
          <cell r="H1137">
            <v>249835.97</v>
          </cell>
          <cell r="I1137" t="str">
            <v>FIN Submission</v>
          </cell>
          <cell r="J1137">
            <v>43452</v>
          </cell>
        </row>
        <row r="1138">
          <cell r="A1138" t="str">
            <v>47865-SF75</v>
          </cell>
          <cell r="B1138" t="str">
            <v>LIN Heavy Oil Suction Line Repl. 1</v>
          </cell>
          <cell r="C1138" t="str">
            <v>FIN Approval - Internal</v>
          </cell>
          <cell r="D1138">
            <v>57</v>
          </cell>
          <cell r="E1138" t="str">
            <v>APPROVED</v>
          </cell>
          <cell r="F1138">
            <v>42766</v>
          </cell>
          <cell r="G1138">
            <v>43069</v>
          </cell>
          <cell r="H1138">
            <v>242050.84</v>
          </cell>
          <cell r="I1138" t="str">
            <v>FIN Submission</v>
          </cell>
          <cell r="J1138">
            <v>43452</v>
          </cell>
        </row>
        <row r="1139">
          <cell r="A1139" t="str">
            <v>47498-SF87</v>
          </cell>
          <cell r="B1139" t="str">
            <v>LIN - Crusher/Dumper Fire Sys. Refu</v>
          </cell>
          <cell r="C1139" t="str">
            <v>FIN Approval - Internal</v>
          </cell>
          <cell r="D1139">
            <v>58</v>
          </cell>
          <cell r="E1139" t="str">
            <v>APPROVED</v>
          </cell>
          <cell r="F1139">
            <v>42732</v>
          </cell>
          <cell r="G1139">
            <v>43309</v>
          </cell>
          <cell r="H1139">
            <v>238956.68</v>
          </cell>
          <cell r="I1139" t="str">
            <v>FIN Submission</v>
          </cell>
          <cell r="J1139">
            <v>43452</v>
          </cell>
        </row>
        <row r="1140">
          <cell r="A1140" t="str">
            <v>47872-SF19</v>
          </cell>
          <cell r="B1140" t="str">
            <v>LIN E Gallery Protective Coating</v>
          </cell>
          <cell r="C1140" t="str">
            <v>FIN Approval - Internal</v>
          </cell>
          <cell r="D1140">
            <v>58</v>
          </cell>
          <cell r="E1140" t="str">
            <v>APPROVED</v>
          </cell>
          <cell r="F1140">
            <v>42643</v>
          </cell>
          <cell r="G1140">
            <v>43465</v>
          </cell>
          <cell r="H1140">
            <v>542127.15</v>
          </cell>
          <cell r="I1140" t="str">
            <v>FIN Submission</v>
          </cell>
          <cell r="J1140">
            <v>43452</v>
          </cell>
        </row>
        <row r="1141">
          <cell r="A1141" t="str">
            <v>47762-SF07</v>
          </cell>
          <cell r="B1141" t="str">
            <v>LIN4 Chemical Sampling Rack Repl.</v>
          </cell>
          <cell r="C1141" t="str">
            <v>FIN Approval - Internal</v>
          </cell>
          <cell r="D1141">
            <v>58</v>
          </cell>
          <cell r="E1141" t="str">
            <v>APPROVED</v>
          </cell>
          <cell r="F1141">
            <v>42542</v>
          </cell>
          <cell r="G1141">
            <v>43465</v>
          </cell>
          <cell r="H1141">
            <v>509638.66</v>
          </cell>
          <cell r="I1141" t="str">
            <v>FIN Submission</v>
          </cell>
          <cell r="J1141">
            <v>43452</v>
          </cell>
        </row>
        <row r="1142">
          <cell r="A1142" t="str">
            <v>47863-SF36</v>
          </cell>
          <cell r="B1142" t="str">
            <v>LIN4 Turbine Valves Refurbishment</v>
          </cell>
          <cell r="C1142" t="str">
            <v>FIN Approval - Internal</v>
          </cell>
          <cell r="D1142">
            <v>58</v>
          </cell>
          <cell r="E1142" t="str">
            <v>APPROVED</v>
          </cell>
          <cell r="F1142">
            <v>42536</v>
          </cell>
          <cell r="G1142">
            <v>43083</v>
          </cell>
          <cell r="H1142">
            <v>224692.46</v>
          </cell>
          <cell r="I1142" t="str">
            <v>FIN Submission</v>
          </cell>
          <cell r="J1142">
            <v>43452</v>
          </cell>
        </row>
        <row r="1143">
          <cell r="A1143" t="str">
            <v>47504-SF71</v>
          </cell>
          <cell r="B1143" t="str">
            <v>LIN Facilities Upgrade 2016</v>
          </cell>
          <cell r="C1143" t="str">
            <v>FIN Approval - Internal</v>
          </cell>
          <cell r="D1143">
            <v>59</v>
          </cell>
          <cell r="E1143" t="str">
            <v>APPROVED</v>
          </cell>
          <cell r="F1143">
            <v>42610</v>
          </cell>
          <cell r="G1143">
            <v>43462</v>
          </cell>
          <cell r="H1143">
            <v>118706.35</v>
          </cell>
          <cell r="I1143" t="str">
            <v>FIN Submission</v>
          </cell>
          <cell r="J1143">
            <v>43452</v>
          </cell>
        </row>
        <row r="1144">
          <cell r="A1144" t="str">
            <v>47657-SE71</v>
          </cell>
          <cell r="B1144" t="str">
            <v>LIN4 HVB Refurbishment</v>
          </cell>
          <cell r="C1144" t="str">
            <v>FIN Approval - Internal</v>
          </cell>
          <cell r="D1144">
            <v>59</v>
          </cell>
          <cell r="E1144" t="str">
            <v>APPROVED</v>
          </cell>
          <cell r="F1144">
            <v>42546</v>
          </cell>
          <cell r="G1144">
            <v>43094</v>
          </cell>
          <cell r="H1144">
            <v>897926.22</v>
          </cell>
          <cell r="I1144" t="str">
            <v>FIN Submission</v>
          </cell>
          <cell r="J1144">
            <v>43452</v>
          </cell>
        </row>
        <row r="1145">
          <cell r="A1145" t="str">
            <v>47773-D674</v>
          </cell>
          <cell r="B1145" t="str">
            <v>3N Oxford Conversion Phase 2</v>
          </cell>
          <cell r="C1145" t="str">
            <v>FIN Approval - Internal</v>
          </cell>
          <cell r="D1145">
            <v>60</v>
          </cell>
          <cell r="E1145" t="str">
            <v>APPROVED</v>
          </cell>
          <cell r="F1145">
            <v>42457</v>
          </cell>
          <cell r="G1145">
            <v>43008</v>
          </cell>
          <cell r="H1145">
            <v>720285.6</v>
          </cell>
          <cell r="I1145" t="str">
            <v>FIN Submission</v>
          </cell>
          <cell r="J1145">
            <v>43452</v>
          </cell>
        </row>
        <row r="1146">
          <cell r="A1146" t="str">
            <v>47505-SF51</v>
          </cell>
          <cell r="B1146" t="str">
            <v>LIN Coal Mill Refurbishment 2016</v>
          </cell>
          <cell r="C1146" t="str">
            <v>FIN Approval - Internal</v>
          </cell>
          <cell r="D1146">
            <v>61</v>
          </cell>
          <cell r="E1146" t="str">
            <v>APPROVED</v>
          </cell>
          <cell r="F1146">
            <v>42610</v>
          </cell>
          <cell r="G1146">
            <v>43465</v>
          </cell>
          <cell r="H1146">
            <v>852619.72</v>
          </cell>
          <cell r="I1146" t="str">
            <v>FIN Submission</v>
          </cell>
          <cell r="J1146">
            <v>43452</v>
          </cell>
        </row>
        <row r="1147">
          <cell r="A1147" t="str">
            <v>48610-D728</v>
          </cell>
          <cell r="B1147" t="str">
            <v>16N-301 Stewiacke - Load Transfer</v>
          </cell>
          <cell r="C1147" t="str">
            <v>FIN Approval - Internal</v>
          </cell>
          <cell r="D1147">
            <v>63</v>
          </cell>
          <cell r="E1147" t="str">
            <v>APPROVED</v>
          </cell>
          <cell r="F1147">
            <v>42824</v>
          </cell>
          <cell r="G1147">
            <v>43465</v>
          </cell>
          <cell r="H1147">
            <v>817135.35</v>
          </cell>
          <cell r="I1147" t="str">
            <v>FIN Submission</v>
          </cell>
          <cell r="J1147">
            <v>43452</v>
          </cell>
        </row>
        <row r="1148">
          <cell r="A1148" t="str">
            <v>46484-SD76</v>
          </cell>
          <cell r="B1148" t="str">
            <v>TUC - Unit 1&amp;2 Analytical Panel</v>
          </cell>
          <cell r="C1148" t="str">
            <v>FIN Approval - Internal</v>
          </cell>
          <cell r="D1148">
            <v>66</v>
          </cell>
          <cell r="E1148" t="str">
            <v>APPROVED</v>
          </cell>
          <cell r="F1148">
            <v>42694</v>
          </cell>
          <cell r="G1148">
            <v>43373</v>
          </cell>
          <cell r="H1148">
            <v>523178.87</v>
          </cell>
          <cell r="I1148" t="str">
            <v>FIN Submission</v>
          </cell>
          <cell r="J1148">
            <v>43452</v>
          </cell>
        </row>
        <row r="1149">
          <cell r="A1149" t="str">
            <v>46458-D610</v>
          </cell>
          <cell r="B1149" t="str">
            <v>16N-302 Stewiacke Reconductor</v>
          </cell>
          <cell r="C1149" t="str">
            <v>FIN Approval - Internal</v>
          </cell>
          <cell r="D1149">
            <v>71</v>
          </cell>
          <cell r="E1149" t="str">
            <v>APPROVED</v>
          </cell>
          <cell r="F1149">
            <v>42400</v>
          </cell>
          <cell r="G1149">
            <v>42979</v>
          </cell>
          <cell r="H1149">
            <v>791877.15</v>
          </cell>
          <cell r="I1149" t="str">
            <v>FIN Submission</v>
          </cell>
          <cell r="J1149">
            <v>43452</v>
          </cell>
        </row>
        <row r="1150">
          <cell r="A1150" t="str">
            <v>45031-D630</v>
          </cell>
          <cell r="B1150" t="str">
            <v>3N Oxford Conversion Phase 1</v>
          </cell>
          <cell r="C1150" t="str">
            <v>FIN Approval - Internal</v>
          </cell>
          <cell r="D1150">
            <v>86</v>
          </cell>
          <cell r="E1150" t="str">
            <v>APPROVED</v>
          </cell>
          <cell r="F1150">
            <v>43008</v>
          </cell>
          <cell r="G1150">
            <v>43343</v>
          </cell>
          <cell r="H1150">
            <v>845160.57</v>
          </cell>
          <cell r="I1150" t="str">
            <v>FIN Submission</v>
          </cell>
          <cell r="J1150">
            <v>43452</v>
          </cell>
        </row>
        <row r="1151">
          <cell r="A1151" t="str">
            <v>45044-SC79</v>
          </cell>
          <cell r="B1151" t="str">
            <v>LIN - Fire Protection Improvements</v>
          </cell>
          <cell r="C1151" t="str">
            <v>FIN Approval - Internal</v>
          </cell>
          <cell r="D1151">
            <v>87</v>
          </cell>
          <cell r="E1151" t="str">
            <v>APPROVED</v>
          </cell>
          <cell r="F1151">
            <v>42399</v>
          </cell>
          <cell r="G1151">
            <v>43100</v>
          </cell>
          <cell r="H1151">
            <v>188155.16</v>
          </cell>
          <cell r="I1151" t="str">
            <v>FIN Submission</v>
          </cell>
          <cell r="J1151">
            <v>43452</v>
          </cell>
        </row>
        <row r="1152">
          <cell r="A1152" t="str">
            <v>44836-D684</v>
          </cell>
          <cell r="B1152" t="str">
            <v>Halifax 4kV Conversion Part 2</v>
          </cell>
          <cell r="C1152" t="str">
            <v>FIN Approval - Internal</v>
          </cell>
          <cell r="D1152">
            <v>89</v>
          </cell>
          <cell r="E1152" t="str">
            <v>APPROVED</v>
          </cell>
          <cell r="F1152">
            <v>42719</v>
          </cell>
          <cell r="G1152">
            <v>43465</v>
          </cell>
          <cell r="H1152">
            <v>772155.84</v>
          </cell>
          <cell r="I1152" t="str">
            <v>FIN Submission</v>
          </cell>
          <cell r="J1152">
            <v>43452</v>
          </cell>
        </row>
        <row r="1153">
          <cell r="A1153" t="str">
            <v>12435-P276</v>
          </cell>
          <cell r="B1153" t="str">
            <v>POWER PRODUCTION PC REPLACEMENT (RA</v>
          </cell>
          <cell r="C1153" t="str">
            <v>FIN Approval - Internal</v>
          </cell>
          <cell r="D1153">
            <v>6</v>
          </cell>
          <cell r="E1153" t="str">
            <v>APPROVED</v>
          </cell>
          <cell r="F1153">
            <v>35852</v>
          </cell>
          <cell r="G1153">
            <v>43281</v>
          </cell>
          <cell r="H1153">
            <v>16048.84</v>
          </cell>
          <cell r="I1153" t="str">
            <v>FIN Submission</v>
          </cell>
          <cell r="J1153">
            <v>43432</v>
          </cell>
        </row>
        <row r="1154">
          <cell r="A1154" t="str">
            <v>14590-S247</v>
          </cell>
          <cell r="B1154" t="str">
            <v xml:space="preserve">RAILWAY SPUR - AULD'S COVE (ENERGY </v>
          </cell>
          <cell r="C1154" t="str">
            <v>FIN Approval - Internal</v>
          </cell>
          <cell r="D1154">
            <v>6</v>
          </cell>
          <cell r="E1154" t="str">
            <v>APPROVED</v>
          </cell>
          <cell r="F1154">
            <v>36494</v>
          </cell>
          <cell r="G1154">
            <v>36525</v>
          </cell>
          <cell r="H1154">
            <v>24161.51</v>
          </cell>
          <cell r="I1154" t="str">
            <v>FIN Submission</v>
          </cell>
          <cell r="J1154">
            <v>43432</v>
          </cell>
        </row>
        <row r="1155">
          <cell r="A1155" t="str">
            <v>18335-P562</v>
          </cell>
          <cell r="B1155" t="str">
            <v>UNIT COMMITTMENT - ENERGY TRADING T</v>
          </cell>
          <cell r="C1155" t="str">
            <v>FIN Approval - Internal</v>
          </cell>
          <cell r="D1155">
            <v>6</v>
          </cell>
          <cell r="E1155" t="str">
            <v>APPROVED</v>
          </cell>
          <cell r="F1155">
            <v>37531</v>
          </cell>
          <cell r="G1155">
            <v>37621</v>
          </cell>
          <cell r="H1155">
            <v>12036.2</v>
          </cell>
          <cell r="I1155" t="str">
            <v>FIN Submission</v>
          </cell>
          <cell r="J1155">
            <v>43432</v>
          </cell>
        </row>
        <row r="1156">
          <cell r="A1156" t="str">
            <v>51371-SJ17</v>
          </cell>
          <cell r="B1156" t="str">
            <v>TRE6 Precip Refurbishment U&amp;U</v>
          </cell>
          <cell r="C1156" t="str">
            <v>FIN Approval - Internal</v>
          </cell>
          <cell r="D1156">
            <v>27</v>
          </cell>
          <cell r="E1156" t="str">
            <v>APPROVED</v>
          </cell>
          <cell r="F1156">
            <v>43054</v>
          </cell>
          <cell r="G1156">
            <v>43205</v>
          </cell>
          <cell r="H1156">
            <v>249621.53</v>
          </cell>
          <cell r="I1156" t="str">
            <v>FIN Submission</v>
          </cell>
          <cell r="J1156">
            <v>43432</v>
          </cell>
        </row>
        <row r="1157">
          <cell r="A1157" t="str">
            <v>51317-SI48</v>
          </cell>
          <cell r="B1157" t="str">
            <v>TRE5 UU CW Inlet System Refurb</v>
          </cell>
          <cell r="C1157" t="str">
            <v>FIN Approval - Internal</v>
          </cell>
          <cell r="D1157">
            <v>28</v>
          </cell>
          <cell r="E1157" t="str">
            <v>APPROVED</v>
          </cell>
          <cell r="F1157">
            <v>42870</v>
          </cell>
          <cell r="G1157">
            <v>43082</v>
          </cell>
          <cell r="H1157">
            <v>397263.35</v>
          </cell>
          <cell r="I1157" t="str">
            <v>FIN Submission</v>
          </cell>
          <cell r="J1157">
            <v>43432</v>
          </cell>
        </row>
        <row r="1158">
          <cell r="A1158" t="str">
            <v>51052-SH94</v>
          </cell>
          <cell r="B1158" t="str">
            <v>TRE6 Generator HVB Critical Spares</v>
          </cell>
          <cell r="C1158" t="str">
            <v>FIN Approval - Internal</v>
          </cell>
          <cell r="D1158">
            <v>29</v>
          </cell>
          <cell r="E1158" t="str">
            <v>APPROVED</v>
          </cell>
          <cell r="F1158">
            <v>43115</v>
          </cell>
          <cell r="G1158">
            <v>43205</v>
          </cell>
          <cell r="H1158">
            <v>265783.42</v>
          </cell>
          <cell r="I1158" t="str">
            <v>FIN Submission</v>
          </cell>
          <cell r="J1158">
            <v>43432</v>
          </cell>
        </row>
        <row r="1159">
          <cell r="A1159" t="str">
            <v>51053-SH93</v>
          </cell>
          <cell r="B1159" t="str">
            <v>TRE6 HIP Turbine Diaphr Partition</v>
          </cell>
          <cell r="C1159" t="str">
            <v>FIN Approval - Internal</v>
          </cell>
          <cell r="D1159">
            <v>30</v>
          </cell>
          <cell r="E1159" t="str">
            <v>APPROVED</v>
          </cell>
          <cell r="F1159">
            <v>43054</v>
          </cell>
          <cell r="G1159">
            <v>43388</v>
          </cell>
          <cell r="H1159">
            <v>1313986.6399999999</v>
          </cell>
          <cell r="I1159" t="str">
            <v>FIN Submission</v>
          </cell>
          <cell r="J1159">
            <v>43432</v>
          </cell>
        </row>
        <row r="1160">
          <cell r="A1160" t="str">
            <v>42953-SB99</v>
          </cell>
          <cell r="B1160" t="str">
            <v>TUC1-Closed Cooling HX Bundle Repl.</v>
          </cell>
          <cell r="C1160" t="str">
            <v>FIN Approval - Internal</v>
          </cell>
          <cell r="D1160">
            <v>35</v>
          </cell>
          <cell r="E1160" t="str">
            <v>APPROVED</v>
          </cell>
          <cell r="F1160">
            <v>41486</v>
          </cell>
          <cell r="G1160">
            <v>43281</v>
          </cell>
          <cell r="H1160">
            <v>30680.51</v>
          </cell>
          <cell r="I1160" t="str">
            <v>FIN Submission</v>
          </cell>
          <cell r="J1160">
            <v>43432</v>
          </cell>
        </row>
        <row r="1161">
          <cell r="A1161" t="str">
            <v>50051-SH12</v>
          </cell>
          <cell r="B1161" t="str">
            <v>LIN UU Light Oil Flow Meter Install</v>
          </cell>
          <cell r="C1161" t="str">
            <v>FIN Approval - Internal</v>
          </cell>
          <cell r="D1161">
            <v>39</v>
          </cell>
          <cell r="E1161" t="str">
            <v>APPROVED</v>
          </cell>
          <cell r="F1161">
            <v>42680</v>
          </cell>
          <cell r="G1161">
            <v>43075</v>
          </cell>
          <cell r="H1161">
            <v>55258.78</v>
          </cell>
          <cell r="I1161" t="str">
            <v>FIN Submission</v>
          </cell>
          <cell r="J1161">
            <v>43432</v>
          </cell>
        </row>
        <row r="1162">
          <cell r="A1162" t="str">
            <v>49961-G235</v>
          </cell>
          <cell r="B1162" t="str">
            <v>CT - TUS Exhaust Stack Grating Repl</v>
          </cell>
          <cell r="C1162" t="str">
            <v>FIN Approval - Internal</v>
          </cell>
          <cell r="D1162">
            <v>40</v>
          </cell>
          <cell r="E1162" t="str">
            <v>APPROVED</v>
          </cell>
          <cell r="F1162">
            <v>43008</v>
          </cell>
          <cell r="G1162">
            <v>43465</v>
          </cell>
          <cell r="H1162">
            <v>22052.27</v>
          </cell>
          <cell r="I1162" t="str">
            <v>FIN Submission</v>
          </cell>
          <cell r="J1162">
            <v>43432</v>
          </cell>
        </row>
        <row r="1163">
          <cell r="A1163" t="str">
            <v>49921-SJ15</v>
          </cell>
          <cell r="B1163" t="str">
            <v>TRE6 HP Feedwater Heater Refurb</v>
          </cell>
          <cell r="C1163" t="str">
            <v>FIN Approval - Internal</v>
          </cell>
          <cell r="D1163">
            <v>40</v>
          </cell>
          <cell r="E1163" t="str">
            <v>APPROVED</v>
          </cell>
          <cell r="F1163">
            <v>43054</v>
          </cell>
          <cell r="G1163">
            <v>43205</v>
          </cell>
          <cell r="H1163">
            <v>215853.06</v>
          </cell>
          <cell r="I1163" t="str">
            <v>FIN Submission</v>
          </cell>
          <cell r="J1163">
            <v>43432</v>
          </cell>
        </row>
        <row r="1164">
          <cell r="A1164" t="str">
            <v>49780-SG98</v>
          </cell>
          <cell r="B1164" t="str">
            <v>LIN UU A Conveyor Belt Replacement</v>
          </cell>
          <cell r="C1164" t="str">
            <v>FIN Approval - Internal</v>
          </cell>
          <cell r="D1164">
            <v>42</v>
          </cell>
          <cell r="E1164" t="str">
            <v>APPROVED</v>
          </cell>
          <cell r="F1164">
            <v>42766</v>
          </cell>
          <cell r="G1164">
            <v>43465</v>
          </cell>
          <cell r="H1164">
            <v>158166.63</v>
          </cell>
          <cell r="I1164" t="str">
            <v>FIN Submission</v>
          </cell>
          <cell r="J1164">
            <v>43432</v>
          </cell>
        </row>
        <row r="1165">
          <cell r="A1165" t="str">
            <v>49606-SG77</v>
          </cell>
          <cell r="B1165" t="str">
            <v>LIN UU HE Piping Refurbishment</v>
          </cell>
          <cell r="C1165" t="str">
            <v>FIN Approval - Internal</v>
          </cell>
          <cell r="D1165">
            <v>44</v>
          </cell>
          <cell r="E1165" t="str">
            <v>APPROVED</v>
          </cell>
          <cell r="F1165">
            <v>42571</v>
          </cell>
          <cell r="G1165">
            <v>43089</v>
          </cell>
          <cell r="H1165">
            <v>218687.35</v>
          </cell>
          <cell r="I1165" t="str">
            <v>FIN Submission</v>
          </cell>
          <cell r="J1165">
            <v>43432</v>
          </cell>
        </row>
        <row r="1166">
          <cell r="A1166" t="str">
            <v>49554-SH48</v>
          </cell>
          <cell r="B1166" t="str">
            <v>TRE Ash Site Management 2017</v>
          </cell>
          <cell r="C1166" t="str">
            <v>FIN Approval - Internal</v>
          </cell>
          <cell r="D1166">
            <v>44</v>
          </cell>
          <cell r="E1166" t="str">
            <v>APPROVED</v>
          </cell>
          <cell r="F1166">
            <v>43054</v>
          </cell>
          <cell r="G1166">
            <v>43205</v>
          </cell>
          <cell r="H1166">
            <v>166815.85</v>
          </cell>
          <cell r="I1166" t="str">
            <v>FIN Submission</v>
          </cell>
          <cell r="J1166">
            <v>43432</v>
          </cell>
        </row>
        <row r="1167">
          <cell r="A1167" t="str">
            <v>49556-SJ13</v>
          </cell>
          <cell r="B1167" t="str">
            <v>TRE Excavator GPS System</v>
          </cell>
          <cell r="C1167" t="str">
            <v>FIN Approval - Internal</v>
          </cell>
          <cell r="D1167">
            <v>44</v>
          </cell>
          <cell r="E1167" t="str">
            <v>APPROVED</v>
          </cell>
          <cell r="F1167">
            <v>43084</v>
          </cell>
          <cell r="G1167">
            <v>43296</v>
          </cell>
          <cell r="H1167">
            <v>75948</v>
          </cell>
          <cell r="I1167" t="str">
            <v>FIN Submission</v>
          </cell>
          <cell r="J1167">
            <v>43432</v>
          </cell>
        </row>
        <row r="1168">
          <cell r="A1168" t="str">
            <v>49543-SH72</v>
          </cell>
          <cell r="B1168" t="str">
            <v>TRE6 Conveyor Refurbishments</v>
          </cell>
          <cell r="C1168" t="str">
            <v>FIN Approval - Internal</v>
          </cell>
          <cell r="D1168">
            <v>44</v>
          </cell>
          <cell r="E1168" t="str">
            <v>APPROVED</v>
          </cell>
          <cell r="F1168">
            <v>43084</v>
          </cell>
          <cell r="G1168">
            <v>43388</v>
          </cell>
          <cell r="H1168">
            <v>195948.49</v>
          </cell>
          <cell r="I1168" t="str">
            <v>FIN Submission</v>
          </cell>
          <cell r="J1168">
            <v>43432</v>
          </cell>
        </row>
        <row r="1169">
          <cell r="A1169" t="str">
            <v>49535-SH85</v>
          </cell>
          <cell r="B1169" t="str">
            <v>TRE6 Mills Refurbishment</v>
          </cell>
          <cell r="C1169" t="str">
            <v>FIN Approval - Internal</v>
          </cell>
          <cell r="D1169">
            <v>45</v>
          </cell>
          <cell r="E1169" t="str">
            <v>APPROVED</v>
          </cell>
          <cell r="F1169">
            <v>43054</v>
          </cell>
          <cell r="G1169">
            <v>43235</v>
          </cell>
          <cell r="H1169">
            <v>860579.55</v>
          </cell>
          <cell r="I1169" t="str">
            <v>FIN Submission</v>
          </cell>
          <cell r="J1169">
            <v>43432</v>
          </cell>
        </row>
        <row r="1170">
          <cell r="A1170" t="str">
            <v>49539-SI64</v>
          </cell>
          <cell r="B1170" t="str">
            <v>TRE6 Burner Automation System Repla</v>
          </cell>
          <cell r="C1170" t="str">
            <v>FIN Approval - Internal</v>
          </cell>
          <cell r="D1170">
            <v>46</v>
          </cell>
          <cell r="E1170" t="str">
            <v>APPROVED</v>
          </cell>
          <cell r="F1170">
            <v>43054</v>
          </cell>
          <cell r="G1170">
            <v>43327</v>
          </cell>
          <cell r="H1170">
            <v>247267.87</v>
          </cell>
          <cell r="I1170" t="str">
            <v>FIN Submission</v>
          </cell>
          <cell r="J1170">
            <v>43432</v>
          </cell>
        </row>
        <row r="1171">
          <cell r="A1171" t="str">
            <v>49057-SG33</v>
          </cell>
          <cell r="B1171" t="str">
            <v>TRE6 Excitation System Replacement</v>
          </cell>
          <cell r="C1171" t="str">
            <v>FIN Approval - Internal</v>
          </cell>
          <cell r="D1171">
            <v>46</v>
          </cell>
          <cell r="E1171" t="str">
            <v>APPROVED</v>
          </cell>
          <cell r="F1171">
            <v>43023</v>
          </cell>
          <cell r="G1171">
            <v>43205</v>
          </cell>
          <cell r="H1171">
            <v>893489.31</v>
          </cell>
          <cell r="I1171" t="str">
            <v>FIN Submission</v>
          </cell>
          <cell r="J1171">
            <v>43432</v>
          </cell>
        </row>
        <row r="1172">
          <cell r="A1172" t="str">
            <v>48977-SG18</v>
          </cell>
          <cell r="B1172" t="str">
            <v>LIN UU Plant Silencer Upgrade</v>
          </cell>
          <cell r="C1172" t="str">
            <v>FIN Approval - Internal</v>
          </cell>
          <cell r="D1172">
            <v>47</v>
          </cell>
          <cell r="E1172" t="str">
            <v>APPROVED</v>
          </cell>
          <cell r="F1172">
            <v>42642</v>
          </cell>
          <cell r="G1172">
            <v>43463</v>
          </cell>
          <cell r="H1172">
            <v>243575.45</v>
          </cell>
          <cell r="I1172" t="str">
            <v>FIN Submission</v>
          </cell>
          <cell r="J1172">
            <v>43432</v>
          </cell>
        </row>
        <row r="1173">
          <cell r="A1173" t="str">
            <v>49532-SH84</v>
          </cell>
          <cell r="B1173" t="str">
            <v>TRE6 Air Heater Refurbishment 2017</v>
          </cell>
          <cell r="C1173" t="str">
            <v>FIN Approval - Internal</v>
          </cell>
          <cell r="D1173">
            <v>47</v>
          </cell>
          <cell r="E1173" t="str">
            <v>APPROVED</v>
          </cell>
          <cell r="F1173">
            <v>43054</v>
          </cell>
          <cell r="G1173">
            <v>43266</v>
          </cell>
          <cell r="H1173">
            <v>1548759.44</v>
          </cell>
          <cell r="I1173" t="str">
            <v>FIN Submission</v>
          </cell>
          <cell r="J1173">
            <v>43432</v>
          </cell>
        </row>
        <row r="1174">
          <cell r="A1174" t="str">
            <v>48951-SG13</v>
          </cell>
          <cell r="B1174" t="str">
            <v>LIN4 UU 72" CW Condenser Pipe Repl.</v>
          </cell>
          <cell r="C1174" t="str">
            <v>FIN Approval - Internal</v>
          </cell>
          <cell r="D1174">
            <v>51</v>
          </cell>
          <cell r="E1174" t="str">
            <v>APPROVED</v>
          </cell>
          <cell r="F1174">
            <v>42541</v>
          </cell>
          <cell r="G1174">
            <v>43089</v>
          </cell>
          <cell r="H1174">
            <v>414801.27</v>
          </cell>
          <cell r="I1174" t="str">
            <v>FIN Submission</v>
          </cell>
          <cell r="J1174">
            <v>43432</v>
          </cell>
        </row>
        <row r="1175">
          <cell r="A1175" t="str">
            <v>49351-SG50</v>
          </cell>
          <cell r="B1175" t="str">
            <v>LIN4 UU LTSH1 Tube Replacement</v>
          </cell>
          <cell r="C1175" t="str">
            <v>FIN Approval - Internal</v>
          </cell>
          <cell r="D1175">
            <v>51</v>
          </cell>
          <cell r="E1175" t="str">
            <v>APPROVED</v>
          </cell>
          <cell r="F1175">
            <v>42541</v>
          </cell>
          <cell r="G1175">
            <v>43073</v>
          </cell>
          <cell r="H1175">
            <v>320815.46000000002</v>
          </cell>
          <cell r="I1175" t="str">
            <v>FIN Submission</v>
          </cell>
          <cell r="J1175">
            <v>43432</v>
          </cell>
        </row>
        <row r="1176">
          <cell r="A1176" t="str">
            <v>49111-SG42</v>
          </cell>
          <cell r="B1176" t="str">
            <v>POT - Air heater refurbishment</v>
          </cell>
          <cell r="C1176" t="str">
            <v>FIN Approval - External</v>
          </cell>
          <cell r="D1176">
            <v>54</v>
          </cell>
          <cell r="E1176" t="str">
            <v>APPROVED</v>
          </cell>
          <cell r="F1176">
            <v>42916</v>
          </cell>
          <cell r="G1176">
            <v>43422</v>
          </cell>
          <cell r="H1176">
            <v>363699.04</v>
          </cell>
          <cell r="I1176" t="str">
            <v>FIN Submission</v>
          </cell>
          <cell r="J1176">
            <v>43432</v>
          </cell>
        </row>
        <row r="1177">
          <cell r="A1177" t="str">
            <v>47864-SG24</v>
          </cell>
          <cell r="B1177" t="str">
            <v>LIN 4160V and 600V Breaker Refur.</v>
          </cell>
          <cell r="C1177" t="str">
            <v>FIN Approval - Internal</v>
          </cell>
          <cell r="D1177">
            <v>56</v>
          </cell>
          <cell r="E1177" t="str">
            <v>APPROVED</v>
          </cell>
          <cell r="F1177">
            <v>42674</v>
          </cell>
          <cell r="G1177">
            <v>43100</v>
          </cell>
          <cell r="H1177">
            <v>66537.36</v>
          </cell>
          <cell r="I1177" t="str">
            <v>FIN Submission</v>
          </cell>
          <cell r="J1177">
            <v>43432</v>
          </cell>
        </row>
        <row r="1178">
          <cell r="A1178" t="str">
            <v>48051-G190</v>
          </cell>
          <cell r="B1178" t="str">
            <v>Tusket FT Inlet Guide Vanes</v>
          </cell>
          <cell r="C1178" t="str">
            <v>FIN Approval - Internal</v>
          </cell>
          <cell r="D1178">
            <v>56</v>
          </cell>
          <cell r="E1178" t="str">
            <v>APPROVED</v>
          </cell>
          <cell r="F1178">
            <v>42338</v>
          </cell>
          <cell r="G1178">
            <v>43465</v>
          </cell>
          <cell r="H1178">
            <v>167555.17000000001</v>
          </cell>
          <cell r="I1178" t="str">
            <v>FIN Submission</v>
          </cell>
          <cell r="J1178">
            <v>43432</v>
          </cell>
        </row>
        <row r="1179">
          <cell r="A1179" t="str">
            <v>47951-G187</v>
          </cell>
          <cell r="B1179" t="str">
            <v>CT BGT1 FT Vane Replacement</v>
          </cell>
          <cell r="C1179" t="str">
            <v>FIN Approval - Internal</v>
          </cell>
          <cell r="D1179">
            <v>57</v>
          </cell>
          <cell r="E1179" t="str">
            <v>APPROVED</v>
          </cell>
          <cell r="F1179">
            <v>42358</v>
          </cell>
          <cell r="G1179">
            <v>43404</v>
          </cell>
          <cell r="H1179">
            <v>84415.74</v>
          </cell>
          <cell r="I1179" t="str">
            <v>FIN Submission</v>
          </cell>
          <cell r="J1179">
            <v>43432</v>
          </cell>
        </row>
        <row r="1180">
          <cell r="A1180" t="str">
            <v>47635-SG72</v>
          </cell>
          <cell r="B1180" t="str">
            <v>TRE Facilities Upgrades</v>
          </cell>
          <cell r="C1180" t="str">
            <v>FIN Approval - Internal</v>
          </cell>
          <cell r="D1180">
            <v>57</v>
          </cell>
          <cell r="E1180" t="str">
            <v>APPROVED</v>
          </cell>
          <cell r="F1180">
            <v>43084</v>
          </cell>
          <cell r="G1180">
            <v>43266</v>
          </cell>
          <cell r="H1180">
            <v>119447.03999999999</v>
          </cell>
          <cell r="I1180" t="str">
            <v>FIN Submission</v>
          </cell>
          <cell r="J1180">
            <v>43432</v>
          </cell>
        </row>
        <row r="1181">
          <cell r="A1181" t="str">
            <v>47766-D751</v>
          </cell>
          <cell r="B1181" t="str">
            <v>70V-312G Centerlea Rebuild</v>
          </cell>
          <cell r="C1181" t="str">
            <v>FIN Approval - Internal</v>
          </cell>
          <cell r="D1181">
            <v>58</v>
          </cell>
          <cell r="E1181" t="str">
            <v>APPROVED</v>
          </cell>
          <cell r="F1181">
            <v>42613</v>
          </cell>
          <cell r="G1181">
            <v>43343</v>
          </cell>
          <cell r="H1181">
            <v>381586.91</v>
          </cell>
          <cell r="I1181" t="str">
            <v>FIN Submission</v>
          </cell>
          <cell r="J1181">
            <v>43432</v>
          </cell>
        </row>
        <row r="1182">
          <cell r="A1182" t="str">
            <v>47506-SF41</v>
          </cell>
          <cell r="B1182" t="str">
            <v>LIN CW Screen Refurbishment 2016</v>
          </cell>
          <cell r="C1182" t="str">
            <v>FIN Approval - Internal</v>
          </cell>
          <cell r="D1182">
            <v>58</v>
          </cell>
          <cell r="E1182" t="str">
            <v>APPROVED</v>
          </cell>
          <cell r="F1182">
            <v>42579</v>
          </cell>
          <cell r="G1182">
            <v>42951</v>
          </cell>
          <cell r="H1182">
            <v>666533.65</v>
          </cell>
          <cell r="I1182" t="str">
            <v>FIN Submission</v>
          </cell>
          <cell r="J1182">
            <v>43432</v>
          </cell>
        </row>
        <row r="1183">
          <cell r="A1183" t="str">
            <v>47784-D698</v>
          </cell>
          <cell r="B1183" t="str">
            <v>103H-Lakeside Feeder Reconfiguratio</v>
          </cell>
          <cell r="C1183" t="str">
            <v>FIN Approval - Internal</v>
          </cell>
          <cell r="D1183">
            <v>59</v>
          </cell>
          <cell r="E1183" t="str">
            <v>APPROVED</v>
          </cell>
          <cell r="F1183">
            <v>42581</v>
          </cell>
          <cell r="G1183">
            <v>42979</v>
          </cell>
          <cell r="H1183">
            <v>128988.56</v>
          </cell>
          <cell r="I1183" t="str">
            <v>FIN Submission</v>
          </cell>
          <cell r="J1183">
            <v>43432</v>
          </cell>
        </row>
        <row r="1184">
          <cell r="A1184" t="str">
            <v>47597-SH63</v>
          </cell>
          <cell r="B1184" t="str">
            <v>TRE6 Bottom Ash Chain Replcmnt 2017</v>
          </cell>
          <cell r="C1184" t="str">
            <v>FIN Approval - Internal</v>
          </cell>
          <cell r="D1184">
            <v>59</v>
          </cell>
          <cell r="E1184" t="str">
            <v>APPROVED</v>
          </cell>
          <cell r="F1184">
            <v>43054</v>
          </cell>
          <cell r="G1184">
            <v>43388</v>
          </cell>
          <cell r="H1184">
            <v>1159004.02</v>
          </cell>
          <cell r="I1184" t="str">
            <v>FIN Submission</v>
          </cell>
          <cell r="J1184">
            <v>43432</v>
          </cell>
        </row>
        <row r="1185">
          <cell r="A1185" t="str">
            <v>47471-D675</v>
          </cell>
          <cell r="B1185" t="str">
            <v>131H-422G-East Uniacke Rd Load Grow</v>
          </cell>
          <cell r="C1185" t="str">
            <v>FIN Approval - Internal</v>
          </cell>
          <cell r="D1185">
            <v>60</v>
          </cell>
          <cell r="E1185" t="str">
            <v>APPROVED</v>
          </cell>
          <cell r="F1185">
            <v>42551</v>
          </cell>
          <cell r="G1185">
            <v>43373</v>
          </cell>
          <cell r="H1185">
            <v>731035.15</v>
          </cell>
          <cell r="I1185" t="str">
            <v>FIN Submission</v>
          </cell>
          <cell r="J1185">
            <v>43432</v>
          </cell>
        </row>
        <row r="1186">
          <cell r="A1186" t="str">
            <v>47225-D654</v>
          </cell>
          <cell r="B1186" t="str">
            <v>127H-411-Fall River-Load Growth Ph2</v>
          </cell>
          <cell r="C1186" t="str">
            <v>FIN Approval - Internal</v>
          </cell>
          <cell r="D1186">
            <v>61</v>
          </cell>
          <cell r="E1186" t="str">
            <v>APPROVED</v>
          </cell>
          <cell r="F1186">
            <v>42338</v>
          </cell>
          <cell r="G1186">
            <v>42916</v>
          </cell>
          <cell r="H1186">
            <v>127311.66</v>
          </cell>
          <cell r="I1186" t="str">
            <v>FIN Submission</v>
          </cell>
          <cell r="J1186">
            <v>43432</v>
          </cell>
        </row>
        <row r="1187">
          <cell r="A1187" t="str">
            <v>47673-SE63</v>
          </cell>
          <cell r="B1187" t="str">
            <v>LIN4 Generator Rotor Rewind</v>
          </cell>
          <cell r="C1187" t="str">
            <v>FIN Approval - Internal</v>
          </cell>
          <cell r="D1187">
            <v>61</v>
          </cell>
          <cell r="E1187" t="str">
            <v>APPROVED</v>
          </cell>
          <cell r="F1187">
            <v>42550</v>
          </cell>
          <cell r="G1187">
            <v>43465</v>
          </cell>
          <cell r="H1187">
            <v>2522604.4500000002</v>
          </cell>
          <cell r="I1187" t="str">
            <v>FIN Submission</v>
          </cell>
          <cell r="J1187">
            <v>43432</v>
          </cell>
        </row>
        <row r="1188">
          <cell r="A1188" t="str">
            <v>47755-SF31</v>
          </cell>
          <cell r="B1188" t="str">
            <v>LIN4 Turbine HT Fasteners Repl.</v>
          </cell>
          <cell r="C1188" t="str">
            <v>FIN Approval - Internal</v>
          </cell>
          <cell r="D1188">
            <v>61</v>
          </cell>
          <cell r="E1188" t="str">
            <v>APPROVED</v>
          </cell>
          <cell r="F1188">
            <v>42542</v>
          </cell>
          <cell r="G1188">
            <v>43090</v>
          </cell>
          <cell r="H1188">
            <v>1099663.29</v>
          </cell>
          <cell r="I1188" t="str">
            <v>FIN Submission</v>
          </cell>
          <cell r="J1188">
            <v>43432</v>
          </cell>
        </row>
        <row r="1189">
          <cell r="A1189" t="str">
            <v>46251-D655</v>
          </cell>
          <cell r="B1189" t="str">
            <v>36V-303 Saxon Double Circuit</v>
          </cell>
          <cell r="C1189" t="str">
            <v>FIN Approval - Internal</v>
          </cell>
          <cell r="D1189">
            <v>65</v>
          </cell>
          <cell r="E1189" t="str">
            <v>APPROVED</v>
          </cell>
          <cell r="F1189">
            <v>42400</v>
          </cell>
          <cell r="G1189">
            <v>43343</v>
          </cell>
          <cell r="H1189">
            <v>515499.91</v>
          </cell>
          <cell r="I1189" t="str">
            <v>FIN Submission</v>
          </cell>
          <cell r="J1189">
            <v>43432</v>
          </cell>
        </row>
        <row r="1190">
          <cell r="A1190" t="str">
            <v>47167-H731</v>
          </cell>
          <cell r="B1190" t="str">
            <v xml:space="preserve">HYD - Sandy Lake Surge Tank </v>
          </cell>
          <cell r="C1190" t="str">
            <v>FIN Approval - Internal</v>
          </cell>
          <cell r="D1190">
            <v>65</v>
          </cell>
          <cell r="E1190" t="str">
            <v>APPROVED</v>
          </cell>
          <cell r="F1190">
            <v>42704</v>
          </cell>
          <cell r="G1190">
            <v>43465</v>
          </cell>
          <cell r="H1190">
            <v>3144476.91</v>
          </cell>
          <cell r="I1190" t="str">
            <v>FIN Submission</v>
          </cell>
          <cell r="J1190">
            <v>43432</v>
          </cell>
        </row>
        <row r="1191">
          <cell r="A1191" t="str">
            <v>46308-P955</v>
          </cell>
          <cell r="B1191" t="str">
            <v>2015 Microwave Sys Capacity Upgrade</v>
          </cell>
          <cell r="C1191" t="str">
            <v>FIN Approval - Internal</v>
          </cell>
          <cell r="D1191">
            <v>71</v>
          </cell>
          <cell r="E1191" t="str">
            <v>APPROVED</v>
          </cell>
          <cell r="F1191">
            <v>42551</v>
          </cell>
          <cell r="G1191">
            <v>43373</v>
          </cell>
          <cell r="H1191">
            <v>291844.77</v>
          </cell>
          <cell r="I1191" t="str">
            <v>FIN Submission</v>
          </cell>
          <cell r="J1191">
            <v>43432</v>
          </cell>
        </row>
        <row r="1192">
          <cell r="A1192" t="str">
            <v>46304-D626</v>
          </cell>
          <cell r="B1192" t="str">
            <v>20W-311 Argyle Sound Reconductor</v>
          </cell>
          <cell r="C1192" t="str">
            <v>FIN Approval - Internal</v>
          </cell>
          <cell r="D1192">
            <v>71</v>
          </cell>
          <cell r="E1192" t="str">
            <v>APPROVED</v>
          </cell>
          <cell r="F1192">
            <v>42400</v>
          </cell>
          <cell r="G1192">
            <v>43373</v>
          </cell>
          <cell r="H1192">
            <v>632921.43999999994</v>
          </cell>
          <cell r="I1192" t="str">
            <v>FIN Submission</v>
          </cell>
          <cell r="J1192">
            <v>43432</v>
          </cell>
        </row>
        <row r="1193">
          <cell r="A1193" t="str">
            <v>47654-H757</v>
          </cell>
          <cell r="B1193" t="str">
            <v>HYD - Gulch Penstock Surge Tank</v>
          </cell>
          <cell r="C1193" t="str">
            <v>FIN Approval - Internal</v>
          </cell>
          <cell r="D1193">
            <v>71</v>
          </cell>
          <cell r="E1193" t="str">
            <v>APPROVED</v>
          </cell>
          <cell r="F1193">
            <v>43220</v>
          </cell>
          <cell r="G1193">
            <v>43404</v>
          </cell>
          <cell r="H1193">
            <v>5058739.49</v>
          </cell>
          <cell r="I1193" t="str">
            <v>FIN Submission</v>
          </cell>
          <cell r="J1193">
            <v>43432</v>
          </cell>
        </row>
        <row r="1194">
          <cell r="A1194" t="str">
            <v>46196-D597</v>
          </cell>
          <cell r="B1194" t="str">
            <v>U&amp;U 92H-332 Hubley Load Growth</v>
          </cell>
          <cell r="C1194" t="str">
            <v>FIN Approval - Internal</v>
          </cell>
          <cell r="D1194">
            <v>74</v>
          </cell>
          <cell r="E1194" t="str">
            <v>APPROVED</v>
          </cell>
          <cell r="F1194">
            <v>42277</v>
          </cell>
          <cell r="G1194">
            <v>43008</v>
          </cell>
          <cell r="H1194">
            <v>173688.59</v>
          </cell>
          <cell r="I1194" t="str">
            <v>FIN Submission</v>
          </cell>
          <cell r="J1194">
            <v>43432</v>
          </cell>
        </row>
        <row r="1195">
          <cell r="A1195" t="str">
            <v>45831-D563</v>
          </cell>
          <cell r="B1195" t="str">
            <v>10C-212 Voltage Conversion</v>
          </cell>
          <cell r="C1195" t="str">
            <v>FIN Approval - Internal</v>
          </cell>
          <cell r="D1195">
            <v>77</v>
          </cell>
          <cell r="E1195" t="str">
            <v>APPROVED</v>
          </cell>
          <cell r="F1195">
            <v>41882</v>
          </cell>
          <cell r="G1195">
            <v>43312</v>
          </cell>
          <cell r="H1195">
            <v>137315.79</v>
          </cell>
          <cell r="I1195" t="str">
            <v>FIN Submission</v>
          </cell>
          <cell r="J1195">
            <v>43432</v>
          </cell>
        </row>
        <row r="1196">
          <cell r="A1196" t="str">
            <v>45026-D587</v>
          </cell>
          <cell r="B1196" t="str">
            <v>639N - Mount Thom Overload</v>
          </cell>
          <cell r="C1196" t="str">
            <v>FIN Approval - Internal</v>
          </cell>
          <cell r="D1196">
            <v>88</v>
          </cell>
          <cell r="E1196" t="str">
            <v>APPROVED</v>
          </cell>
          <cell r="F1196">
            <v>42185</v>
          </cell>
          <cell r="G1196">
            <v>42979</v>
          </cell>
          <cell r="H1196">
            <v>160982.78</v>
          </cell>
          <cell r="I1196" t="str">
            <v>FIN Submission</v>
          </cell>
          <cell r="J1196">
            <v>43432</v>
          </cell>
        </row>
        <row r="1197">
          <cell r="A1197" t="str">
            <v>42939-SC57</v>
          </cell>
          <cell r="B1197" t="str">
            <v>TUC2 CW Pump Refurbishment</v>
          </cell>
          <cell r="C1197" t="str">
            <v>FIN Approval - Internal</v>
          </cell>
          <cell r="D1197">
            <v>99</v>
          </cell>
          <cell r="E1197" t="str">
            <v>APPROVED</v>
          </cell>
          <cell r="F1197">
            <v>42155</v>
          </cell>
          <cell r="G1197">
            <v>43281</v>
          </cell>
          <cell r="H1197">
            <v>307748.96000000002</v>
          </cell>
          <cell r="I1197" t="str">
            <v>FIN Submission</v>
          </cell>
          <cell r="J1197">
            <v>43432</v>
          </cell>
        </row>
        <row r="1198">
          <cell r="A1198" t="str">
            <v>40307-T673</v>
          </cell>
          <cell r="B1198" t="str">
            <v>L6033 and L6035 Transmission Tower</v>
          </cell>
          <cell r="C1198" t="str">
            <v>FIN Approval - Internal</v>
          </cell>
          <cell r="D1198">
            <v>106</v>
          </cell>
          <cell r="E1198" t="str">
            <v>APPROVED</v>
          </cell>
          <cell r="F1198">
            <v>40907</v>
          </cell>
          <cell r="G1198">
            <v>43312</v>
          </cell>
          <cell r="H1198">
            <v>837486.95</v>
          </cell>
          <cell r="I1198" t="str">
            <v>FIN Submission</v>
          </cell>
          <cell r="J1198">
            <v>43432</v>
          </cell>
        </row>
        <row r="1199">
          <cell r="A1199" t="str">
            <v>29061-P750</v>
          </cell>
          <cell r="B1199" t="str">
            <v xml:space="preserve"> STORAGE AREA NETWORK (SAN) STORAGE</v>
          </cell>
          <cell r="C1199" t="str">
            <v>FIN Approval - Internal</v>
          </cell>
          <cell r="D1199">
            <v>136</v>
          </cell>
          <cell r="E1199" t="str">
            <v>APPROVED</v>
          </cell>
          <cell r="F1199">
            <v>39538</v>
          </cell>
          <cell r="G1199">
            <v>40724</v>
          </cell>
          <cell r="H1199">
            <v>33980.300000000003</v>
          </cell>
          <cell r="I1199" t="str">
            <v>FIN Submission</v>
          </cell>
          <cell r="J1199">
            <v>43432</v>
          </cell>
        </row>
        <row r="1200">
          <cell r="A1200" t="str">
            <v>51870-SJ18</v>
          </cell>
          <cell r="B1200" t="str">
            <v>TRE6 HEP and FAC Refurb/Repl U&amp;U</v>
          </cell>
          <cell r="C1200" t="str">
            <v>FIN Approval - Internal</v>
          </cell>
          <cell r="D1200">
            <v>25</v>
          </cell>
          <cell r="E1200" t="str">
            <v>APPROVED</v>
          </cell>
          <cell r="F1200">
            <v>43068</v>
          </cell>
          <cell r="G1200">
            <v>43205</v>
          </cell>
          <cell r="H1200">
            <v>385138.73</v>
          </cell>
          <cell r="I1200" t="str">
            <v>FIN Submission</v>
          </cell>
          <cell r="J1200">
            <v>43423</v>
          </cell>
        </row>
        <row r="1201">
          <cell r="A1201" t="str">
            <v>51534-SJ19</v>
          </cell>
          <cell r="B1201" t="str">
            <v>TRE6 UU 6B BFP Volute Refrubishment</v>
          </cell>
          <cell r="C1201" t="str">
            <v>FIN Approval - Internal</v>
          </cell>
          <cell r="D1201">
            <v>26</v>
          </cell>
          <cell r="E1201" t="str">
            <v>APPROVED</v>
          </cell>
          <cell r="F1201">
            <v>43054</v>
          </cell>
          <cell r="G1201">
            <v>43235</v>
          </cell>
          <cell r="H1201">
            <v>200649.25</v>
          </cell>
          <cell r="I1201" t="str">
            <v>FIN Submission</v>
          </cell>
          <cell r="J1201">
            <v>43423</v>
          </cell>
        </row>
        <row r="1202">
          <cell r="A1202" t="str">
            <v>51793-SI93</v>
          </cell>
          <cell r="B1202" t="str">
            <v>TRE6 Valve Refurbishment 2017 U&amp;U</v>
          </cell>
          <cell r="C1202" t="str">
            <v>FIN Approval - Internal</v>
          </cell>
          <cell r="D1202">
            <v>26</v>
          </cell>
          <cell r="E1202" t="str">
            <v>APPROVED</v>
          </cell>
          <cell r="F1202">
            <v>43068</v>
          </cell>
          <cell r="G1202">
            <v>43205</v>
          </cell>
          <cell r="H1202">
            <v>385304.07</v>
          </cell>
          <cell r="I1202" t="str">
            <v>FIN Submission</v>
          </cell>
          <cell r="J1202">
            <v>43423</v>
          </cell>
        </row>
        <row r="1203">
          <cell r="A1203" t="str">
            <v>38931-H578</v>
          </cell>
          <cell r="B1203" t="str">
            <v>HYD Harmony Partial Decommission</v>
          </cell>
          <cell r="C1203" t="str">
            <v>FIN Approval - Internal</v>
          </cell>
          <cell r="D1203">
            <v>198</v>
          </cell>
          <cell r="E1203" t="str">
            <v>APPROVED</v>
          </cell>
          <cell r="F1203">
            <v>43130</v>
          </cell>
          <cell r="G1203">
            <v>43404</v>
          </cell>
          <cell r="H1203">
            <v>777750.08</v>
          </cell>
          <cell r="I1203" t="str">
            <v>FIN Submission</v>
          </cell>
          <cell r="J1203">
            <v>43419</v>
          </cell>
        </row>
        <row r="1204">
          <cell r="A1204" t="str">
            <v>48014-SH02</v>
          </cell>
          <cell r="B1204" t="str">
            <v>TUC3 Battery Bank 3B Replacement</v>
          </cell>
          <cell r="C1204" t="str">
            <v>FIN Approval - Internal</v>
          </cell>
          <cell r="D1204">
            <v>49</v>
          </cell>
          <cell r="E1204" t="str">
            <v>APPROVED</v>
          </cell>
          <cell r="F1204">
            <v>42734</v>
          </cell>
          <cell r="G1204">
            <v>43373</v>
          </cell>
          <cell r="H1204">
            <v>146099.71</v>
          </cell>
          <cell r="I1204" t="str">
            <v>FIN Submission</v>
          </cell>
          <cell r="J1204">
            <v>43392</v>
          </cell>
        </row>
        <row r="1205">
          <cell r="A1205" t="str">
            <v>45876-SC80</v>
          </cell>
          <cell r="B1205" t="str">
            <v>TUC3 U&amp;U Generator Refurb</v>
          </cell>
          <cell r="C1205" t="str">
            <v>FIN Approval - External</v>
          </cell>
          <cell r="D1205">
            <v>71</v>
          </cell>
          <cell r="E1205" t="str">
            <v>APPROVED</v>
          </cell>
          <cell r="F1205">
            <v>41851</v>
          </cell>
          <cell r="G1205">
            <v>43311</v>
          </cell>
          <cell r="H1205">
            <v>1217216.98</v>
          </cell>
          <cell r="I1205" t="str">
            <v>FIN Submission</v>
          </cell>
          <cell r="J1205">
            <v>43392</v>
          </cell>
        </row>
        <row r="1206">
          <cell r="A1206" t="str">
            <v>28083-T540</v>
          </cell>
          <cell r="B1206" t="str">
            <v>81W LUNENBURG - INSTALL DIRECT CONN</v>
          </cell>
          <cell r="C1206" t="str">
            <v>FIN Approval - Internal</v>
          </cell>
          <cell r="D1206">
            <v>6</v>
          </cell>
          <cell r="E1206" t="str">
            <v>APPROVED</v>
          </cell>
          <cell r="F1206">
            <v>39113</v>
          </cell>
          <cell r="G1206">
            <v>39447</v>
          </cell>
          <cell r="H1206">
            <v>31844.16</v>
          </cell>
          <cell r="I1206" t="str">
            <v>FIN Submission</v>
          </cell>
          <cell r="J1206">
            <v>43390</v>
          </cell>
        </row>
        <row r="1207">
          <cell r="A1207" t="str">
            <v>28100-P688</v>
          </cell>
          <cell r="B1207" t="str">
            <v xml:space="preserve">DISABILITY MANAGEMENT FIT FOR WORK </v>
          </cell>
          <cell r="C1207" t="str">
            <v>FIN Approval - Internal</v>
          </cell>
          <cell r="D1207">
            <v>6</v>
          </cell>
          <cell r="E1207" t="str">
            <v>APPROVED</v>
          </cell>
          <cell r="F1207">
            <v>38855</v>
          </cell>
          <cell r="G1207">
            <v>39294</v>
          </cell>
          <cell r="H1207">
            <v>29107.68</v>
          </cell>
          <cell r="I1207" t="str">
            <v>FIN Submission</v>
          </cell>
          <cell r="J1207">
            <v>43390</v>
          </cell>
        </row>
        <row r="1208">
          <cell r="A1208" t="str">
            <v>27852-P713</v>
          </cell>
          <cell r="B1208" t="str">
            <v>MV90 UPGRADE</v>
          </cell>
          <cell r="C1208" t="str">
            <v>FIN Approval - Internal</v>
          </cell>
          <cell r="D1208">
            <v>6</v>
          </cell>
          <cell r="E1208" t="str">
            <v>APPROVED</v>
          </cell>
          <cell r="F1208">
            <v>39126</v>
          </cell>
          <cell r="G1208">
            <v>39447</v>
          </cell>
          <cell r="H1208">
            <v>20910.189999999999</v>
          </cell>
          <cell r="I1208" t="str">
            <v>FIN Submission</v>
          </cell>
          <cell r="J1208">
            <v>43390</v>
          </cell>
        </row>
        <row r="1209">
          <cell r="A1209" t="str">
            <v>12520-D496</v>
          </cell>
          <cell r="B1209" t="str">
            <v>REPLACE LOAD PROFILE METERS WITH AM</v>
          </cell>
          <cell r="C1209" t="str">
            <v>FIN Approval - Internal</v>
          </cell>
          <cell r="D1209">
            <v>6</v>
          </cell>
          <cell r="E1209" t="str">
            <v>APPROVED</v>
          </cell>
          <cell r="F1209">
            <v>39163</v>
          </cell>
          <cell r="G1209">
            <v>39172</v>
          </cell>
          <cell r="H1209">
            <v>216862</v>
          </cell>
          <cell r="I1209" t="str">
            <v>FIN Submission</v>
          </cell>
          <cell r="J1209">
            <v>43390</v>
          </cell>
        </row>
        <row r="1210">
          <cell r="A1210" t="str">
            <v>24884-P658</v>
          </cell>
          <cell r="B1210" t="str">
            <v>U &amp; U - RETIRE SPRINGHILL OFFICE BU</v>
          </cell>
          <cell r="C1210" t="str">
            <v>FIN Approval - Internal</v>
          </cell>
          <cell r="D1210">
            <v>6</v>
          </cell>
          <cell r="E1210" t="str">
            <v>APPROVED</v>
          </cell>
          <cell r="F1210">
            <v>38412</v>
          </cell>
          <cell r="G1210">
            <v>38625</v>
          </cell>
          <cell r="H1210">
            <v>-35882</v>
          </cell>
          <cell r="I1210" t="str">
            <v>FIN Submission</v>
          </cell>
          <cell r="J1210">
            <v>43390</v>
          </cell>
        </row>
        <row r="1211">
          <cell r="A1211" t="str">
            <v>24244-P624</v>
          </cell>
          <cell r="B1211" t="str">
            <v>U &amp; U RETIREMENT - SALE OF LAND PAR</v>
          </cell>
          <cell r="C1211" t="str">
            <v>FIN Approval - Internal</v>
          </cell>
          <cell r="D1211">
            <v>6</v>
          </cell>
          <cell r="E1211" t="str">
            <v>APPROVED</v>
          </cell>
          <cell r="F1211">
            <v>38532</v>
          </cell>
          <cell r="G1211">
            <v>38564</v>
          </cell>
          <cell r="H1211">
            <v>-3400</v>
          </cell>
          <cell r="I1211" t="str">
            <v>FIN Submission</v>
          </cell>
          <cell r="J1211">
            <v>43390</v>
          </cell>
        </row>
        <row r="1212">
          <cell r="A1212" t="str">
            <v>20280-S660</v>
          </cell>
          <cell r="B1212" t="str">
            <v>LIN, INSTALLATION OF A WASTEWATER T</v>
          </cell>
          <cell r="C1212" t="str">
            <v>FIN Approval - Internal</v>
          </cell>
          <cell r="D1212">
            <v>8</v>
          </cell>
          <cell r="E1212" t="str">
            <v>APPROVED</v>
          </cell>
          <cell r="F1212">
            <v>37805</v>
          </cell>
          <cell r="G1212">
            <v>38352</v>
          </cell>
          <cell r="H1212">
            <v>5420997.3300000001</v>
          </cell>
          <cell r="I1212" t="str">
            <v>FIN Submission</v>
          </cell>
          <cell r="J1212">
            <v>43390</v>
          </cell>
        </row>
        <row r="1213">
          <cell r="A1213" t="str">
            <v>25423-S853</v>
          </cell>
          <cell r="B1213" t="str">
            <v>LIN - REFURBISH LARGE BORE CW PIPIN</v>
          </cell>
          <cell r="C1213" t="str">
            <v>FIN Approval - Internal</v>
          </cell>
          <cell r="D1213">
            <v>10</v>
          </cell>
          <cell r="E1213" t="str">
            <v>APPROVED</v>
          </cell>
          <cell r="F1213">
            <v>38677</v>
          </cell>
          <cell r="G1213">
            <v>43404</v>
          </cell>
          <cell r="H1213">
            <v>350778.63</v>
          </cell>
          <cell r="I1213" t="str">
            <v>FIN Submission</v>
          </cell>
          <cell r="J1213">
            <v>43390</v>
          </cell>
        </row>
        <row r="1214">
          <cell r="A1214" t="str">
            <v>27865-P704</v>
          </cell>
          <cell r="B1214" t="str">
            <v>LIN-REPLACE TURBINE BAY WINDOWS</v>
          </cell>
          <cell r="C1214" t="str">
            <v>FIN Approval - Internal</v>
          </cell>
          <cell r="D1214">
            <v>45</v>
          </cell>
          <cell r="E1214" t="str">
            <v>APPROVED</v>
          </cell>
          <cell r="F1214">
            <v>39133</v>
          </cell>
          <cell r="G1214">
            <v>39994</v>
          </cell>
          <cell r="H1214">
            <v>427466.14</v>
          </cell>
          <cell r="I1214" t="str">
            <v>FIN Submission</v>
          </cell>
          <cell r="J1214">
            <v>43390</v>
          </cell>
        </row>
        <row r="1215">
          <cell r="A1215" t="str">
            <v>25792-P645</v>
          </cell>
          <cell r="B1215" t="str">
            <v>PURCHASE OF LOT X HIGHFIELD PARK DR</v>
          </cell>
          <cell r="C1215" t="str">
            <v>FIN Approval - Internal</v>
          </cell>
          <cell r="D1215">
            <v>78</v>
          </cell>
          <cell r="E1215" t="str">
            <v>APPROVED</v>
          </cell>
          <cell r="F1215">
            <v>39386</v>
          </cell>
          <cell r="G1215">
            <v>39386</v>
          </cell>
          <cell r="H1215">
            <v>24776</v>
          </cell>
          <cell r="I1215" t="str">
            <v>FIN Submission</v>
          </cell>
          <cell r="J1215">
            <v>43390</v>
          </cell>
        </row>
        <row r="1216">
          <cell r="A1216" t="str">
            <v>26404-P710</v>
          </cell>
          <cell r="B1216" t="str">
            <v>AUTOMATED METER READING (AMR) PROJE</v>
          </cell>
          <cell r="C1216" t="str">
            <v>FIN Approval - Internal</v>
          </cell>
          <cell r="D1216">
            <v>136</v>
          </cell>
          <cell r="E1216" t="str">
            <v>APPROVED</v>
          </cell>
          <cell r="F1216">
            <v>39113</v>
          </cell>
          <cell r="G1216">
            <v>39478</v>
          </cell>
          <cell r="H1216">
            <v>220755.24</v>
          </cell>
          <cell r="I1216" t="str">
            <v>FIN Submission</v>
          </cell>
          <cell r="J1216">
            <v>43390</v>
          </cell>
        </row>
        <row r="1217">
          <cell r="A1217" t="str">
            <v>28399-P743</v>
          </cell>
          <cell r="B1217" t="str">
            <v>UPGRADE MV90 TO VERSION XI</v>
          </cell>
          <cell r="C1217" t="str">
            <v>FIN Approval - Internal</v>
          </cell>
          <cell r="D1217">
            <v>137</v>
          </cell>
          <cell r="E1217" t="str">
            <v>APPROVED</v>
          </cell>
          <cell r="F1217">
            <v>39507</v>
          </cell>
          <cell r="G1217">
            <v>40633</v>
          </cell>
          <cell r="H1217">
            <v>97394.98</v>
          </cell>
          <cell r="I1217" t="str">
            <v>FIN Submission</v>
          </cell>
          <cell r="J1217">
            <v>43390</v>
          </cell>
        </row>
        <row r="1218">
          <cell r="A1218" t="str">
            <v>27853-P736</v>
          </cell>
          <cell r="B1218" t="str">
            <v>METER READING HANDHELD REPLACEMENT</v>
          </cell>
          <cell r="C1218" t="str">
            <v>FIN Approval - Internal</v>
          </cell>
          <cell r="D1218">
            <v>138</v>
          </cell>
          <cell r="E1218" t="str">
            <v>APPROVED</v>
          </cell>
          <cell r="F1218">
            <v>39470</v>
          </cell>
          <cell r="G1218">
            <v>40663</v>
          </cell>
          <cell r="H1218">
            <v>299199.02</v>
          </cell>
          <cell r="I1218" t="str">
            <v>FIN Submission</v>
          </cell>
          <cell r="J1218">
            <v>43390</v>
          </cell>
        </row>
        <row r="1219">
          <cell r="A1219" t="str">
            <v>29040-P752</v>
          </cell>
          <cell r="B1219" t="str">
            <v>EP&amp;M Mercury Measurement Instrument</v>
          </cell>
          <cell r="C1219" t="str">
            <v>FIN Approval - Internal</v>
          </cell>
          <cell r="D1219">
            <v>154</v>
          </cell>
          <cell r="E1219" t="str">
            <v>APPROVED</v>
          </cell>
          <cell r="F1219">
            <v>40543</v>
          </cell>
          <cell r="G1219">
            <v>40633</v>
          </cell>
          <cell r="H1219">
            <v>270329.5</v>
          </cell>
          <cell r="I1219" t="str">
            <v>Working Budget Version</v>
          </cell>
          <cell r="J1219">
            <v>43390</v>
          </cell>
        </row>
        <row r="1220">
          <cell r="A1220" t="str">
            <v>47905-SG78</v>
          </cell>
          <cell r="B1220" t="str">
            <v xml:space="preserve">TUC1 Chimney Access Infrastructure </v>
          </cell>
          <cell r="C1220" t="str">
            <v>FIN Approval - Internal</v>
          </cell>
          <cell r="D1220">
            <v>52</v>
          </cell>
          <cell r="E1220" t="str">
            <v>APPROVED</v>
          </cell>
          <cell r="F1220">
            <v>42655</v>
          </cell>
          <cell r="G1220">
            <v>43373</v>
          </cell>
          <cell r="H1220">
            <v>111385.51</v>
          </cell>
          <cell r="I1220" t="str">
            <v>FIN Submission</v>
          </cell>
          <cell r="J1220">
            <v>43375</v>
          </cell>
        </row>
        <row r="1221">
          <cell r="A1221" t="str">
            <v>C0002678</v>
          </cell>
          <cell r="B1221" t="str">
            <v xml:space="preserve">586C-311 Marble Mountain Road Line </v>
          </cell>
          <cell r="C1221" t="str">
            <v>FIN Approval - Internal</v>
          </cell>
          <cell r="D1221">
            <v>14</v>
          </cell>
          <cell r="E1221" t="str">
            <v>APPROVED</v>
          </cell>
          <cell r="F1221">
            <v>43100</v>
          </cell>
          <cell r="G1221">
            <v>43281</v>
          </cell>
          <cell r="H1221">
            <v>20378.689999999999</v>
          </cell>
          <cell r="I1221" t="str">
            <v>FIN Submission</v>
          </cell>
          <cell r="J1221">
            <v>43374</v>
          </cell>
        </row>
        <row r="1222">
          <cell r="A1222" t="str">
            <v>51358-P144</v>
          </cell>
          <cell r="B1222" t="str">
            <v xml:space="preserve">CN Bridge - Massachusetts Avenue </v>
          </cell>
          <cell r="C1222" t="str">
            <v>FIN Approval - Internal</v>
          </cell>
          <cell r="D1222">
            <v>20</v>
          </cell>
          <cell r="E1222" t="str">
            <v>APPROVED</v>
          </cell>
          <cell r="F1222">
            <v>43069</v>
          </cell>
          <cell r="G1222">
            <v>43220</v>
          </cell>
          <cell r="H1222">
            <v>249902.05</v>
          </cell>
          <cell r="I1222" t="str">
            <v>FIN Submission</v>
          </cell>
          <cell r="J1222">
            <v>43374</v>
          </cell>
        </row>
        <row r="1223">
          <cell r="A1223" t="str">
            <v>51571-SI67</v>
          </cell>
          <cell r="B1223" t="str">
            <v>TRE5 UU 4kv Motor Refurbishments</v>
          </cell>
          <cell r="C1223" t="str">
            <v>FIN Approval - Internal</v>
          </cell>
          <cell r="D1223">
            <v>20</v>
          </cell>
          <cell r="E1223" t="str">
            <v>APPROVED</v>
          </cell>
          <cell r="F1223">
            <v>42870</v>
          </cell>
          <cell r="G1223">
            <v>43266</v>
          </cell>
          <cell r="H1223">
            <v>117866.54</v>
          </cell>
          <cell r="I1223" t="str">
            <v>FIN Submission</v>
          </cell>
          <cell r="J1223">
            <v>43374</v>
          </cell>
        </row>
        <row r="1224">
          <cell r="A1224" t="str">
            <v>51120-SI26</v>
          </cell>
          <cell r="B1224" t="str">
            <v>TRE5 UU TWIP Valves</v>
          </cell>
          <cell r="C1224" t="str">
            <v>FIN Approval - Internal</v>
          </cell>
          <cell r="D1224">
            <v>23</v>
          </cell>
          <cell r="E1224" t="str">
            <v>APPROVED</v>
          </cell>
          <cell r="F1224">
            <v>42870</v>
          </cell>
          <cell r="G1224">
            <v>43202</v>
          </cell>
          <cell r="H1224">
            <v>246490.05</v>
          </cell>
          <cell r="I1224" t="str">
            <v>FIN Submission</v>
          </cell>
          <cell r="J1224">
            <v>43374</v>
          </cell>
        </row>
        <row r="1225">
          <cell r="A1225" t="str">
            <v>50798-D815</v>
          </cell>
          <cell r="B1225" t="str">
            <v>2017 Vault Upgrade</v>
          </cell>
          <cell r="C1225" t="str">
            <v>FIN Approval - Internal</v>
          </cell>
          <cell r="D1225">
            <v>24</v>
          </cell>
          <cell r="E1225" t="str">
            <v>APPROVED</v>
          </cell>
          <cell r="F1225">
            <v>43008</v>
          </cell>
          <cell r="G1225">
            <v>43343</v>
          </cell>
          <cell r="H1225">
            <v>65607.89</v>
          </cell>
          <cell r="I1225" t="str">
            <v>FIN Submission</v>
          </cell>
          <cell r="J1225">
            <v>43374</v>
          </cell>
        </row>
        <row r="1226">
          <cell r="A1226" t="str">
            <v>50576-D793</v>
          </cell>
          <cell r="B1226" t="str">
            <v>73W-411GCA-Chesley Rd Repole</v>
          </cell>
          <cell r="C1226" t="str">
            <v>FIN Approval - Internal</v>
          </cell>
          <cell r="D1226">
            <v>26</v>
          </cell>
          <cell r="E1226" t="str">
            <v>APPROVED</v>
          </cell>
          <cell r="F1226">
            <v>42916</v>
          </cell>
          <cell r="G1226">
            <v>43311</v>
          </cell>
          <cell r="H1226">
            <v>51723.83</v>
          </cell>
          <cell r="I1226" t="str">
            <v>FIN Submission</v>
          </cell>
          <cell r="J1226">
            <v>43374</v>
          </cell>
        </row>
        <row r="1227">
          <cell r="A1227" t="str">
            <v>50575-D792</v>
          </cell>
          <cell r="B1227" t="str">
            <v>12V-302J-Milbury Lake Rd Repole</v>
          </cell>
          <cell r="C1227" t="str">
            <v>FIN Approval - Internal</v>
          </cell>
          <cell r="D1227">
            <v>27</v>
          </cell>
          <cell r="E1227" t="str">
            <v>APPROVED</v>
          </cell>
          <cell r="F1227">
            <v>42885</v>
          </cell>
          <cell r="G1227">
            <v>43343</v>
          </cell>
          <cell r="H1227">
            <v>101153.16</v>
          </cell>
          <cell r="I1227" t="str">
            <v>FIN Submission</v>
          </cell>
          <cell r="J1227">
            <v>43374</v>
          </cell>
        </row>
        <row r="1228">
          <cell r="A1228" t="str">
            <v>50796-D849</v>
          </cell>
          <cell r="B1228" t="str">
            <v>New Distribution ROW Phase II</v>
          </cell>
          <cell r="C1228" t="str">
            <v>FIN Approval - Internal</v>
          </cell>
          <cell r="D1228">
            <v>29</v>
          </cell>
          <cell r="E1228" t="str">
            <v>APPROVED</v>
          </cell>
          <cell r="F1228">
            <v>42916</v>
          </cell>
          <cell r="G1228">
            <v>43281</v>
          </cell>
          <cell r="H1228">
            <v>3446611.94</v>
          </cell>
          <cell r="I1228" t="str">
            <v>FIN Submission</v>
          </cell>
          <cell r="J1228">
            <v>43374</v>
          </cell>
        </row>
        <row r="1229">
          <cell r="A1229" t="str">
            <v>49930-P117</v>
          </cell>
          <cell r="B1229" t="str">
            <v xml:space="preserve">CT - BGT Security Camera </v>
          </cell>
          <cell r="C1229" t="str">
            <v>FIN Approval - Internal</v>
          </cell>
          <cell r="D1229">
            <v>33</v>
          </cell>
          <cell r="E1229" t="str">
            <v>APPROVED</v>
          </cell>
          <cell r="F1229">
            <v>42704</v>
          </cell>
          <cell r="G1229">
            <v>42855</v>
          </cell>
          <cell r="H1229">
            <v>65861.87</v>
          </cell>
          <cell r="I1229" t="str">
            <v>FIN Submission</v>
          </cell>
          <cell r="J1229">
            <v>43374</v>
          </cell>
        </row>
        <row r="1230">
          <cell r="A1230" t="str">
            <v>49950-G240</v>
          </cell>
          <cell r="B1230" t="str">
            <v>LM6000 TUC4 SPRINT Nozzle Replace</v>
          </cell>
          <cell r="C1230" t="str">
            <v>FIN Approval - Internal</v>
          </cell>
          <cell r="D1230">
            <v>34</v>
          </cell>
          <cell r="E1230" t="str">
            <v>APPROVED</v>
          </cell>
          <cell r="F1230">
            <v>43069</v>
          </cell>
          <cell r="G1230">
            <v>43189</v>
          </cell>
          <cell r="H1230">
            <v>145759.01999999999</v>
          </cell>
          <cell r="I1230" t="str">
            <v>FIN Submission</v>
          </cell>
          <cell r="J1230">
            <v>43374</v>
          </cell>
        </row>
        <row r="1231">
          <cell r="A1231" t="str">
            <v>49851-SG95</v>
          </cell>
          <cell r="B1231" t="str">
            <v>TUC1 U&amp;U FAC Piping Replacements</v>
          </cell>
          <cell r="C1231" t="str">
            <v>FIN Approval - Internal</v>
          </cell>
          <cell r="D1231">
            <v>34</v>
          </cell>
          <cell r="E1231" t="str">
            <v>APPROVED</v>
          </cell>
          <cell r="F1231">
            <v>42671</v>
          </cell>
          <cell r="G1231">
            <v>43373</v>
          </cell>
          <cell r="H1231">
            <v>90383.3</v>
          </cell>
          <cell r="I1231" t="str">
            <v>FIN Submission</v>
          </cell>
          <cell r="J1231">
            <v>43374</v>
          </cell>
        </row>
        <row r="1232">
          <cell r="A1232" t="str">
            <v>49941-SH03</v>
          </cell>
          <cell r="B1232" t="str">
            <v>TUC6 U&amp;U North CW Pump Refurb</v>
          </cell>
          <cell r="C1232" t="str">
            <v>FIN Approval - Internal</v>
          </cell>
          <cell r="D1232">
            <v>35</v>
          </cell>
          <cell r="E1232" t="str">
            <v>APPROVED</v>
          </cell>
          <cell r="F1232">
            <v>42719</v>
          </cell>
          <cell r="G1232">
            <v>43373</v>
          </cell>
          <cell r="H1232">
            <v>97288.92</v>
          </cell>
          <cell r="I1232" t="str">
            <v>FIN Submission</v>
          </cell>
          <cell r="J1232">
            <v>43374</v>
          </cell>
        </row>
        <row r="1233">
          <cell r="A1233" t="str">
            <v>49548-SH11</v>
          </cell>
          <cell r="B1233" t="str">
            <v>TRE5 PA 5-1 Mill Refurbishment</v>
          </cell>
          <cell r="C1233" t="str">
            <v>FIN Approval - Internal</v>
          </cell>
          <cell r="D1233">
            <v>37</v>
          </cell>
          <cell r="E1233" t="str">
            <v>APPROVED</v>
          </cell>
          <cell r="F1233">
            <v>42719</v>
          </cell>
          <cell r="G1233">
            <v>43023</v>
          </cell>
          <cell r="H1233">
            <v>224615.94</v>
          </cell>
          <cell r="I1233" t="str">
            <v>FIN Submission</v>
          </cell>
          <cell r="J1233">
            <v>43374</v>
          </cell>
        </row>
        <row r="1234">
          <cell r="A1234" t="str">
            <v>49498-D754</v>
          </cell>
          <cell r="B1234" t="str">
            <v>50N-410 / 50N-412 Reconfigure</v>
          </cell>
          <cell r="C1234" t="str">
            <v>FIN Approval - Internal</v>
          </cell>
          <cell r="D1234">
            <v>38</v>
          </cell>
          <cell r="E1234" t="str">
            <v>APPROVED</v>
          </cell>
          <cell r="F1234">
            <v>42644</v>
          </cell>
          <cell r="G1234">
            <v>43040</v>
          </cell>
          <cell r="H1234">
            <v>53587.5</v>
          </cell>
          <cell r="I1234" t="str">
            <v>FIN Submission</v>
          </cell>
          <cell r="J1234">
            <v>43374</v>
          </cell>
        </row>
        <row r="1235">
          <cell r="A1235" t="str">
            <v>49536-SH65</v>
          </cell>
          <cell r="B1235" t="str">
            <v>TRE5 Boiler Refurbishments 2017</v>
          </cell>
          <cell r="C1235" t="str">
            <v>FIN Approval - Internal</v>
          </cell>
          <cell r="D1235">
            <v>38</v>
          </cell>
          <cell r="E1235" t="str">
            <v>APPROVED</v>
          </cell>
          <cell r="F1235">
            <v>42870</v>
          </cell>
          <cell r="G1235">
            <v>43266</v>
          </cell>
          <cell r="H1235">
            <v>925492.12</v>
          </cell>
          <cell r="I1235" t="str">
            <v>FIN Submission</v>
          </cell>
          <cell r="J1235">
            <v>43374</v>
          </cell>
        </row>
        <row r="1236">
          <cell r="A1236" t="str">
            <v>49218-D767</v>
          </cell>
          <cell r="B1236" t="str">
            <v>49C Pomquet Forks Phase I</v>
          </cell>
          <cell r="C1236" t="str">
            <v>FIN Approval - Internal</v>
          </cell>
          <cell r="D1236">
            <v>39</v>
          </cell>
          <cell r="E1236" t="str">
            <v>APPROVED</v>
          </cell>
          <cell r="F1236">
            <v>42673</v>
          </cell>
          <cell r="G1236">
            <v>43100</v>
          </cell>
          <cell r="H1236">
            <v>205561.39</v>
          </cell>
          <cell r="I1236" t="str">
            <v>FIN Submission</v>
          </cell>
          <cell r="J1236">
            <v>43374</v>
          </cell>
        </row>
        <row r="1237">
          <cell r="A1237" t="str">
            <v>49549-SH61</v>
          </cell>
          <cell r="B1237" t="str">
            <v>TRE5 5-3 Mill Refurbishment 2017</v>
          </cell>
          <cell r="C1237" t="str">
            <v>FIN Approval - Internal</v>
          </cell>
          <cell r="D1237">
            <v>39</v>
          </cell>
          <cell r="E1237" t="str">
            <v>APPROVED</v>
          </cell>
          <cell r="F1237">
            <v>42901</v>
          </cell>
          <cell r="G1237">
            <v>43205</v>
          </cell>
          <cell r="H1237">
            <v>241401.44</v>
          </cell>
          <cell r="I1237" t="str">
            <v>FIN Submission</v>
          </cell>
          <cell r="J1237">
            <v>43374</v>
          </cell>
        </row>
        <row r="1238">
          <cell r="A1238" t="str">
            <v>49544-SH44</v>
          </cell>
          <cell r="B1238" t="str">
            <v>TRE5 Conveyor Refurbishments</v>
          </cell>
          <cell r="C1238" t="str">
            <v>FIN Approval - Internal</v>
          </cell>
          <cell r="D1238">
            <v>39</v>
          </cell>
          <cell r="E1238" t="str">
            <v>APPROVED</v>
          </cell>
          <cell r="F1238">
            <v>43084</v>
          </cell>
          <cell r="G1238">
            <v>43205</v>
          </cell>
          <cell r="H1238">
            <v>143863.34</v>
          </cell>
          <cell r="I1238" t="str">
            <v>FIN Submission</v>
          </cell>
          <cell r="J1238">
            <v>43374</v>
          </cell>
        </row>
        <row r="1239">
          <cell r="A1239" t="str">
            <v>49558-SJ14</v>
          </cell>
          <cell r="B1239" t="str">
            <v>TRE6 Bus Bar Repairs/IR Windows</v>
          </cell>
          <cell r="C1239" t="str">
            <v>FIN Approval - Internal</v>
          </cell>
          <cell r="D1239">
            <v>39</v>
          </cell>
          <cell r="E1239" t="str">
            <v>APPROVED</v>
          </cell>
          <cell r="F1239">
            <v>43054</v>
          </cell>
          <cell r="G1239">
            <v>43327</v>
          </cell>
          <cell r="H1239">
            <v>58545.55</v>
          </cell>
          <cell r="I1239" t="str">
            <v>FIN Submission</v>
          </cell>
          <cell r="J1239">
            <v>43374</v>
          </cell>
        </row>
        <row r="1240">
          <cell r="A1240" t="str">
            <v>49173-D743</v>
          </cell>
          <cell r="B1240" t="str">
            <v xml:space="preserve">11S-411 11S-302 Re-Build Coxheath </v>
          </cell>
          <cell r="C1240" t="str">
            <v>FIN Approval - Internal</v>
          </cell>
          <cell r="D1240">
            <v>40</v>
          </cell>
          <cell r="E1240" t="str">
            <v>APPROVED</v>
          </cell>
          <cell r="F1240">
            <v>42612</v>
          </cell>
          <cell r="G1240">
            <v>43465</v>
          </cell>
          <cell r="H1240">
            <v>182268.97</v>
          </cell>
          <cell r="I1240" t="str">
            <v>FIN Submission</v>
          </cell>
          <cell r="J1240">
            <v>43374</v>
          </cell>
        </row>
        <row r="1241">
          <cell r="A1241" t="str">
            <v>47554-SF55</v>
          </cell>
          <cell r="B1241" t="str">
            <v>TRE5 5-1 FD Fan Refurbishment</v>
          </cell>
          <cell r="C1241" t="str">
            <v>FIN Approval - Internal</v>
          </cell>
          <cell r="D1241">
            <v>40</v>
          </cell>
          <cell r="E1241" t="str">
            <v>APPROVED</v>
          </cell>
          <cell r="F1241">
            <v>42719</v>
          </cell>
          <cell r="G1241">
            <v>43023</v>
          </cell>
          <cell r="H1241">
            <v>569531.71</v>
          </cell>
          <cell r="I1241" t="str">
            <v>FIN Submission</v>
          </cell>
          <cell r="J1241">
            <v>43374</v>
          </cell>
        </row>
        <row r="1242">
          <cell r="A1242" t="str">
            <v>49538-SH96</v>
          </cell>
          <cell r="B1242" t="str">
            <v xml:space="preserve">TRE6 Generator Flux Probe Instal </v>
          </cell>
          <cell r="C1242" t="str">
            <v>FIN Approval - Internal</v>
          </cell>
          <cell r="D1242">
            <v>40</v>
          </cell>
          <cell r="E1242" t="str">
            <v>APPROVED</v>
          </cell>
          <cell r="F1242">
            <v>43054</v>
          </cell>
          <cell r="G1242">
            <v>43327</v>
          </cell>
          <cell r="H1242">
            <v>852173.37</v>
          </cell>
          <cell r="I1242" t="str">
            <v>FIN Submission</v>
          </cell>
          <cell r="J1242">
            <v>43374</v>
          </cell>
        </row>
        <row r="1243">
          <cell r="A1243" t="str">
            <v>49062-SG34</v>
          </cell>
          <cell r="B1243" t="str">
            <v>TUC1 UU Switchgear IR Windows &amp; Ref</v>
          </cell>
          <cell r="C1243" t="str">
            <v>FIN Approval - Internal</v>
          </cell>
          <cell r="D1243">
            <v>40</v>
          </cell>
          <cell r="E1243" t="str">
            <v>APPROVED</v>
          </cell>
          <cell r="F1243">
            <v>42673</v>
          </cell>
          <cell r="G1243">
            <v>43373</v>
          </cell>
          <cell r="H1243">
            <v>54403.32</v>
          </cell>
          <cell r="I1243" t="str">
            <v>FIN Submission</v>
          </cell>
          <cell r="J1243">
            <v>43374</v>
          </cell>
        </row>
        <row r="1244">
          <cell r="A1244" t="str">
            <v>47601-SG09</v>
          </cell>
          <cell r="B1244" t="str">
            <v>TRE Ash Site Management (2016)</v>
          </cell>
          <cell r="C1244" t="str">
            <v>FIN Approval - Internal</v>
          </cell>
          <cell r="D1244">
            <v>41</v>
          </cell>
          <cell r="E1244" t="str">
            <v>APPROVED</v>
          </cell>
          <cell r="F1244">
            <v>42689</v>
          </cell>
          <cell r="G1244">
            <v>42870</v>
          </cell>
          <cell r="H1244">
            <v>189819.61</v>
          </cell>
          <cell r="I1244" t="str">
            <v>FIN Submission</v>
          </cell>
          <cell r="J1244">
            <v>43374</v>
          </cell>
        </row>
        <row r="1245">
          <cell r="A1245" t="str">
            <v>48832-D726</v>
          </cell>
          <cell r="B1245" t="str">
            <v>Voltage Regulator Replacement East</v>
          </cell>
          <cell r="C1245" t="str">
            <v>FIN Approval - Internal</v>
          </cell>
          <cell r="D1245">
            <v>41</v>
          </cell>
          <cell r="E1245" t="str">
            <v>APPROVED</v>
          </cell>
          <cell r="F1245">
            <v>42978</v>
          </cell>
          <cell r="G1245">
            <v>43465</v>
          </cell>
          <cell r="H1245">
            <v>177331.66</v>
          </cell>
          <cell r="I1245" t="str">
            <v>FIN Submission</v>
          </cell>
          <cell r="J1245">
            <v>43374</v>
          </cell>
        </row>
        <row r="1246">
          <cell r="A1246" t="str">
            <v>47600-SG55</v>
          </cell>
          <cell r="B1246" t="str">
            <v>TRE Asbestos Abatement (2016)</v>
          </cell>
          <cell r="C1246" t="str">
            <v>FIN Approval - Internal</v>
          </cell>
          <cell r="D1246">
            <v>42</v>
          </cell>
          <cell r="E1246" t="str">
            <v>APPROVED</v>
          </cell>
          <cell r="F1246">
            <v>42719</v>
          </cell>
          <cell r="G1246">
            <v>43023</v>
          </cell>
          <cell r="H1246">
            <v>2088670.89</v>
          </cell>
          <cell r="I1246" t="str">
            <v>FIN Submission</v>
          </cell>
          <cell r="J1246">
            <v>43374</v>
          </cell>
        </row>
        <row r="1247">
          <cell r="A1247" t="str">
            <v>47606-SG56</v>
          </cell>
          <cell r="B1247" t="str">
            <v>TRE5 Sootblower Control System Upgr</v>
          </cell>
          <cell r="C1247" t="str">
            <v>FIN Approval - Internal</v>
          </cell>
          <cell r="D1247">
            <v>42</v>
          </cell>
          <cell r="E1247" t="str">
            <v>APPROVED</v>
          </cell>
          <cell r="F1247">
            <v>42719</v>
          </cell>
          <cell r="G1247">
            <v>43023</v>
          </cell>
          <cell r="H1247">
            <v>286649.31</v>
          </cell>
          <cell r="I1247" t="str">
            <v>FIN Submission</v>
          </cell>
          <cell r="J1247">
            <v>43374</v>
          </cell>
        </row>
        <row r="1248">
          <cell r="A1248" t="str">
            <v>49231-SG59</v>
          </cell>
          <cell r="B1248" t="str">
            <v>TUC1 UU Battery Charger &amp; Inver</v>
          </cell>
          <cell r="C1248" t="str">
            <v>FIN Approval - Internal</v>
          </cell>
          <cell r="D1248">
            <v>42</v>
          </cell>
          <cell r="E1248" t="str">
            <v>APPROVED</v>
          </cell>
          <cell r="F1248">
            <v>42687</v>
          </cell>
          <cell r="G1248">
            <v>43373</v>
          </cell>
          <cell r="H1248">
            <v>186535.67</v>
          </cell>
          <cell r="I1248" t="str">
            <v>FIN Submission</v>
          </cell>
          <cell r="J1248">
            <v>43374</v>
          </cell>
        </row>
        <row r="1249">
          <cell r="A1249" t="str">
            <v>48493-D690</v>
          </cell>
          <cell r="B1249" t="str">
            <v>581C Malignant Cove Voltage Reg</v>
          </cell>
          <cell r="C1249" t="str">
            <v>FIN Approval - Internal</v>
          </cell>
          <cell r="D1249">
            <v>43</v>
          </cell>
          <cell r="E1249" t="str">
            <v>APPROVED</v>
          </cell>
          <cell r="F1249">
            <v>42704</v>
          </cell>
          <cell r="G1249">
            <v>42977</v>
          </cell>
          <cell r="H1249">
            <v>115393.78</v>
          </cell>
          <cell r="I1249" t="str">
            <v>FIN Submission</v>
          </cell>
          <cell r="J1249">
            <v>43374</v>
          </cell>
        </row>
        <row r="1250">
          <cell r="A1250" t="str">
            <v>48672-D717</v>
          </cell>
          <cell r="B1250" t="str">
            <v>83V-301 Grand Pre - Reconductor</v>
          </cell>
          <cell r="C1250" t="str">
            <v>FIN Approval - Internal</v>
          </cell>
          <cell r="D1250">
            <v>43</v>
          </cell>
          <cell r="E1250" t="str">
            <v>APPROVED</v>
          </cell>
          <cell r="F1250">
            <v>42489</v>
          </cell>
          <cell r="G1250">
            <v>43281</v>
          </cell>
          <cell r="H1250">
            <v>96925.46</v>
          </cell>
          <cell r="I1250" t="str">
            <v>FIN Submission</v>
          </cell>
          <cell r="J1250">
            <v>43374</v>
          </cell>
        </row>
        <row r="1251">
          <cell r="A1251" t="str">
            <v>48833-SF92</v>
          </cell>
          <cell r="B1251" t="str">
            <v>TUC2 UU South BFP Refurb</v>
          </cell>
          <cell r="C1251" t="str">
            <v>FIN Approval - Internal</v>
          </cell>
          <cell r="D1251">
            <v>43</v>
          </cell>
          <cell r="E1251" t="str">
            <v>APPROVED</v>
          </cell>
          <cell r="F1251">
            <v>42432</v>
          </cell>
          <cell r="G1251">
            <v>43373</v>
          </cell>
          <cell r="H1251">
            <v>95366.56</v>
          </cell>
          <cell r="I1251" t="str">
            <v>FIN Submission</v>
          </cell>
          <cell r="J1251">
            <v>43374</v>
          </cell>
        </row>
        <row r="1252">
          <cell r="A1252" t="str">
            <v>48431-D709</v>
          </cell>
          <cell r="B1252" t="str">
            <v>36W-304G Enslow Point Road Line Rel</v>
          </cell>
          <cell r="C1252" t="str">
            <v>FIN Approval - Internal</v>
          </cell>
          <cell r="D1252">
            <v>44</v>
          </cell>
          <cell r="E1252" t="str">
            <v>APPROVED</v>
          </cell>
          <cell r="F1252">
            <v>42643</v>
          </cell>
          <cell r="G1252">
            <v>43312</v>
          </cell>
          <cell r="H1252">
            <v>121781.11</v>
          </cell>
          <cell r="I1252" t="str">
            <v>FIN Submission</v>
          </cell>
          <cell r="J1252">
            <v>43374</v>
          </cell>
        </row>
        <row r="1253">
          <cell r="A1253" t="str">
            <v>48578-SF84</v>
          </cell>
          <cell r="B1253" t="str">
            <v xml:space="preserve">TUC2 UU Loop Piping Hardware </v>
          </cell>
          <cell r="C1253" t="str">
            <v>FIN Approval - Internal</v>
          </cell>
          <cell r="D1253">
            <v>45</v>
          </cell>
          <cell r="E1253" t="str">
            <v>APPROVED</v>
          </cell>
          <cell r="F1253">
            <v>42490</v>
          </cell>
          <cell r="G1253">
            <v>43373</v>
          </cell>
          <cell r="H1253">
            <v>217486.43</v>
          </cell>
          <cell r="I1253" t="str">
            <v>FIN Submission</v>
          </cell>
          <cell r="J1253">
            <v>43374</v>
          </cell>
        </row>
        <row r="1254">
          <cell r="A1254" t="str">
            <v>48432-D696</v>
          </cell>
          <cell r="B1254" t="str">
            <v>16W-301 Rodney Road Rebuild</v>
          </cell>
          <cell r="C1254" t="str">
            <v>FIN Approval - Internal</v>
          </cell>
          <cell r="D1254">
            <v>47</v>
          </cell>
          <cell r="E1254" t="str">
            <v>APPROVED</v>
          </cell>
          <cell r="F1254">
            <v>42704</v>
          </cell>
          <cell r="G1254">
            <v>42979</v>
          </cell>
          <cell r="H1254">
            <v>235281.26</v>
          </cell>
          <cell r="I1254" t="str">
            <v>FIN Submission</v>
          </cell>
          <cell r="J1254">
            <v>43374</v>
          </cell>
        </row>
        <row r="1255">
          <cell r="A1255" t="str">
            <v>47778-D706</v>
          </cell>
          <cell r="B1255" t="str">
            <v>54H Feeder Exit Cable Replacement</v>
          </cell>
          <cell r="C1255" t="str">
            <v>FIN Approval - Internal</v>
          </cell>
          <cell r="D1255">
            <v>49</v>
          </cell>
          <cell r="E1255" t="str">
            <v>APPROVED</v>
          </cell>
          <cell r="F1255">
            <v>42490</v>
          </cell>
          <cell r="G1255">
            <v>43312</v>
          </cell>
          <cell r="H1255">
            <v>116699.27</v>
          </cell>
          <cell r="I1255" t="str">
            <v>FIN Submission</v>
          </cell>
          <cell r="J1255">
            <v>43374</v>
          </cell>
        </row>
        <row r="1256">
          <cell r="A1256" t="str">
            <v>48018-SF86</v>
          </cell>
          <cell r="B1256" t="str">
            <v>TUC1 IP HP Turbine Blading Refurb</v>
          </cell>
          <cell r="C1256" t="str">
            <v>FIN Approval - Internal</v>
          </cell>
          <cell r="D1256">
            <v>50</v>
          </cell>
          <cell r="E1256" t="str">
            <v>APPROVED</v>
          </cell>
          <cell r="F1256">
            <v>42673</v>
          </cell>
          <cell r="G1256">
            <v>43373</v>
          </cell>
          <cell r="H1256">
            <v>1093481.5</v>
          </cell>
          <cell r="I1256" t="str">
            <v>FIN Submission</v>
          </cell>
          <cell r="J1256">
            <v>43374</v>
          </cell>
        </row>
        <row r="1257">
          <cell r="A1257" t="str">
            <v>48069-D727</v>
          </cell>
          <cell r="B1257" t="str">
            <v>Vault Upgrade Program</v>
          </cell>
          <cell r="C1257" t="str">
            <v>FIN Approval - Internal</v>
          </cell>
          <cell r="D1257">
            <v>50</v>
          </cell>
          <cell r="E1257" t="str">
            <v>APPROVED</v>
          </cell>
          <cell r="F1257">
            <v>42886</v>
          </cell>
          <cell r="G1257">
            <v>43343</v>
          </cell>
          <cell r="H1257">
            <v>65777.820000000007</v>
          </cell>
          <cell r="I1257" t="str">
            <v>FIN Submission</v>
          </cell>
          <cell r="J1257">
            <v>43374</v>
          </cell>
        </row>
        <row r="1258">
          <cell r="A1258" t="str">
            <v>47911-SE90</v>
          </cell>
          <cell r="B1258" t="str">
            <v>TUC1 Turbine High Temp Fasteners</v>
          </cell>
          <cell r="C1258" t="str">
            <v>FIN Approval - Internal</v>
          </cell>
          <cell r="D1258">
            <v>51</v>
          </cell>
          <cell r="E1258" t="str">
            <v>APPROVED</v>
          </cell>
          <cell r="F1258">
            <v>42656</v>
          </cell>
          <cell r="G1258">
            <v>43373</v>
          </cell>
          <cell r="H1258">
            <v>837458.4</v>
          </cell>
          <cell r="I1258" t="str">
            <v>FIN Submission</v>
          </cell>
          <cell r="J1258">
            <v>43374</v>
          </cell>
        </row>
        <row r="1259">
          <cell r="A1259" t="str">
            <v>47904-SG92</v>
          </cell>
          <cell r="B1259" t="str">
            <v>TUC3 West Vacuum Pump Repl</v>
          </cell>
          <cell r="C1259" t="str">
            <v>FIN Approval - Internal</v>
          </cell>
          <cell r="D1259">
            <v>51</v>
          </cell>
          <cell r="E1259" t="str">
            <v>APPROVED</v>
          </cell>
          <cell r="F1259">
            <v>42629</v>
          </cell>
          <cell r="G1259">
            <v>43373</v>
          </cell>
          <cell r="H1259">
            <v>72167.320000000007</v>
          </cell>
          <cell r="I1259" t="str">
            <v>FIN Submission</v>
          </cell>
          <cell r="J1259">
            <v>43374</v>
          </cell>
        </row>
        <row r="1260">
          <cell r="A1260" t="str">
            <v>47945-SE82</v>
          </cell>
          <cell r="B1260" t="str">
            <v>TUC EDI Replacement</v>
          </cell>
          <cell r="C1260" t="str">
            <v>FIN Approval - Internal</v>
          </cell>
          <cell r="D1260">
            <v>52</v>
          </cell>
          <cell r="E1260" t="str">
            <v>APPROVED</v>
          </cell>
          <cell r="F1260">
            <v>42601</v>
          </cell>
          <cell r="G1260">
            <v>43373</v>
          </cell>
          <cell r="H1260">
            <v>329981.43</v>
          </cell>
          <cell r="I1260" t="str">
            <v>FIN Submission</v>
          </cell>
          <cell r="J1260">
            <v>43374</v>
          </cell>
        </row>
        <row r="1261">
          <cell r="A1261" t="str">
            <v>47899-SG16</v>
          </cell>
          <cell r="B1261" t="str">
            <v>TUC1 TSE/Data Management Upgrades</v>
          </cell>
          <cell r="C1261" t="str">
            <v>FIN Approval - Internal</v>
          </cell>
          <cell r="D1261">
            <v>52</v>
          </cell>
          <cell r="E1261" t="str">
            <v>APPROVED</v>
          </cell>
          <cell r="F1261">
            <v>42655</v>
          </cell>
          <cell r="G1261">
            <v>43373</v>
          </cell>
          <cell r="H1261">
            <v>192456.57</v>
          </cell>
          <cell r="I1261" t="str">
            <v>FIN Submission</v>
          </cell>
          <cell r="J1261">
            <v>43374</v>
          </cell>
        </row>
        <row r="1262">
          <cell r="A1262" t="str">
            <v>47895-SG39</v>
          </cell>
          <cell r="B1262" t="str">
            <v>TUC3 Lube Oil Purifier Upgrade</v>
          </cell>
          <cell r="C1262" t="str">
            <v>FIN Approval - Internal</v>
          </cell>
          <cell r="D1262">
            <v>52</v>
          </cell>
          <cell r="E1262" t="str">
            <v>APPROVED</v>
          </cell>
          <cell r="F1262">
            <v>42689</v>
          </cell>
          <cell r="G1262">
            <v>43373</v>
          </cell>
          <cell r="H1262">
            <v>120848.94</v>
          </cell>
          <cell r="I1262" t="str">
            <v>FIN Submission</v>
          </cell>
          <cell r="J1262">
            <v>43374</v>
          </cell>
        </row>
        <row r="1263">
          <cell r="A1263" t="str">
            <v>47312-D647</v>
          </cell>
          <cell r="B1263" t="str">
            <v xml:space="preserve">11S-305 4S-333 Membertou Overload		</v>
          </cell>
          <cell r="C1263" t="str">
            <v>FIN Approval - Internal</v>
          </cell>
          <cell r="D1263">
            <v>53</v>
          </cell>
          <cell r="E1263" t="str">
            <v>APPROVED</v>
          </cell>
          <cell r="F1263">
            <v>42185</v>
          </cell>
          <cell r="G1263">
            <v>42916</v>
          </cell>
          <cell r="H1263">
            <v>321443.23</v>
          </cell>
          <cell r="I1263" t="str">
            <v>FIN Submission</v>
          </cell>
          <cell r="J1263">
            <v>43374</v>
          </cell>
        </row>
        <row r="1264">
          <cell r="A1264" t="str">
            <v>47642-SI72</v>
          </cell>
          <cell r="B1264" t="str">
            <v>TRE6 Feeder Controls Upgrade</v>
          </cell>
          <cell r="C1264" t="str">
            <v>FIN Approval - Internal</v>
          </cell>
          <cell r="D1264">
            <v>53</v>
          </cell>
          <cell r="E1264" t="str">
            <v>APPROVED</v>
          </cell>
          <cell r="F1264">
            <v>43054</v>
          </cell>
          <cell r="G1264">
            <v>43266</v>
          </cell>
          <cell r="H1264">
            <v>233977.73</v>
          </cell>
          <cell r="I1264" t="str">
            <v>FIN Submission</v>
          </cell>
          <cell r="J1264">
            <v>43374</v>
          </cell>
        </row>
        <row r="1265">
          <cell r="A1265" t="str">
            <v>47226-D700</v>
          </cell>
          <cell r="B1265" t="str">
            <v>22W-311GA - Daniels Head Rd Recondu</v>
          </cell>
          <cell r="C1265" t="str">
            <v>FIN Approval - Internal</v>
          </cell>
          <cell r="D1265">
            <v>54</v>
          </cell>
          <cell r="E1265" t="str">
            <v>APPROVED</v>
          </cell>
          <cell r="F1265">
            <v>42490</v>
          </cell>
          <cell r="G1265">
            <v>43281</v>
          </cell>
          <cell r="H1265">
            <v>301718.48</v>
          </cell>
          <cell r="I1265" t="str">
            <v>FIN Submission</v>
          </cell>
          <cell r="J1265">
            <v>43374</v>
          </cell>
        </row>
        <row r="1266">
          <cell r="A1266" t="str">
            <v>46358-SH09</v>
          </cell>
          <cell r="B1266" t="str">
            <v>TRE5 Burner Refurbishments</v>
          </cell>
          <cell r="C1266" t="str">
            <v>FIN Approval - Internal</v>
          </cell>
          <cell r="D1266">
            <v>55</v>
          </cell>
          <cell r="E1266" t="str">
            <v>APPROVED</v>
          </cell>
          <cell r="F1266">
            <v>42719</v>
          </cell>
          <cell r="G1266">
            <v>43023</v>
          </cell>
          <cell r="H1266">
            <v>185302.19</v>
          </cell>
          <cell r="I1266" t="str">
            <v>FIN Submission</v>
          </cell>
          <cell r="J1266">
            <v>43374</v>
          </cell>
        </row>
        <row r="1267">
          <cell r="A1267" t="str">
            <v>47500-SG01</v>
          </cell>
          <cell r="B1267" t="str">
            <v>TUC2 CW Pump Motor Refurb N &amp; S</v>
          </cell>
          <cell r="C1267" t="str">
            <v>FIN Approval - Internal</v>
          </cell>
          <cell r="D1267">
            <v>55</v>
          </cell>
          <cell r="E1267" t="str">
            <v>APPROVED</v>
          </cell>
          <cell r="F1267">
            <v>42457</v>
          </cell>
          <cell r="G1267">
            <v>43373</v>
          </cell>
          <cell r="H1267">
            <v>74490.070000000007</v>
          </cell>
          <cell r="I1267" t="str">
            <v>FIN Submission</v>
          </cell>
          <cell r="J1267">
            <v>43374</v>
          </cell>
        </row>
        <row r="1268">
          <cell r="A1268" t="str">
            <v>47947-SH01</v>
          </cell>
          <cell r="B1268" t="str">
            <v>TUC6 Condenser Waterbox Coating Rep</v>
          </cell>
          <cell r="C1268" t="str">
            <v>FIN Approval - Internal</v>
          </cell>
          <cell r="D1268">
            <v>56</v>
          </cell>
          <cell r="E1268" t="str">
            <v>APPROVED</v>
          </cell>
          <cell r="F1268">
            <v>42669</v>
          </cell>
          <cell r="G1268">
            <v>43373</v>
          </cell>
          <cell r="H1268">
            <v>368637.42</v>
          </cell>
          <cell r="I1268" t="str">
            <v>FIN Submission</v>
          </cell>
          <cell r="J1268">
            <v>43374</v>
          </cell>
        </row>
        <row r="1269">
          <cell r="A1269" t="str">
            <v>46352-SF28</v>
          </cell>
          <cell r="B1269" t="str">
            <v>TRE5 Air Heater Refurbishments</v>
          </cell>
          <cell r="C1269" t="str">
            <v>FIN Approval - Internal</v>
          </cell>
          <cell r="D1269">
            <v>57</v>
          </cell>
          <cell r="E1269" t="str">
            <v>APPROVED</v>
          </cell>
          <cell r="F1269">
            <v>42719</v>
          </cell>
          <cell r="G1269">
            <v>43023</v>
          </cell>
          <cell r="H1269">
            <v>1079177.44</v>
          </cell>
          <cell r="I1269" t="str">
            <v>FIN Submission</v>
          </cell>
          <cell r="J1269">
            <v>43374</v>
          </cell>
        </row>
        <row r="1270">
          <cell r="A1270" t="str">
            <v>47159-D640</v>
          </cell>
          <cell r="B1270" t="str">
            <v>77V-302G North Range Cross Rd Rebld</v>
          </cell>
          <cell r="C1270" t="str">
            <v>FIN Approval - Internal</v>
          </cell>
          <cell r="D1270">
            <v>60</v>
          </cell>
          <cell r="E1270" t="str">
            <v>APPROVED</v>
          </cell>
          <cell r="F1270">
            <v>42246</v>
          </cell>
          <cell r="G1270">
            <v>43281</v>
          </cell>
          <cell r="H1270">
            <v>42592.38</v>
          </cell>
          <cell r="I1270" t="str">
            <v>FIN Submission</v>
          </cell>
          <cell r="J1270">
            <v>43374</v>
          </cell>
        </row>
        <row r="1271">
          <cell r="A1271" t="str">
            <v>46581-D622</v>
          </cell>
          <cell r="B1271" t="str">
            <v>500N-301 Caribou Island Overload</v>
          </cell>
          <cell r="C1271" t="str">
            <v>FIN Approval - Internal</v>
          </cell>
          <cell r="D1271">
            <v>62</v>
          </cell>
          <cell r="E1271" t="str">
            <v>APPROVED</v>
          </cell>
          <cell r="F1271">
            <v>42338</v>
          </cell>
          <cell r="G1271">
            <v>42979</v>
          </cell>
          <cell r="H1271">
            <v>119004.36</v>
          </cell>
          <cell r="I1271" t="str">
            <v>FIN Submission</v>
          </cell>
          <cell r="J1271">
            <v>43374</v>
          </cell>
        </row>
        <row r="1272">
          <cell r="A1272" t="str">
            <v>46298-H726</v>
          </cell>
          <cell r="B1272" t="str">
            <v>HYD - 5 Mile Lake Dam Refurb</v>
          </cell>
          <cell r="C1272" t="str">
            <v>FIN Approval - Internal</v>
          </cell>
          <cell r="D1272">
            <v>74</v>
          </cell>
          <cell r="E1272" t="str">
            <v>APPROVED</v>
          </cell>
          <cell r="F1272">
            <v>42689</v>
          </cell>
          <cell r="G1272">
            <v>43465</v>
          </cell>
          <cell r="H1272">
            <v>2422524.5</v>
          </cell>
          <cell r="I1272" t="str">
            <v>FIN Submission</v>
          </cell>
          <cell r="J1272">
            <v>43374</v>
          </cell>
        </row>
        <row r="1273">
          <cell r="A1273" t="str">
            <v>45306-T822</v>
          </cell>
          <cell r="B1273" t="str">
            <v>Prime Brook Substation Addition</v>
          </cell>
          <cell r="C1273" t="str">
            <v>FIN Approval - Internal</v>
          </cell>
          <cell r="D1273">
            <v>87</v>
          </cell>
          <cell r="E1273" t="str">
            <v>APPROVED</v>
          </cell>
          <cell r="F1273">
            <v>43091</v>
          </cell>
          <cell r="G1273">
            <v>43343</v>
          </cell>
          <cell r="H1273">
            <v>3691083.22</v>
          </cell>
          <cell r="I1273" t="str">
            <v>FIN Submission</v>
          </cell>
          <cell r="J1273">
            <v>43374</v>
          </cell>
        </row>
        <row r="1274">
          <cell r="A1274" t="str">
            <v>44729-SC31</v>
          </cell>
          <cell r="B1274" t="str">
            <v>TUC-Station Unit Transformer Cable</v>
          </cell>
          <cell r="C1274" t="str">
            <v>FIN Approval - Internal</v>
          </cell>
          <cell r="D1274">
            <v>91</v>
          </cell>
          <cell r="E1274" t="str">
            <v>APPROVED</v>
          </cell>
          <cell r="F1274">
            <v>42475</v>
          </cell>
          <cell r="G1274">
            <v>43373</v>
          </cell>
          <cell r="H1274">
            <v>555084.86</v>
          </cell>
          <cell r="I1274" t="str">
            <v>FIN Submission</v>
          </cell>
          <cell r="J1274">
            <v>43374</v>
          </cell>
        </row>
        <row r="1275">
          <cell r="A1275" t="str">
            <v>43234-D671</v>
          </cell>
          <cell r="B1275" t="str">
            <v>104S-313 Baddeck Re-build</v>
          </cell>
          <cell r="C1275" t="str">
            <v>FIN Approval - Internal</v>
          </cell>
          <cell r="D1275">
            <v>94</v>
          </cell>
          <cell r="E1275" t="str">
            <v>APPROVED</v>
          </cell>
          <cell r="F1275">
            <v>42277</v>
          </cell>
          <cell r="G1275">
            <v>42979</v>
          </cell>
          <cell r="H1275">
            <v>957094.59</v>
          </cell>
          <cell r="I1275" t="str">
            <v>FIN Submission</v>
          </cell>
          <cell r="J1275">
            <v>43374</v>
          </cell>
        </row>
        <row r="1276">
          <cell r="A1276" t="str">
            <v>43217-D573</v>
          </cell>
          <cell r="B1276" t="str">
            <v>24C-442G Hwy 16 Rebuild Ph 1</v>
          </cell>
          <cell r="C1276" t="str">
            <v>FIN Approval - Internal</v>
          </cell>
          <cell r="D1276">
            <v>95</v>
          </cell>
          <cell r="E1276" t="str">
            <v>APPROVED</v>
          </cell>
          <cell r="F1276">
            <v>42035</v>
          </cell>
          <cell r="G1276">
            <v>43099</v>
          </cell>
          <cell r="H1276">
            <v>830185.74</v>
          </cell>
          <cell r="I1276" t="str">
            <v>FIN Submission</v>
          </cell>
          <cell r="J1276">
            <v>43374</v>
          </cell>
        </row>
        <row r="1277">
          <cell r="A1277" t="str">
            <v>43548-D525</v>
          </cell>
          <cell r="B1277" t="str">
            <v>533S Mason Street Conversion</v>
          </cell>
          <cell r="C1277" t="str">
            <v>FIN Approval - Internal</v>
          </cell>
          <cell r="D1277">
            <v>98</v>
          </cell>
          <cell r="E1277" t="str">
            <v>APPROVED</v>
          </cell>
          <cell r="F1277">
            <v>42277</v>
          </cell>
          <cell r="G1277">
            <v>43008</v>
          </cell>
          <cell r="H1277">
            <v>790275.13</v>
          </cell>
          <cell r="I1277" t="str">
            <v>FIN Submission</v>
          </cell>
          <cell r="J1277">
            <v>43374</v>
          </cell>
        </row>
        <row r="1278">
          <cell r="A1278" t="str">
            <v>42944-SF65</v>
          </cell>
          <cell r="B1278" t="str">
            <v>TUC3- Replace Boiler Drum North PSV</v>
          </cell>
          <cell r="C1278" t="str">
            <v>FIN Approval - Internal</v>
          </cell>
          <cell r="D1278">
            <v>99</v>
          </cell>
          <cell r="E1278" t="str">
            <v>APPROVED</v>
          </cell>
          <cell r="F1278">
            <v>42704</v>
          </cell>
          <cell r="G1278">
            <v>43373</v>
          </cell>
          <cell r="H1278">
            <v>92473.3</v>
          </cell>
          <cell r="I1278" t="str">
            <v>FIN Submission</v>
          </cell>
          <cell r="J1278">
            <v>43374</v>
          </cell>
        </row>
        <row r="1279">
          <cell r="A1279" t="str">
            <v>42971-SE86</v>
          </cell>
          <cell r="B1279" t="str">
            <v>TUC2 - DCS Upgrade</v>
          </cell>
          <cell r="C1279" t="str">
            <v>FIN Approval - Internal</v>
          </cell>
          <cell r="D1279">
            <v>100</v>
          </cell>
          <cell r="E1279" t="str">
            <v>APPROVED</v>
          </cell>
          <cell r="F1279">
            <v>42734</v>
          </cell>
          <cell r="G1279">
            <v>43373</v>
          </cell>
          <cell r="H1279">
            <v>68321.58</v>
          </cell>
          <cell r="I1279" t="str">
            <v>FIN Submission</v>
          </cell>
          <cell r="J1279">
            <v>43374</v>
          </cell>
        </row>
        <row r="1280">
          <cell r="A1280" t="str">
            <v>41664-SH07</v>
          </cell>
          <cell r="B1280" t="str">
            <v>TRE5 Precip Refurbishment</v>
          </cell>
          <cell r="C1280" t="str">
            <v>FIN Approval - Internal</v>
          </cell>
          <cell r="D1280">
            <v>112</v>
          </cell>
          <cell r="E1280" t="str">
            <v>APPROVED</v>
          </cell>
          <cell r="F1280">
            <v>42719</v>
          </cell>
          <cell r="G1280">
            <v>43146</v>
          </cell>
          <cell r="H1280">
            <v>238247.59</v>
          </cell>
          <cell r="I1280" t="str">
            <v>FIN Submission</v>
          </cell>
          <cell r="J1280">
            <v>43374</v>
          </cell>
        </row>
        <row r="1281">
          <cell r="A1281" t="str">
            <v>47396-H733</v>
          </cell>
          <cell r="B1281" t="str">
            <v>HYD - Nictaux Powerhouse Dam Refurb</v>
          </cell>
          <cell r="C1281" t="str">
            <v>FIN Approval - External</v>
          </cell>
          <cell r="D1281">
            <v>57</v>
          </cell>
          <cell r="E1281" t="str">
            <v>APPROVED</v>
          </cell>
          <cell r="F1281">
            <v>42643</v>
          </cell>
          <cell r="G1281">
            <v>43465</v>
          </cell>
          <cell r="H1281">
            <v>1224610.03</v>
          </cell>
          <cell r="I1281" t="str">
            <v>FIN Submission</v>
          </cell>
          <cell r="J1281">
            <v>43342</v>
          </cell>
        </row>
        <row r="1282">
          <cell r="A1282" t="str">
            <v>46513-T827</v>
          </cell>
          <cell r="B1282" t="str">
            <v>3C Port Hastings BPS Upgrade</v>
          </cell>
          <cell r="C1282" t="str">
            <v>FIN Approval - External</v>
          </cell>
          <cell r="D1282">
            <v>62</v>
          </cell>
          <cell r="E1282" t="str">
            <v>APPROVED</v>
          </cell>
          <cell r="F1282">
            <v>42643</v>
          </cell>
          <cell r="G1282">
            <v>43281</v>
          </cell>
          <cell r="H1282">
            <v>3318316</v>
          </cell>
          <cell r="I1282" t="str">
            <v>FIN Submission</v>
          </cell>
          <cell r="J1282">
            <v>43327</v>
          </cell>
        </row>
        <row r="1283">
          <cell r="A1283" t="str">
            <v>16342-S333</v>
          </cell>
          <cell r="B1283" t="str">
            <v xml:space="preserve">POA - REHEATER 1 INLET PENETRATION </v>
          </cell>
          <cell r="C1283" t="str">
            <v>FIN Approval - Internal</v>
          </cell>
          <cell r="D1283">
            <v>6</v>
          </cell>
          <cell r="E1283" t="str">
            <v>APPROVED</v>
          </cell>
          <cell r="F1283">
            <v>36524</v>
          </cell>
          <cell r="G1283">
            <v>43039</v>
          </cell>
          <cell r="H1283">
            <v>1606044.55</v>
          </cell>
          <cell r="I1283" t="str">
            <v>FIN Submission</v>
          </cell>
          <cell r="J1283">
            <v>43308</v>
          </cell>
        </row>
        <row r="1284">
          <cell r="A1284" t="str">
            <v>27072-S927</v>
          </cell>
          <cell r="B1284" t="str">
            <v>POA 2006 REFRACTORY PROGRAM</v>
          </cell>
          <cell r="C1284" t="str">
            <v>FIN Approval - Internal</v>
          </cell>
          <cell r="D1284">
            <v>6</v>
          </cell>
          <cell r="E1284" t="str">
            <v>APPROVED</v>
          </cell>
          <cell r="F1284">
            <v>38881</v>
          </cell>
          <cell r="G1284">
            <v>42825</v>
          </cell>
          <cell r="H1284">
            <v>1077264.21</v>
          </cell>
          <cell r="I1284" t="str">
            <v>FIN Submission</v>
          </cell>
          <cell r="J1284">
            <v>43308</v>
          </cell>
        </row>
        <row r="1285">
          <cell r="A1285" t="str">
            <v>28123-S176</v>
          </cell>
          <cell r="B1285" t="str">
            <v>POA 2007 REFRACTORY PROGRAM</v>
          </cell>
          <cell r="C1285" t="str">
            <v>FIN Approval - Internal</v>
          </cell>
          <cell r="D1285">
            <v>7</v>
          </cell>
          <cell r="E1285" t="str">
            <v>APPROVED</v>
          </cell>
          <cell r="F1285">
            <v>39227</v>
          </cell>
          <cell r="G1285">
            <v>43039</v>
          </cell>
          <cell r="H1285">
            <v>597913.49</v>
          </cell>
          <cell r="I1285" t="str">
            <v>FIN Submission</v>
          </cell>
          <cell r="J1285">
            <v>43308</v>
          </cell>
        </row>
        <row r="1286">
          <cell r="A1286" t="str">
            <v>C0001478</v>
          </cell>
          <cell r="B1286" t="str">
            <v>TRE6 Mill Feeder Outlet Valve U&amp;U</v>
          </cell>
          <cell r="C1286" t="str">
            <v>FIN Approval - Internal</v>
          </cell>
          <cell r="D1286">
            <v>16</v>
          </cell>
          <cell r="E1286" t="str">
            <v>APPROVED</v>
          </cell>
          <cell r="F1286">
            <v>43054</v>
          </cell>
          <cell r="G1286">
            <v>43205</v>
          </cell>
          <cell r="H1286">
            <v>192358.66</v>
          </cell>
          <cell r="I1286" t="str">
            <v>FIN Submission</v>
          </cell>
          <cell r="J1286">
            <v>43308</v>
          </cell>
        </row>
        <row r="1287">
          <cell r="A1287" t="str">
            <v>51871-SJ32</v>
          </cell>
          <cell r="B1287" t="str">
            <v>TRE6 UU Mill Controls and Air Flow</v>
          </cell>
          <cell r="C1287" t="str">
            <v>FIN Approval - Internal</v>
          </cell>
          <cell r="D1287">
            <v>18</v>
          </cell>
          <cell r="E1287" t="str">
            <v>APPROVED</v>
          </cell>
          <cell r="F1287">
            <v>43054</v>
          </cell>
          <cell r="G1287">
            <v>43205</v>
          </cell>
          <cell r="H1287">
            <v>248501.72</v>
          </cell>
          <cell r="I1287" t="str">
            <v>FIN Submission</v>
          </cell>
          <cell r="J1287">
            <v>43308</v>
          </cell>
        </row>
        <row r="1288">
          <cell r="A1288" t="str">
            <v>51395-H829</v>
          </cell>
          <cell r="B1288" t="str">
            <v>HYD CF11 Bearing Refurbishment</v>
          </cell>
          <cell r="C1288" t="str">
            <v>FIN Approval - Internal</v>
          </cell>
          <cell r="D1288">
            <v>19</v>
          </cell>
          <cell r="E1288" t="str">
            <v>APPROVED</v>
          </cell>
          <cell r="F1288">
            <v>42855</v>
          </cell>
          <cell r="G1288">
            <v>43188</v>
          </cell>
          <cell r="H1288">
            <v>31235.87</v>
          </cell>
          <cell r="I1288" t="str">
            <v>FIN Submission</v>
          </cell>
          <cell r="J1288">
            <v>43308</v>
          </cell>
        </row>
        <row r="1289">
          <cell r="A1289" t="str">
            <v>51131-H819</v>
          </cell>
          <cell r="B1289" t="str">
            <v>HYD Methals Road Improvements</v>
          </cell>
          <cell r="C1289" t="str">
            <v>FIN Approval - Internal</v>
          </cell>
          <cell r="D1289">
            <v>20</v>
          </cell>
          <cell r="E1289" t="str">
            <v>APPROVED</v>
          </cell>
          <cell r="F1289">
            <v>42825</v>
          </cell>
          <cell r="G1289">
            <v>43188</v>
          </cell>
          <cell r="H1289">
            <v>17344.91</v>
          </cell>
          <cell r="I1289" t="str">
            <v>FIN Submission</v>
          </cell>
          <cell r="J1289">
            <v>43308</v>
          </cell>
        </row>
        <row r="1290">
          <cell r="A1290" t="str">
            <v>51031-H818</v>
          </cell>
          <cell r="B1290" t="str">
            <v>HYD Rut 1 Gov Shut Assbly Replace</v>
          </cell>
          <cell r="C1290" t="str">
            <v>FIN Approval - Internal</v>
          </cell>
          <cell r="D1290">
            <v>20</v>
          </cell>
          <cell r="E1290" t="str">
            <v>APPROVED</v>
          </cell>
          <cell r="F1290">
            <v>42916</v>
          </cell>
          <cell r="G1290">
            <v>43188</v>
          </cell>
          <cell r="H1290">
            <v>10195.86</v>
          </cell>
          <cell r="I1290" t="str">
            <v>FIN Submission</v>
          </cell>
          <cell r="J1290">
            <v>43308</v>
          </cell>
        </row>
        <row r="1291">
          <cell r="A1291" t="str">
            <v>50879-SI20</v>
          </cell>
          <cell r="B1291" t="str">
            <v>TRE5 UU Bottom Ash Refurbishment</v>
          </cell>
          <cell r="C1291" t="str">
            <v>FIN Approval - Internal</v>
          </cell>
          <cell r="D1291">
            <v>21</v>
          </cell>
          <cell r="E1291" t="str">
            <v>APPROVED</v>
          </cell>
          <cell r="F1291">
            <v>42870</v>
          </cell>
          <cell r="G1291">
            <v>43054</v>
          </cell>
          <cell r="H1291">
            <v>249982.33</v>
          </cell>
          <cell r="I1291" t="str">
            <v>FIN Submission</v>
          </cell>
          <cell r="J1291">
            <v>43308</v>
          </cell>
        </row>
        <row r="1292">
          <cell r="A1292" t="str">
            <v>50799-H804</v>
          </cell>
          <cell r="B1292" t="str">
            <v>HYD Rut 1 Scroll Case Recoat</v>
          </cell>
          <cell r="C1292" t="str">
            <v>FIN Approval - Internal</v>
          </cell>
          <cell r="D1292">
            <v>22</v>
          </cell>
          <cell r="E1292" t="str">
            <v>APPROVED</v>
          </cell>
          <cell r="F1292">
            <v>42870</v>
          </cell>
          <cell r="G1292">
            <v>43069</v>
          </cell>
          <cell r="H1292">
            <v>89805.78</v>
          </cell>
          <cell r="I1292" t="str">
            <v>FIN Submission</v>
          </cell>
          <cell r="J1292">
            <v>43308</v>
          </cell>
        </row>
        <row r="1293">
          <cell r="A1293" t="str">
            <v>48592-SF53</v>
          </cell>
          <cell r="B1293" t="str">
            <v>POA UU Dozer Engine Replacement</v>
          </cell>
          <cell r="C1293" t="str">
            <v>FIN Approval - Internal</v>
          </cell>
          <cell r="D1293">
            <v>27</v>
          </cell>
          <cell r="E1293" t="str">
            <v>APPROVED</v>
          </cell>
          <cell r="F1293">
            <v>42369</v>
          </cell>
          <cell r="G1293">
            <v>43073</v>
          </cell>
          <cell r="H1293">
            <v>6660.29</v>
          </cell>
          <cell r="I1293" t="str">
            <v>FIN Submission</v>
          </cell>
          <cell r="J1293">
            <v>43308</v>
          </cell>
        </row>
        <row r="1294">
          <cell r="A1294" t="str">
            <v>48252-SE85</v>
          </cell>
          <cell r="B1294" t="str">
            <v>POA UU Vortex Finder Replacement</v>
          </cell>
          <cell r="C1294" t="str">
            <v>FIN Approval - Internal</v>
          </cell>
          <cell r="D1294">
            <v>30</v>
          </cell>
          <cell r="E1294" t="str">
            <v>APPROVED</v>
          </cell>
          <cell r="F1294">
            <v>42319</v>
          </cell>
          <cell r="G1294">
            <v>43100</v>
          </cell>
          <cell r="H1294">
            <v>164419.28</v>
          </cell>
          <cell r="I1294" t="str">
            <v>FIN Submission</v>
          </cell>
          <cell r="J1294">
            <v>43308</v>
          </cell>
        </row>
        <row r="1295">
          <cell r="A1295" t="str">
            <v>43247-SB48</v>
          </cell>
          <cell r="B1295" t="str">
            <v>POA - Adiabatic Bomb Calorimeter</v>
          </cell>
          <cell r="C1295" t="str">
            <v>FIN Approval - Internal</v>
          </cell>
          <cell r="D1295">
            <v>31</v>
          </cell>
          <cell r="E1295" t="str">
            <v>APPROVED</v>
          </cell>
          <cell r="F1295">
            <v>41487</v>
          </cell>
          <cell r="G1295">
            <v>43100</v>
          </cell>
          <cell r="H1295">
            <v>29640.21</v>
          </cell>
          <cell r="I1295" t="str">
            <v>FIN Submission</v>
          </cell>
          <cell r="J1295">
            <v>43308</v>
          </cell>
        </row>
        <row r="1296">
          <cell r="A1296" t="str">
            <v>48017-SF08</v>
          </cell>
          <cell r="B1296" t="str">
            <v>POA UU Turbine Turning Gear Rebuild</v>
          </cell>
          <cell r="C1296" t="str">
            <v>FIN Approval - Internal</v>
          </cell>
          <cell r="D1296">
            <v>32</v>
          </cell>
          <cell r="E1296" t="str">
            <v>APPROVED</v>
          </cell>
          <cell r="F1296">
            <v>42307</v>
          </cell>
          <cell r="G1296">
            <v>42917</v>
          </cell>
          <cell r="H1296">
            <v>112264.99</v>
          </cell>
          <cell r="I1296" t="str">
            <v>FIN Submission</v>
          </cell>
          <cell r="J1296">
            <v>43308</v>
          </cell>
        </row>
        <row r="1297">
          <cell r="A1297" t="str">
            <v>47932-SG89</v>
          </cell>
          <cell r="B1297" t="str">
            <v>POA SH3 Boiler Tube Repl Phase 2</v>
          </cell>
          <cell r="C1297" t="str">
            <v>FIN Approval - Internal</v>
          </cell>
          <cell r="D1297">
            <v>33</v>
          </cell>
          <cell r="E1297" t="str">
            <v>APPROVED</v>
          </cell>
          <cell r="F1297">
            <v>42661</v>
          </cell>
          <cell r="G1297">
            <v>43087</v>
          </cell>
          <cell r="H1297">
            <v>616056.57999999996</v>
          </cell>
          <cell r="I1297" t="str">
            <v>FIN Submission</v>
          </cell>
          <cell r="J1297">
            <v>43308</v>
          </cell>
        </row>
        <row r="1298">
          <cell r="A1298" t="str">
            <v>47861-SG45</v>
          </cell>
          <cell r="B1298" t="str">
            <v xml:space="preserve">POA Start Up Burner Upgrades </v>
          </cell>
          <cell r="C1298" t="str">
            <v>FIN Approval - Internal</v>
          </cell>
          <cell r="D1298">
            <v>33</v>
          </cell>
          <cell r="E1298" t="str">
            <v>APPROVED</v>
          </cell>
          <cell r="F1298">
            <v>42674</v>
          </cell>
          <cell r="G1298">
            <v>43100</v>
          </cell>
          <cell r="H1298">
            <v>172728.91</v>
          </cell>
          <cell r="I1298" t="str">
            <v>FIN Submission</v>
          </cell>
          <cell r="J1298">
            <v>43308</v>
          </cell>
        </row>
        <row r="1299">
          <cell r="A1299" t="str">
            <v>49631-H777</v>
          </cell>
          <cell r="B1299" t="str">
            <v>HYD - WRC D61 Instrument Upgrade</v>
          </cell>
          <cell r="C1299" t="str">
            <v>FIN Approval - Internal</v>
          </cell>
          <cell r="D1299">
            <v>35</v>
          </cell>
          <cell r="E1299" t="str">
            <v>APPROVED</v>
          </cell>
          <cell r="F1299">
            <v>42704</v>
          </cell>
          <cell r="G1299">
            <v>43281</v>
          </cell>
          <cell r="H1299">
            <v>173544.97</v>
          </cell>
          <cell r="I1299" t="str">
            <v>FIN Submission</v>
          </cell>
          <cell r="J1299">
            <v>43308</v>
          </cell>
        </row>
        <row r="1300">
          <cell r="A1300" t="str">
            <v>49500-SI97</v>
          </cell>
          <cell r="B1300" t="str">
            <v>PHB - Fuel System Refurbishmnt 2017</v>
          </cell>
          <cell r="C1300" t="str">
            <v>FIN Approval - Internal</v>
          </cell>
          <cell r="D1300">
            <v>36</v>
          </cell>
          <cell r="E1300" t="str">
            <v>APPROVED</v>
          </cell>
          <cell r="F1300">
            <v>42979</v>
          </cell>
          <cell r="G1300">
            <v>43374</v>
          </cell>
          <cell r="H1300">
            <v>198004.68</v>
          </cell>
          <cell r="I1300" t="str">
            <v>FIN Submission</v>
          </cell>
          <cell r="J1300">
            <v>43308</v>
          </cell>
        </row>
        <row r="1301">
          <cell r="A1301" t="str">
            <v>49557-SI00</v>
          </cell>
          <cell r="B1301" t="str">
            <v>TRE6 Coal Feeder Gauge Replacements</v>
          </cell>
          <cell r="C1301" t="str">
            <v>FIN Approval - Internal</v>
          </cell>
          <cell r="D1301">
            <v>36</v>
          </cell>
          <cell r="E1301" t="str">
            <v>APPROVED</v>
          </cell>
          <cell r="F1301">
            <v>43023</v>
          </cell>
          <cell r="G1301">
            <v>43205</v>
          </cell>
          <cell r="H1301">
            <v>95560.84</v>
          </cell>
          <cell r="I1301" t="str">
            <v>FIN Submission</v>
          </cell>
          <cell r="J1301">
            <v>43308</v>
          </cell>
        </row>
        <row r="1302">
          <cell r="A1302" t="str">
            <v>46732-SD49</v>
          </cell>
          <cell r="B1302" t="str">
            <v>POA UU SH3 Tube Replacement</v>
          </cell>
          <cell r="C1302" t="str">
            <v>FIN Approval - Internal</v>
          </cell>
          <cell r="D1302">
            <v>39</v>
          </cell>
          <cell r="E1302" t="str">
            <v>APPROVED</v>
          </cell>
          <cell r="F1302">
            <v>41959</v>
          </cell>
          <cell r="G1302">
            <v>42841</v>
          </cell>
          <cell r="H1302">
            <v>508182.4</v>
          </cell>
          <cell r="I1302" t="str">
            <v>FIN Submission</v>
          </cell>
          <cell r="J1302">
            <v>43308</v>
          </cell>
        </row>
        <row r="1303">
          <cell r="A1303" t="str">
            <v>48859-SG07</v>
          </cell>
          <cell r="B1303" t="str">
            <v>AMO UU POT Switchgr IR Wind &amp; Refur</v>
          </cell>
          <cell r="C1303" t="str">
            <v>FIN Approval - Internal</v>
          </cell>
          <cell r="D1303">
            <v>40</v>
          </cell>
          <cell r="E1303" t="str">
            <v>APPROVED</v>
          </cell>
          <cell r="F1303">
            <v>42491</v>
          </cell>
          <cell r="G1303">
            <v>43023</v>
          </cell>
          <cell r="H1303">
            <v>47812.78</v>
          </cell>
          <cell r="I1303" t="str">
            <v>FIN Submission</v>
          </cell>
          <cell r="J1303">
            <v>43308</v>
          </cell>
        </row>
        <row r="1304">
          <cell r="A1304" t="str">
            <v>49499-SI76</v>
          </cell>
          <cell r="B1304" t="str">
            <v>PHB - Boiler Refurbishment 2017</v>
          </cell>
          <cell r="C1304" t="str">
            <v>FIN Approval - Internal</v>
          </cell>
          <cell r="D1304">
            <v>40</v>
          </cell>
          <cell r="E1304" t="str">
            <v>APPROVED</v>
          </cell>
          <cell r="F1304">
            <v>42978</v>
          </cell>
          <cell r="G1304">
            <v>43132</v>
          </cell>
          <cell r="H1304">
            <v>401914.87</v>
          </cell>
          <cell r="I1304" t="str">
            <v>FIN Submission</v>
          </cell>
          <cell r="J1304">
            <v>43308</v>
          </cell>
        </row>
        <row r="1305">
          <cell r="A1305" t="str">
            <v>41947-P873</v>
          </cell>
          <cell r="B1305" t="str">
            <v>PTMT -  Remediation Work on Coal Pi</v>
          </cell>
          <cell r="C1305" t="str">
            <v>FIN Approval - Internal</v>
          </cell>
          <cell r="D1305">
            <v>40</v>
          </cell>
          <cell r="E1305" t="str">
            <v>APPROVED</v>
          </cell>
          <cell r="F1305">
            <v>40908</v>
          </cell>
          <cell r="G1305">
            <v>41063</v>
          </cell>
          <cell r="H1305">
            <v>98698.09</v>
          </cell>
          <cell r="I1305" t="str">
            <v>FIN Submission</v>
          </cell>
          <cell r="J1305">
            <v>43308</v>
          </cell>
        </row>
        <row r="1306">
          <cell r="A1306" t="str">
            <v>48477-P988</v>
          </cell>
          <cell r="B1306" t="str">
            <v>AMO LIN UU CIP Ver5 NERC Upgrade</v>
          </cell>
          <cell r="C1306" t="str">
            <v>FIN Approval - Internal</v>
          </cell>
          <cell r="D1306">
            <v>42</v>
          </cell>
          <cell r="E1306" t="str">
            <v>APPROVED</v>
          </cell>
          <cell r="F1306">
            <v>42597</v>
          </cell>
          <cell r="G1306">
            <v>42901</v>
          </cell>
          <cell r="H1306">
            <v>59299.67</v>
          </cell>
          <cell r="I1306" t="str">
            <v>FIN Submission</v>
          </cell>
          <cell r="J1306">
            <v>43308</v>
          </cell>
        </row>
        <row r="1307">
          <cell r="A1307" t="str">
            <v>48433-H750</v>
          </cell>
          <cell r="B1307" t="str">
            <v>HYD - ULF Crane Rail Safety Upgrade</v>
          </cell>
          <cell r="C1307" t="str">
            <v>FIN Approval - Internal</v>
          </cell>
          <cell r="D1307">
            <v>42</v>
          </cell>
          <cell r="E1307" t="str">
            <v>APPROVED</v>
          </cell>
          <cell r="F1307">
            <v>42674</v>
          </cell>
          <cell r="G1307">
            <v>43069</v>
          </cell>
          <cell r="H1307">
            <v>189596.33</v>
          </cell>
          <cell r="I1307" t="str">
            <v>FIN Submission</v>
          </cell>
          <cell r="J1307">
            <v>43308</v>
          </cell>
        </row>
        <row r="1308">
          <cell r="A1308" t="str">
            <v>48478-P989</v>
          </cell>
          <cell r="B1308" t="str">
            <v>AMO TUC UU CIP Ver5 NERC Upgrade</v>
          </cell>
          <cell r="C1308" t="str">
            <v>FIN Approval - Internal</v>
          </cell>
          <cell r="D1308">
            <v>43</v>
          </cell>
          <cell r="E1308" t="str">
            <v>APPROVED</v>
          </cell>
          <cell r="F1308">
            <v>42597</v>
          </cell>
          <cell r="G1308">
            <v>43189</v>
          </cell>
          <cell r="H1308">
            <v>38696.31</v>
          </cell>
          <cell r="I1308" t="str">
            <v>FIN Submission</v>
          </cell>
          <cell r="J1308">
            <v>43308</v>
          </cell>
        </row>
        <row r="1309">
          <cell r="A1309" t="str">
            <v>48292-H748</v>
          </cell>
          <cell r="B1309" t="str">
            <v>HYD - Dickie Brook Bearing Repair</v>
          </cell>
          <cell r="C1309" t="str">
            <v>FIN Approval - Internal</v>
          </cell>
          <cell r="D1309">
            <v>43</v>
          </cell>
          <cell r="E1309" t="str">
            <v>APPROVED</v>
          </cell>
          <cell r="F1309">
            <v>42460</v>
          </cell>
          <cell r="G1309">
            <v>42947</v>
          </cell>
          <cell r="H1309">
            <v>77547.34</v>
          </cell>
          <cell r="I1309" t="str">
            <v>FIN Submission</v>
          </cell>
          <cell r="J1309">
            <v>43308</v>
          </cell>
        </row>
        <row r="1310">
          <cell r="A1310" t="str">
            <v>48272-H747</v>
          </cell>
          <cell r="B1310" t="str">
            <v>HYD Paradise Road Repairs</v>
          </cell>
          <cell r="C1310" t="str">
            <v>FIN Approval - Internal</v>
          </cell>
          <cell r="D1310">
            <v>43</v>
          </cell>
          <cell r="E1310" t="str">
            <v>APPROVED</v>
          </cell>
          <cell r="F1310">
            <v>42369</v>
          </cell>
          <cell r="G1310">
            <v>42490</v>
          </cell>
          <cell r="H1310">
            <v>107855.9</v>
          </cell>
          <cell r="I1310" t="str">
            <v>FIN Submission</v>
          </cell>
          <cell r="J1310">
            <v>43308</v>
          </cell>
        </row>
        <row r="1311">
          <cell r="A1311" t="str">
            <v>48058-SE83</v>
          </cell>
          <cell r="B1311" t="str">
            <v>SMT UU Railcar Access Ramp</v>
          </cell>
          <cell r="C1311" t="str">
            <v>FIN Approval - Internal</v>
          </cell>
          <cell r="D1311">
            <v>46</v>
          </cell>
          <cell r="E1311" t="str">
            <v>APPROVED</v>
          </cell>
          <cell r="F1311">
            <v>42346</v>
          </cell>
          <cell r="G1311">
            <v>42735</v>
          </cell>
          <cell r="H1311">
            <v>485036.41</v>
          </cell>
          <cell r="I1311" t="str">
            <v>FIN Submission</v>
          </cell>
          <cell r="J1311">
            <v>43308</v>
          </cell>
        </row>
        <row r="1312">
          <cell r="A1312" t="str">
            <v>47662-SF56</v>
          </cell>
          <cell r="B1312" t="str">
            <v>POT - Coal mill overhauls 2016</v>
          </cell>
          <cell r="C1312" t="str">
            <v>FIN Approval - Internal</v>
          </cell>
          <cell r="D1312">
            <v>47</v>
          </cell>
          <cell r="E1312" t="str">
            <v>APPROVED</v>
          </cell>
          <cell r="F1312">
            <v>42597</v>
          </cell>
          <cell r="G1312">
            <v>42977</v>
          </cell>
          <cell r="H1312">
            <v>225215.96</v>
          </cell>
          <cell r="I1312" t="str">
            <v>FIN Submission</v>
          </cell>
          <cell r="J1312">
            <v>43308</v>
          </cell>
        </row>
        <row r="1313">
          <cell r="A1313" t="str">
            <v>47707-SF93</v>
          </cell>
          <cell r="B1313" t="str">
            <v xml:space="preserve">POT - Replace D belt and refurbish </v>
          </cell>
          <cell r="C1313" t="str">
            <v>FIN Approval - Internal</v>
          </cell>
          <cell r="D1313">
            <v>47</v>
          </cell>
          <cell r="E1313" t="str">
            <v>APPROVED</v>
          </cell>
          <cell r="F1313">
            <v>42468</v>
          </cell>
          <cell r="G1313">
            <v>43100</v>
          </cell>
          <cell r="H1313">
            <v>55843.74</v>
          </cell>
          <cell r="I1313" t="str">
            <v>FIN Submission</v>
          </cell>
          <cell r="J1313">
            <v>43308</v>
          </cell>
        </row>
        <row r="1314">
          <cell r="A1314" t="str">
            <v>47668-SF63</v>
          </cell>
          <cell r="B1314" t="str">
            <v>POT - Plant siding 2016</v>
          </cell>
          <cell r="C1314" t="str">
            <v>FIN Approval - Internal</v>
          </cell>
          <cell r="D1314">
            <v>48</v>
          </cell>
          <cell r="E1314" t="str">
            <v>APPROVED</v>
          </cell>
          <cell r="F1314">
            <v>42765</v>
          </cell>
          <cell r="G1314">
            <v>43098</v>
          </cell>
          <cell r="H1314">
            <v>324888.07</v>
          </cell>
          <cell r="I1314" t="str">
            <v>FIN Submission</v>
          </cell>
          <cell r="J1314">
            <v>43308</v>
          </cell>
        </row>
        <row r="1315">
          <cell r="A1315" t="str">
            <v>47617-SF18</v>
          </cell>
          <cell r="B1315" t="str">
            <v>TRE6 Elevator Controls Upgrade</v>
          </cell>
          <cell r="C1315" t="str">
            <v>FIN Approval - Internal</v>
          </cell>
          <cell r="D1315">
            <v>48</v>
          </cell>
          <cell r="E1315" t="str">
            <v>APPROVED</v>
          </cell>
          <cell r="F1315">
            <v>42993</v>
          </cell>
          <cell r="G1315">
            <v>43205</v>
          </cell>
          <cell r="H1315">
            <v>329471.95</v>
          </cell>
          <cell r="I1315" t="str">
            <v>FIN Submission</v>
          </cell>
          <cell r="J1315">
            <v>43308</v>
          </cell>
        </row>
        <row r="1316">
          <cell r="A1316" t="str">
            <v>47644-SG52</v>
          </cell>
          <cell r="B1316" t="str">
            <v>TRE6 PA 6A Hydrogen/Water/Water</v>
          </cell>
          <cell r="C1316" t="str">
            <v>FIN Approval - Internal</v>
          </cell>
          <cell r="D1316">
            <v>48</v>
          </cell>
          <cell r="E1316" t="str">
            <v>APPROVED</v>
          </cell>
          <cell r="F1316">
            <v>42809</v>
          </cell>
          <cell r="G1316">
            <v>43039</v>
          </cell>
          <cell r="H1316">
            <v>209132.82</v>
          </cell>
          <cell r="I1316" t="str">
            <v>FIN Submission</v>
          </cell>
          <cell r="J1316">
            <v>43308</v>
          </cell>
        </row>
        <row r="1317">
          <cell r="A1317" t="str">
            <v>45811-H700</v>
          </cell>
          <cell r="B1317" t="str">
            <v>HYD - Big Falls Dam Repair</v>
          </cell>
          <cell r="C1317" t="str">
            <v>FIN Approval - Internal</v>
          </cell>
          <cell r="D1317">
            <v>49</v>
          </cell>
          <cell r="E1317" t="str">
            <v>APPROVED</v>
          </cell>
          <cell r="F1317">
            <v>42035</v>
          </cell>
          <cell r="G1317">
            <v>42122</v>
          </cell>
          <cell r="H1317">
            <v>210018.26</v>
          </cell>
          <cell r="I1317" t="str">
            <v>FIN Submission</v>
          </cell>
          <cell r="J1317">
            <v>43308</v>
          </cell>
        </row>
        <row r="1318">
          <cell r="A1318" t="str">
            <v>47592-SH21</v>
          </cell>
          <cell r="B1318" t="str">
            <v>TRE6 UUCW Pump Isolation Valve Repl</v>
          </cell>
          <cell r="C1318" t="str">
            <v>FIN Approval - Internal</v>
          </cell>
          <cell r="D1318">
            <v>49</v>
          </cell>
          <cell r="E1318" t="str">
            <v>APPROVED</v>
          </cell>
          <cell r="F1318">
            <v>42719</v>
          </cell>
          <cell r="G1318">
            <v>43084</v>
          </cell>
          <cell r="H1318">
            <v>60850.8</v>
          </cell>
          <cell r="I1318" t="str">
            <v>FIN Submission</v>
          </cell>
          <cell r="J1318">
            <v>43308</v>
          </cell>
        </row>
        <row r="1319">
          <cell r="A1319" t="str">
            <v>47702-SG84</v>
          </cell>
          <cell r="B1319" t="str">
            <v>POT - Wastewater Treatment Plant ch</v>
          </cell>
          <cell r="C1319" t="str">
            <v>FIN Approval - Internal</v>
          </cell>
          <cell r="D1319">
            <v>50</v>
          </cell>
          <cell r="E1319" t="str">
            <v>APPROVED</v>
          </cell>
          <cell r="F1319">
            <v>42734</v>
          </cell>
          <cell r="G1319">
            <v>43099</v>
          </cell>
          <cell r="H1319">
            <v>104560.52</v>
          </cell>
          <cell r="I1319" t="str">
            <v>FIN Submission</v>
          </cell>
          <cell r="J1319">
            <v>43308</v>
          </cell>
        </row>
        <row r="1320">
          <cell r="A1320" t="str">
            <v>47552-SG71</v>
          </cell>
          <cell r="B1320" t="str">
            <v>TRE5 Boiler Refurbishments 2016</v>
          </cell>
          <cell r="C1320" t="str">
            <v>FIN Approval - Internal</v>
          </cell>
          <cell r="D1320">
            <v>50</v>
          </cell>
          <cell r="E1320" t="str">
            <v>APPROVED</v>
          </cell>
          <cell r="F1320">
            <v>42719</v>
          </cell>
          <cell r="G1320">
            <v>43054</v>
          </cell>
          <cell r="H1320">
            <v>2337507.3199999998</v>
          </cell>
          <cell r="I1320" t="str">
            <v>FIN Submission</v>
          </cell>
          <cell r="J1320">
            <v>43308</v>
          </cell>
        </row>
        <row r="1321">
          <cell r="A1321" t="str">
            <v>47615-SG36</v>
          </cell>
          <cell r="B1321" t="str">
            <v>PHB - HVAC System Upgrades</v>
          </cell>
          <cell r="C1321" t="str">
            <v>FIN Approval - Internal</v>
          </cell>
          <cell r="D1321">
            <v>51</v>
          </cell>
          <cell r="E1321" t="str">
            <v>APPROVED</v>
          </cell>
          <cell r="F1321">
            <v>42855</v>
          </cell>
          <cell r="G1321">
            <v>43098</v>
          </cell>
          <cell r="H1321">
            <v>44174.92</v>
          </cell>
          <cell r="I1321" t="str">
            <v>FIN Submission</v>
          </cell>
          <cell r="J1321">
            <v>43308</v>
          </cell>
        </row>
        <row r="1322">
          <cell r="A1322" t="str">
            <v>47595-SG15</v>
          </cell>
          <cell r="B1322" t="str">
            <v>TRE6 PA Polisher PLC Upgrade</v>
          </cell>
          <cell r="C1322" t="str">
            <v>FIN Approval - Internal</v>
          </cell>
          <cell r="D1322">
            <v>51</v>
          </cell>
          <cell r="E1322" t="str">
            <v>APPROVED</v>
          </cell>
          <cell r="F1322">
            <v>42628</v>
          </cell>
          <cell r="G1322">
            <v>43023</v>
          </cell>
          <cell r="H1322">
            <v>141731.64000000001</v>
          </cell>
          <cell r="I1322" t="str">
            <v>FIN Submission</v>
          </cell>
          <cell r="J1322">
            <v>43308</v>
          </cell>
        </row>
        <row r="1323">
          <cell r="A1323" t="str">
            <v>47161-H727</v>
          </cell>
          <cell r="B1323" t="str">
            <v>HYD - Hells Gate 2 Runner Seal Fail</v>
          </cell>
          <cell r="C1323" t="str">
            <v>FIN Approval - Internal</v>
          </cell>
          <cell r="D1323">
            <v>53</v>
          </cell>
          <cell r="E1323" t="str">
            <v>APPROVED</v>
          </cell>
          <cell r="F1323">
            <v>42095</v>
          </cell>
          <cell r="G1323">
            <v>42338</v>
          </cell>
          <cell r="H1323">
            <v>126358.58</v>
          </cell>
          <cell r="I1323" t="str">
            <v>FIN Submission</v>
          </cell>
          <cell r="J1323">
            <v>43308</v>
          </cell>
        </row>
        <row r="1324">
          <cell r="A1324" t="str">
            <v>47397-H734</v>
          </cell>
          <cell r="B1324" t="str">
            <v>HYD - Gisborne Dam D4 Upgrade</v>
          </cell>
          <cell r="C1324" t="str">
            <v>FIN Approval - Internal</v>
          </cell>
          <cell r="D1324">
            <v>55</v>
          </cell>
          <cell r="E1324" t="str">
            <v>APPROVED</v>
          </cell>
          <cell r="F1324">
            <v>42734</v>
          </cell>
          <cell r="G1324">
            <v>43190</v>
          </cell>
          <cell r="H1324">
            <v>2021236.1</v>
          </cell>
          <cell r="I1324" t="str">
            <v>FIN Submission</v>
          </cell>
          <cell r="J1324">
            <v>43308</v>
          </cell>
        </row>
        <row r="1325">
          <cell r="A1325" t="str">
            <v>44648-SC76</v>
          </cell>
          <cell r="B1325" t="str">
            <v>POA - Expansion Joint Refurbis 2014</v>
          </cell>
          <cell r="C1325" t="str">
            <v>FIN Approval - Internal</v>
          </cell>
          <cell r="D1325">
            <v>58</v>
          </cell>
          <cell r="E1325" t="str">
            <v>APPROVED</v>
          </cell>
          <cell r="F1325">
            <v>41942</v>
          </cell>
          <cell r="G1325">
            <v>42766</v>
          </cell>
          <cell r="H1325">
            <v>90821.03</v>
          </cell>
          <cell r="I1325" t="str">
            <v>FIN Submission</v>
          </cell>
          <cell r="J1325">
            <v>43308</v>
          </cell>
        </row>
        <row r="1326">
          <cell r="A1326" t="str">
            <v>44649-SC54</v>
          </cell>
          <cell r="B1326" t="str">
            <v>POA - Misc Valve Component Replace</v>
          </cell>
          <cell r="C1326" t="str">
            <v>FIN Approval - Internal</v>
          </cell>
          <cell r="D1326">
            <v>58</v>
          </cell>
          <cell r="E1326" t="str">
            <v>APPROVED</v>
          </cell>
          <cell r="F1326">
            <v>41942</v>
          </cell>
          <cell r="G1326">
            <v>42766</v>
          </cell>
          <cell r="H1326">
            <v>55888.52</v>
          </cell>
          <cell r="I1326" t="str">
            <v>FIN Submission</v>
          </cell>
          <cell r="J1326">
            <v>43308</v>
          </cell>
        </row>
        <row r="1327">
          <cell r="A1327" t="str">
            <v>44646-SC73</v>
          </cell>
          <cell r="B1327" t="str">
            <v>POA - Refractory Replacement 2014</v>
          </cell>
          <cell r="C1327" t="str">
            <v>FIN Approval - Internal</v>
          </cell>
          <cell r="D1327">
            <v>59</v>
          </cell>
          <cell r="E1327" t="str">
            <v>APPROVED</v>
          </cell>
          <cell r="F1327">
            <v>41942</v>
          </cell>
          <cell r="G1327">
            <v>42825</v>
          </cell>
          <cell r="H1327">
            <v>835477.45</v>
          </cell>
          <cell r="I1327" t="str">
            <v>FIN Submission</v>
          </cell>
          <cell r="J1327">
            <v>43308</v>
          </cell>
        </row>
        <row r="1328">
          <cell r="A1328" t="str">
            <v>46418-SE53</v>
          </cell>
          <cell r="B1328" t="str">
            <v>POT - Fire system upgrades 2015</v>
          </cell>
          <cell r="C1328" t="str">
            <v>FIN Approval - Internal</v>
          </cell>
          <cell r="D1328">
            <v>60</v>
          </cell>
          <cell r="E1328" t="str">
            <v>APPROVED</v>
          </cell>
          <cell r="F1328">
            <v>42520</v>
          </cell>
          <cell r="G1328">
            <v>43100</v>
          </cell>
          <cell r="H1328">
            <v>215107.25</v>
          </cell>
          <cell r="I1328" t="str">
            <v>FIN Submission</v>
          </cell>
          <cell r="J1328">
            <v>43308</v>
          </cell>
        </row>
        <row r="1329">
          <cell r="A1329" t="str">
            <v>46252-H725</v>
          </cell>
          <cell r="B1329" t="str">
            <v>HYD - Dobble Set Procurement</v>
          </cell>
          <cell r="C1329" t="str">
            <v>FIN Approval - Internal</v>
          </cell>
          <cell r="D1329">
            <v>64</v>
          </cell>
          <cell r="E1329" t="str">
            <v>APPROVED</v>
          </cell>
          <cell r="F1329">
            <v>42216</v>
          </cell>
          <cell r="G1329">
            <v>42916</v>
          </cell>
          <cell r="H1329">
            <v>80748.98</v>
          </cell>
          <cell r="I1329" t="str">
            <v>FIN Submission</v>
          </cell>
          <cell r="J1329">
            <v>43308</v>
          </cell>
        </row>
        <row r="1330">
          <cell r="A1330" t="str">
            <v>44650-SC94</v>
          </cell>
          <cell r="B1330" t="str">
            <v>POA - 4KV 600V Breaker Refurb 2014</v>
          </cell>
          <cell r="C1330" t="str">
            <v>FIN Approval - Internal</v>
          </cell>
          <cell r="D1330">
            <v>64</v>
          </cell>
          <cell r="E1330" t="str">
            <v>APPROVED</v>
          </cell>
          <cell r="F1330">
            <v>41942</v>
          </cell>
          <cell r="G1330">
            <v>43100</v>
          </cell>
          <cell r="H1330">
            <v>125037.35</v>
          </cell>
          <cell r="I1330" t="str">
            <v>FIN Submission</v>
          </cell>
          <cell r="J1330">
            <v>43308</v>
          </cell>
        </row>
        <row r="1331">
          <cell r="A1331" t="str">
            <v>44686-SC82</v>
          </cell>
          <cell r="B1331" t="str">
            <v>POA - LP Gland Packing Replacement</v>
          </cell>
          <cell r="C1331" t="str">
            <v>FIN Approval - Internal</v>
          </cell>
          <cell r="D1331">
            <v>64</v>
          </cell>
          <cell r="E1331" t="str">
            <v>APPROVED</v>
          </cell>
          <cell r="F1331">
            <v>41943</v>
          </cell>
          <cell r="G1331">
            <v>42825</v>
          </cell>
          <cell r="H1331">
            <v>695989.83</v>
          </cell>
          <cell r="I1331" t="str">
            <v>FIN Submission</v>
          </cell>
          <cell r="J1331">
            <v>43308</v>
          </cell>
        </row>
        <row r="1332">
          <cell r="A1332" t="str">
            <v>46361-H719</v>
          </cell>
          <cell r="B1332" t="str">
            <v>HYD - Annapolis Dyke Pump Replaceme</v>
          </cell>
          <cell r="C1332" t="str">
            <v>FIN Approval - Internal</v>
          </cell>
          <cell r="D1332">
            <v>65</v>
          </cell>
          <cell r="E1332" t="str">
            <v>APPROVED</v>
          </cell>
          <cell r="F1332">
            <v>42338</v>
          </cell>
          <cell r="G1332">
            <v>42916</v>
          </cell>
          <cell r="H1332">
            <v>243968.25</v>
          </cell>
          <cell r="I1332" t="str">
            <v>FIN Submission</v>
          </cell>
          <cell r="J1332">
            <v>43308</v>
          </cell>
        </row>
        <row r="1333">
          <cell r="A1333" t="str">
            <v>46171-H711</v>
          </cell>
          <cell r="B1333" t="str">
            <v>HYD - Paradise Bearing Repair</v>
          </cell>
          <cell r="C1333" t="str">
            <v>FIN Approval - Internal</v>
          </cell>
          <cell r="D1333">
            <v>65</v>
          </cell>
          <cell r="E1333" t="str">
            <v>APPROVED</v>
          </cell>
          <cell r="F1333">
            <v>42004</v>
          </cell>
          <cell r="G1333">
            <v>43188</v>
          </cell>
          <cell r="H1333">
            <v>425408.85</v>
          </cell>
          <cell r="I1333" t="str">
            <v>FIN Submission</v>
          </cell>
          <cell r="J1333">
            <v>43308</v>
          </cell>
        </row>
        <row r="1334">
          <cell r="A1334" t="str">
            <v>45957-H705</v>
          </cell>
          <cell r="B1334" t="str">
            <v>HYD - LLF Sluiceway Repair</v>
          </cell>
          <cell r="C1334" t="str">
            <v>FIN Approval - Internal</v>
          </cell>
          <cell r="D1334">
            <v>67</v>
          </cell>
          <cell r="E1334" t="str">
            <v>APPROVED</v>
          </cell>
          <cell r="F1334">
            <v>42428</v>
          </cell>
          <cell r="G1334">
            <v>42460</v>
          </cell>
          <cell r="H1334">
            <v>74780.850000000006</v>
          </cell>
          <cell r="I1334" t="str">
            <v>FIN Submission</v>
          </cell>
          <cell r="J1334">
            <v>43308</v>
          </cell>
        </row>
        <row r="1335">
          <cell r="A1335" t="str">
            <v>45958-H706</v>
          </cell>
          <cell r="B1335" t="str">
            <v>HYD - Nictaux Rotor Pole Repair</v>
          </cell>
          <cell r="C1335" t="str">
            <v>FIN Approval - Internal</v>
          </cell>
          <cell r="D1335">
            <v>69</v>
          </cell>
          <cell r="E1335" t="str">
            <v>APPROVED</v>
          </cell>
          <cell r="F1335">
            <v>42035</v>
          </cell>
          <cell r="G1335">
            <v>42307</v>
          </cell>
          <cell r="H1335">
            <v>450521.73</v>
          </cell>
          <cell r="I1335" t="str">
            <v>FIN Submission</v>
          </cell>
          <cell r="J1335">
            <v>43308</v>
          </cell>
        </row>
        <row r="1336">
          <cell r="A1336" t="str">
            <v>46065-H712</v>
          </cell>
          <cell r="B1336" t="str">
            <v>HYD - Tom’s Lake Spillway Repair</v>
          </cell>
          <cell r="C1336" t="str">
            <v>FIN Approval - Internal</v>
          </cell>
          <cell r="D1336">
            <v>71</v>
          </cell>
          <cell r="E1336" t="str">
            <v>APPROVED</v>
          </cell>
          <cell r="F1336">
            <v>42154</v>
          </cell>
          <cell r="G1336">
            <v>42359</v>
          </cell>
          <cell r="H1336">
            <v>597934.15</v>
          </cell>
          <cell r="I1336" t="str">
            <v>FIN Submission</v>
          </cell>
          <cell r="J1336">
            <v>43308</v>
          </cell>
        </row>
        <row r="1337">
          <cell r="A1337" t="str">
            <v>45433-H708</v>
          </cell>
          <cell r="B1337" t="str">
            <v>HYD - Tidewater Crane Upgrade</v>
          </cell>
          <cell r="C1337" t="str">
            <v>FIN Approval - Internal</v>
          </cell>
          <cell r="D1337">
            <v>72</v>
          </cell>
          <cell r="E1337" t="str">
            <v>APPROVED</v>
          </cell>
          <cell r="F1337">
            <v>42155</v>
          </cell>
          <cell r="G1337">
            <v>42307</v>
          </cell>
          <cell r="H1337">
            <v>173279.45</v>
          </cell>
          <cell r="I1337" t="str">
            <v>FIN Submission</v>
          </cell>
          <cell r="J1337">
            <v>43308</v>
          </cell>
        </row>
        <row r="1338">
          <cell r="A1338" t="str">
            <v>45431-H707</v>
          </cell>
          <cell r="B1338" t="str">
            <v>HYD - ULF Crane Upgrade</v>
          </cell>
          <cell r="C1338" t="str">
            <v>FIN Approval - Internal</v>
          </cell>
          <cell r="D1338">
            <v>72</v>
          </cell>
          <cell r="E1338" t="str">
            <v>APPROVED</v>
          </cell>
          <cell r="F1338">
            <v>42048</v>
          </cell>
          <cell r="G1338">
            <v>42916</v>
          </cell>
          <cell r="H1338">
            <v>197776.13</v>
          </cell>
          <cell r="I1338" t="str">
            <v>FIN Submission</v>
          </cell>
          <cell r="J1338">
            <v>43308</v>
          </cell>
        </row>
        <row r="1339">
          <cell r="A1339" t="str">
            <v>45370-H722</v>
          </cell>
          <cell r="B1339" t="str">
            <v>HYD - WRC Unit 1 Excitation System</v>
          </cell>
          <cell r="C1339" t="str">
            <v>FIN Approval - Internal</v>
          </cell>
          <cell r="D1339">
            <v>72</v>
          </cell>
          <cell r="E1339" t="str">
            <v>APPROVED</v>
          </cell>
          <cell r="F1339">
            <v>42185</v>
          </cell>
          <cell r="G1339">
            <v>42916</v>
          </cell>
          <cell r="H1339">
            <v>627786.68000000005</v>
          </cell>
          <cell r="I1339" t="str">
            <v>FIN Submission</v>
          </cell>
          <cell r="J1339">
            <v>43308</v>
          </cell>
        </row>
        <row r="1340">
          <cell r="A1340" t="str">
            <v>43053-SB54</v>
          </cell>
          <cell r="B1340" t="str">
            <v>POT - Waterwall Refurbishment 2013</v>
          </cell>
          <cell r="C1340" t="str">
            <v>FIN Approval - Internal</v>
          </cell>
          <cell r="D1340">
            <v>73</v>
          </cell>
          <cell r="E1340" t="str">
            <v>APPROVED</v>
          </cell>
          <cell r="F1340">
            <v>41487</v>
          </cell>
          <cell r="G1340">
            <v>41883</v>
          </cell>
          <cell r="H1340">
            <v>765482.16</v>
          </cell>
          <cell r="I1340" t="str">
            <v>FIN Submission</v>
          </cell>
          <cell r="J1340">
            <v>43308</v>
          </cell>
        </row>
        <row r="1341">
          <cell r="A1341" t="str">
            <v>45184-SC63</v>
          </cell>
          <cell r="B1341" t="str">
            <v>POT - PAC system improvements</v>
          </cell>
          <cell r="C1341" t="str">
            <v>FIN Approval - Internal</v>
          </cell>
          <cell r="D1341">
            <v>74</v>
          </cell>
          <cell r="E1341" t="str">
            <v>APPROVED</v>
          </cell>
          <cell r="F1341">
            <v>42034</v>
          </cell>
          <cell r="G1341">
            <v>42977</v>
          </cell>
          <cell r="H1341">
            <v>48692.62</v>
          </cell>
          <cell r="I1341" t="str">
            <v>FIN Submission</v>
          </cell>
          <cell r="J1341">
            <v>43308</v>
          </cell>
        </row>
        <row r="1342">
          <cell r="A1342" t="str">
            <v>43056-SB55</v>
          </cell>
          <cell r="B1342" t="str">
            <v>POT - Cable Spreading Room Fire Pro</v>
          </cell>
          <cell r="C1342" t="str">
            <v>FIN Approval - Internal</v>
          </cell>
          <cell r="D1342">
            <v>75</v>
          </cell>
          <cell r="E1342" t="str">
            <v>APPROVED</v>
          </cell>
          <cell r="F1342">
            <v>41913</v>
          </cell>
          <cell r="G1342">
            <v>42278</v>
          </cell>
          <cell r="H1342">
            <v>91378.34</v>
          </cell>
          <cell r="I1342" t="str">
            <v>FIN Submission</v>
          </cell>
          <cell r="J1342">
            <v>43308</v>
          </cell>
        </row>
        <row r="1343">
          <cell r="A1343" t="str">
            <v>45086-SC12</v>
          </cell>
          <cell r="B1343" t="str">
            <v>POT - U and U Turbine blade replace</v>
          </cell>
          <cell r="C1343" t="str">
            <v>FIN Approval - Internal</v>
          </cell>
          <cell r="D1343">
            <v>77</v>
          </cell>
          <cell r="E1343" t="str">
            <v>APPROVED</v>
          </cell>
          <cell r="F1343">
            <v>41560</v>
          </cell>
          <cell r="G1343">
            <v>42977</v>
          </cell>
          <cell r="H1343">
            <v>964671.92</v>
          </cell>
          <cell r="I1343" t="str">
            <v>FIN Submission</v>
          </cell>
          <cell r="J1343">
            <v>43308</v>
          </cell>
        </row>
        <row r="1344">
          <cell r="A1344" t="str">
            <v>45330-H737</v>
          </cell>
          <cell r="B1344" t="str">
            <v>HYD - WRC C3 Culvert Replacement</v>
          </cell>
          <cell r="C1344" t="str">
            <v>FIN Approval - Internal</v>
          </cell>
          <cell r="D1344">
            <v>79</v>
          </cell>
          <cell r="E1344" t="str">
            <v>APPROVED</v>
          </cell>
          <cell r="F1344">
            <v>42643</v>
          </cell>
          <cell r="G1344">
            <v>43205</v>
          </cell>
          <cell r="H1344">
            <v>677091.82</v>
          </cell>
          <cell r="I1344" t="str">
            <v>FIN Submission</v>
          </cell>
          <cell r="J1344">
            <v>43308</v>
          </cell>
        </row>
        <row r="1345">
          <cell r="A1345" t="str">
            <v>43118-SE22</v>
          </cell>
          <cell r="B1345" t="str">
            <v>POA - Plant Heating Upgrade</v>
          </cell>
          <cell r="C1345" t="str">
            <v>FIN Approval - Internal</v>
          </cell>
          <cell r="D1345">
            <v>79</v>
          </cell>
          <cell r="E1345" t="str">
            <v>APPROVED</v>
          </cell>
          <cell r="F1345">
            <v>42124</v>
          </cell>
          <cell r="G1345">
            <v>42916</v>
          </cell>
          <cell r="H1345">
            <v>29001.39</v>
          </cell>
          <cell r="I1345" t="str">
            <v>FIN Submission</v>
          </cell>
          <cell r="J1345">
            <v>43308</v>
          </cell>
        </row>
        <row r="1346">
          <cell r="A1346" t="str">
            <v>43110-SD91</v>
          </cell>
          <cell r="B1346" t="str">
            <v>POA - Structural Steel Refurb</v>
          </cell>
          <cell r="C1346" t="str">
            <v>FIN Approval - Internal</v>
          </cell>
          <cell r="D1346">
            <v>80</v>
          </cell>
          <cell r="E1346" t="str">
            <v>APPROVED</v>
          </cell>
          <cell r="F1346">
            <v>42308</v>
          </cell>
          <cell r="G1346">
            <v>43099</v>
          </cell>
          <cell r="H1346">
            <v>286762.12</v>
          </cell>
          <cell r="I1346" t="str">
            <v>FIN Submission</v>
          </cell>
          <cell r="J1346">
            <v>43308</v>
          </cell>
        </row>
        <row r="1347">
          <cell r="A1347" t="str">
            <v>44968-H697</v>
          </cell>
          <cell r="B1347" t="str">
            <v>HYD - WRC Unit 2 Excitation Sytem</v>
          </cell>
          <cell r="C1347" t="str">
            <v>FIN Approval - Internal</v>
          </cell>
          <cell r="D1347">
            <v>81</v>
          </cell>
          <cell r="E1347" t="str">
            <v>APPROVED</v>
          </cell>
          <cell r="F1347">
            <v>42004</v>
          </cell>
          <cell r="G1347">
            <v>42733</v>
          </cell>
          <cell r="H1347">
            <v>506900.92</v>
          </cell>
          <cell r="I1347" t="str">
            <v>FIN Submission</v>
          </cell>
          <cell r="J1347">
            <v>43308</v>
          </cell>
        </row>
        <row r="1348">
          <cell r="A1348" t="str">
            <v>44191-SB74</v>
          </cell>
          <cell r="B1348" t="str">
            <v>POT Replacement of coal nozzles and</v>
          </cell>
          <cell r="C1348" t="str">
            <v>FIN Approval - Internal</v>
          </cell>
          <cell r="D1348">
            <v>82</v>
          </cell>
          <cell r="E1348" t="str">
            <v>APPROVED</v>
          </cell>
          <cell r="F1348">
            <v>42246</v>
          </cell>
          <cell r="G1348">
            <v>42977</v>
          </cell>
          <cell r="H1348">
            <v>761780.14</v>
          </cell>
          <cell r="I1348" t="str">
            <v>FIN Submission</v>
          </cell>
          <cell r="J1348">
            <v>43308</v>
          </cell>
        </row>
        <row r="1349">
          <cell r="A1349" t="str">
            <v>40382-S738</v>
          </cell>
          <cell r="B1349" t="str">
            <v>POA - Fire Zone Control Valve UPG.</v>
          </cell>
          <cell r="C1349" t="str">
            <v>FIN Approval - Internal</v>
          </cell>
          <cell r="D1349">
            <v>83</v>
          </cell>
          <cell r="E1349" t="str">
            <v>APPROVED</v>
          </cell>
          <cell r="F1349">
            <v>41060</v>
          </cell>
          <cell r="G1349">
            <v>42886</v>
          </cell>
          <cell r="H1349">
            <v>39845.94</v>
          </cell>
          <cell r="I1349" t="str">
            <v>FIN Submission</v>
          </cell>
          <cell r="J1349">
            <v>43308</v>
          </cell>
        </row>
        <row r="1350">
          <cell r="A1350" t="str">
            <v>44887-H694</v>
          </cell>
          <cell r="B1350" t="str">
            <v>HYD - Sissiboo Pipeline Replacement</v>
          </cell>
          <cell r="C1350" t="str">
            <v>FIN Approval - Internal</v>
          </cell>
          <cell r="D1350">
            <v>88</v>
          </cell>
          <cell r="E1350" t="str">
            <v>APPROVED</v>
          </cell>
          <cell r="F1350">
            <v>42338</v>
          </cell>
          <cell r="G1350">
            <v>42916</v>
          </cell>
          <cell r="H1350">
            <v>955560.72</v>
          </cell>
          <cell r="I1350" t="str">
            <v>FIN Submission</v>
          </cell>
          <cell r="J1350">
            <v>43308</v>
          </cell>
        </row>
        <row r="1351">
          <cell r="A1351" t="str">
            <v>41564-SB32</v>
          </cell>
          <cell r="B1351" t="str">
            <v>POT - WTP Filter Replacement</v>
          </cell>
          <cell r="C1351" t="str">
            <v>FIN Approval - Internal</v>
          </cell>
          <cell r="D1351">
            <v>91</v>
          </cell>
          <cell r="E1351" t="str">
            <v>APPROVED</v>
          </cell>
          <cell r="F1351">
            <v>42003</v>
          </cell>
          <cell r="G1351">
            <v>42176</v>
          </cell>
          <cell r="H1351">
            <v>224578.84</v>
          </cell>
          <cell r="I1351" t="str">
            <v>FIN Submission</v>
          </cell>
          <cell r="J1351">
            <v>43308</v>
          </cell>
        </row>
        <row r="1352">
          <cell r="A1352" t="str">
            <v>43100-SB68</v>
          </cell>
          <cell r="B1352" t="str">
            <v>POT - Selective Ash Cell Capping</v>
          </cell>
          <cell r="C1352" t="str">
            <v>FIN Approval - Internal</v>
          </cell>
          <cell r="D1352">
            <v>92</v>
          </cell>
          <cell r="E1352" t="str">
            <v>APPROVED</v>
          </cell>
          <cell r="F1352">
            <v>42824</v>
          </cell>
          <cell r="G1352">
            <v>43008</v>
          </cell>
          <cell r="H1352">
            <v>112010.75</v>
          </cell>
          <cell r="I1352" t="str">
            <v>FIN Submission</v>
          </cell>
          <cell r="J1352">
            <v>43308</v>
          </cell>
        </row>
        <row r="1353">
          <cell r="A1353" t="str">
            <v>43626-SB84</v>
          </cell>
          <cell r="B1353" t="str">
            <v>TRE Hydrazine Replacement</v>
          </cell>
          <cell r="C1353" t="str">
            <v>FIN Approval - Internal</v>
          </cell>
          <cell r="D1353">
            <v>93</v>
          </cell>
          <cell r="E1353" t="str">
            <v>APPROVED</v>
          </cell>
          <cell r="F1353">
            <v>42475</v>
          </cell>
          <cell r="G1353">
            <v>42870</v>
          </cell>
          <cell r="H1353">
            <v>248404.93</v>
          </cell>
          <cell r="I1353" t="str">
            <v>FIN Submission</v>
          </cell>
          <cell r="J1353">
            <v>43308</v>
          </cell>
        </row>
        <row r="1354">
          <cell r="A1354" t="str">
            <v>43386-SF67</v>
          </cell>
          <cell r="B1354" t="str">
            <v>POT - LP dosing automation</v>
          </cell>
          <cell r="C1354" t="str">
            <v>FIN Approval - Internal</v>
          </cell>
          <cell r="D1354">
            <v>94</v>
          </cell>
          <cell r="E1354" t="str">
            <v>APPROVED</v>
          </cell>
          <cell r="F1354">
            <v>43281</v>
          </cell>
          <cell r="G1354">
            <v>43464</v>
          </cell>
          <cell r="H1354">
            <v>87059.54</v>
          </cell>
          <cell r="I1354" t="str">
            <v>FIN Submission</v>
          </cell>
          <cell r="J1354">
            <v>43308</v>
          </cell>
        </row>
        <row r="1355">
          <cell r="A1355" t="str">
            <v>43066-H661</v>
          </cell>
          <cell r="B1355" t="str">
            <v>HYD - Little Indian / Mill Lake</v>
          </cell>
          <cell r="C1355" t="str">
            <v>FIN Approval - Internal</v>
          </cell>
          <cell r="D1355">
            <v>96</v>
          </cell>
          <cell r="E1355" t="str">
            <v>APPROVED</v>
          </cell>
          <cell r="F1355">
            <v>42254</v>
          </cell>
          <cell r="G1355">
            <v>43100</v>
          </cell>
          <cell r="H1355">
            <v>1355054.82</v>
          </cell>
          <cell r="I1355" t="str">
            <v>FIN Submission</v>
          </cell>
          <cell r="J1355">
            <v>43308</v>
          </cell>
        </row>
        <row r="1356">
          <cell r="A1356" t="str">
            <v>43607-H670</v>
          </cell>
          <cell r="B1356" t="str">
            <v>HYD - Malay Falls #5 Unit Overhaul</v>
          </cell>
          <cell r="C1356" t="str">
            <v>FIN Approval - Internal</v>
          </cell>
          <cell r="D1356">
            <v>97</v>
          </cell>
          <cell r="E1356" t="str">
            <v>APPROVED</v>
          </cell>
          <cell r="F1356">
            <v>42265</v>
          </cell>
          <cell r="G1356">
            <v>42916</v>
          </cell>
          <cell r="H1356">
            <v>1102888.83</v>
          </cell>
          <cell r="I1356" t="str">
            <v>FIN Submission</v>
          </cell>
          <cell r="J1356">
            <v>43308</v>
          </cell>
        </row>
        <row r="1357">
          <cell r="A1357" t="str">
            <v>41080-SB08</v>
          </cell>
          <cell r="B1357" t="str">
            <v>POA - Coal Gate Upgrade</v>
          </cell>
          <cell r="C1357" t="str">
            <v>FIN Approval - Internal</v>
          </cell>
          <cell r="D1357">
            <v>108</v>
          </cell>
          <cell r="E1357" t="str">
            <v>APPROVED</v>
          </cell>
          <cell r="F1357">
            <v>41394</v>
          </cell>
          <cell r="G1357">
            <v>43039</v>
          </cell>
          <cell r="H1357">
            <v>32507.25</v>
          </cell>
          <cell r="I1357" t="str">
            <v>FIN Submission</v>
          </cell>
          <cell r="J1357">
            <v>43308</v>
          </cell>
        </row>
        <row r="1358">
          <cell r="A1358" t="str">
            <v>41074-SA20</v>
          </cell>
          <cell r="B1358" t="str">
            <v>POA - Ash Cell Site Capping</v>
          </cell>
          <cell r="C1358" t="str">
            <v>FIN Approval - Internal</v>
          </cell>
          <cell r="D1358">
            <v>112</v>
          </cell>
          <cell r="E1358" t="str">
            <v>APPROVED</v>
          </cell>
          <cell r="F1358">
            <v>41487</v>
          </cell>
          <cell r="G1358">
            <v>42794</v>
          </cell>
          <cell r="H1358">
            <v>3934639.1</v>
          </cell>
          <cell r="I1358" t="str">
            <v>FIN Submission</v>
          </cell>
          <cell r="J1358">
            <v>43308</v>
          </cell>
        </row>
        <row r="1359">
          <cell r="A1359" t="str">
            <v>41130-H667</v>
          </cell>
          <cell r="B1359" t="str">
            <v>HYD-Avon2 Generator Stator Rewind</v>
          </cell>
          <cell r="C1359" t="str">
            <v>FIN Approval - Internal</v>
          </cell>
          <cell r="D1359">
            <v>114</v>
          </cell>
          <cell r="E1359" t="str">
            <v>APPROVED</v>
          </cell>
          <cell r="F1359">
            <v>42722</v>
          </cell>
          <cell r="G1359">
            <v>42766</v>
          </cell>
          <cell r="H1359">
            <v>652128.05000000005</v>
          </cell>
          <cell r="I1359" t="str">
            <v>FIN Submission</v>
          </cell>
          <cell r="J1359">
            <v>43308</v>
          </cell>
        </row>
        <row r="1360">
          <cell r="A1360" t="str">
            <v>41591-SB33</v>
          </cell>
          <cell r="B1360" t="str">
            <v>POT - Induced Draft (ID) Fan Bearin</v>
          </cell>
          <cell r="C1360" t="str">
            <v>FIN Approval - Internal</v>
          </cell>
          <cell r="D1360">
            <v>119</v>
          </cell>
          <cell r="E1360" t="str">
            <v>APPROVED</v>
          </cell>
          <cell r="F1360">
            <v>42002</v>
          </cell>
          <cell r="G1360">
            <v>42733</v>
          </cell>
          <cell r="H1360">
            <v>129290.23</v>
          </cell>
          <cell r="I1360" t="str">
            <v>FIN Submission</v>
          </cell>
          <cell r="J1360">
            <v>43308</v>
          </cell>
        </row>
        <row r="1361">
          <cell r="A1361" t="str">
            <v>30283-S665</v>
          </cell>
          <cell r="B1361" t="str">
            <v>POT - Tupper Vessel Access</v>
          </cell>
          <cell r="C1361" t="str">
            <v>FIN Approval - Internal</v>
          </cell>
          <cell r="D1361">
            <v>130</v>
          </cell>
          <cell r="E1361" t="str">
            <v>APPROVED</v>
          </cell>
          <cell r="F1361">
            <v>41363</v>
          </cell>
          <cell r="G1361">
            <v>41638</v>
          </cell>
          <cell r="H1361">
            <v>510549.15</v>
          </cell>
          <cell r="I1361" t="str">
            <v>FIN Submission</v>
          </cell>
          <cell r="J1361">
            <v>43308</v>
          </cell>
        </row>
        <row r="1362">
          <cell r="A1362" t="str">
            <v>37022-SA45</v>
          </cell>
          <cell r="B1362" t="str">
            <v>POT - 129V Battery Charger Replacem</v>
          </cell>
          <cell r="C1362" t="str">
            <v>FIN Approval - Internal</v>
          </cell>
          <cell r="D1362">
            <v>153</v>
          </cell>
          <cell r="E1362" t="str">
            <v>APPROVED</v>
          </cell>
          <cell r="F1362">
            <v>41840</v>
          </cell>
          <cell r="G1362">
            <v>41978</v>
          </cell>
          <cell r="H1362">
            <v>62591.02</v>
          </cell>
          <cell r="I1362" t="str">
            <v>FIN Submission</v>
          </cell>
          <cell r="J1362">
            <v>43308</v>
          </cell>
        </row>
        <row r="1363">
          <cell r="A1363" t="str">
            <v>30802-S723</v>
          </cell>
          <cell r="B1363" t="str">
            <v>PTMT - Marine Terminal Dust Mitiga</v>
          </cell>
          <cell r="C1363" t="str">
            <v>FIN Approval - Internal</v>
          </cell>
          <cell r="D1363">
            <v>190</v>
          </cell>
          <cell r="E1363" t="str">
            <v>APPROVED</v>
          </cell>
          <cell r="F1363">
            <v>42216</v>
          </cell>
          <cell r="G1363">
            <v>42369</v>
          </cell>
          <cell r="H1363">
            <v>62377.5</v>
          </cell>
          <cell r="I1363" t="str">
            <v>FIN Submission</v>
          </cell>
          <cell r="J1363">
            <v>43308</v>
          </cell>
        </row>
        <row r="1364">
          <cell r="A1364" t="str">
            <v>45816-SC81</v>
          </cell>
          <cell r="B1364" t="str">
            <v>TUC3 U&amp;U Turbine Blade Replace Ph 2</v>
          </cell>
          <cell r="C1364" t="str">
            <v>FIN Approval - External</v>
          </cell>
          <cell r="D1364">
            <v>70</v>
          </cell>
          <cell r="E1364" t="str">
            <v>APPROVED</v>
          </cell>
          <cell r="F1364">
            <v>41835</v>
          </cell>
          <cell r="G1364">
            <v>43281</v>
          </cell>
          <cell r="H1364">
            <v>856230.47</v>
          </cell>
          <cell r="I1364" t="str">
            <v>FIN Submission</v>
          </cell>
          <cell r="J1364">
            <v>43307</v>
          </cell>
        </row>
        <row r="1365">
          <cell r="A1365" t="str">
            <v>47531-SE46</v>
          </cell>
          <cell r="B1365" t="str">
            <v xml:space="preserve">TRE6 LP Turbine Diaphragm Tip Seal </v>
          </cell>
          <cell r="C1365" t="str">
            <v>FIN Approval - External</v>
          </cell>
          <cell r="D1365">
            <v>54</v>
          </cell>
          <cell r="E1365" t="str">
            <v>APPROVED</v>
          </cell>
          <cell r="F1365">
            <v>43054</v>
          </cell>
          <cell r="G1365">
            <v>43235</v>
          </cell>
          <cell r="H1365">
            <v>1784152.1</v>
          </cell>
          <cell r="I1365" t="str">
            <v>FIN Submission</v>
          </cell>
          <cell r="J1365">
            <v>43290</v>
          </cell>
        </row>
        <row r="1366">
          <cell r="A1366" t="str">
            <v>50891-P152</v>
          </cell>
          <cell r="B1366" t="str">
            <v>CT - VJ Building</v>
          </cell>
          <cell r="C1366" t="str">
            <v>FIN Approval - Internal</v>
          </cell>
          <cell r="D1366">
            <v>22</v>
          </cell>
          <cell r="E1366" t="str">
            <v>APPROVED</v>
          </cell>
          <cell r="F1366">
            <v>43039</v>
          </cell>
          <cell r="G1366">
            <v>43220</v>
          </cell>
          <cell r="H1366">
            <v>148811.1</v>
          </cell>
          <cell r="I1366" t="str">
            <v>FIN Submission</v>
          </cell>
          <cell r="J1366">
            <v>43280</v>
          </cell>
        </row>
        <row r="1367">
          <cell r="A1367" t="str">
            <v>50736-G224</v>
          </cell>
          <cell r="B1367" t="str">
            <v>CT - BGT CI Card Upgrade</v>
          </cell>
          <cell r="C1367" t="str">
            <v>FIN Approval - Internal</v>
          </cell>
          <cell r="D1367">
            <v>23</v>
          </cell>
          <cell r="E1367" t="str">
            <v>APPROVED</v>
          </cell>
          <cell r="F1367">
            <v>43039</v>
          </cell>
          <cell r="G1367">
            <v>43220</v>
          </cell>
          <cell r="H1367">
            <v>122328.15</v>
          </cell>
          <cell r="I1367" t="str">
            <v>FIN Submission</v>
          </cell>
          <cell r="J1367">
            <v>43280</v>
          </cell>
        </row>
        <row r="1368">
          <cell r="A1368" t="str">
            <v>50031-D769</v>
          </cell>
          <cell r="B1368" t="str">
            <v>59C-402 Route 4 Reconductor</v>
          </cell>
          <cell r="C1368" t="str">
            <v>FIN Approval - Internal</v>
          </cell>
          <cell r="D1368">
            <v>31</v>
          </cell>
          <cell r="E1368" t="str">
            <v>APPROVED</v>
          </cell>
          <cell r="F1368">
            <v>42734</v>
          </cell>
          <cell r="G1368">
            <v>43190</v>
          </cell>
          <cell r="H1368">
            <v>473037.99</v>
          </cell>
          <cell r="I1368" t="str">
            <v>FIN Submission</v>
          </cell>
          <cell r="J1368">
            <v>43280</v>
          </cell>
        </row>
        <row r="1369">
          <cell r="A1369" t="str">
            <v>49938-G228</v>
          </cell>
          <cell r="B1369" t="str">
            <v>CT - BGT 2 Exterior Coating Refurb</v>
          </cell>
          <cell r="C1369" t="str">
            <v>FIN Approval - Internal</v>
          </cell>
          <cell r="D1369">
            <v>32</v>
          </cell>
          <cell r="E1369" t="str">
            <v>APPROVED</v>
          </cell>
          <cell r="F1369">
            <v>42978</v>
          </cell>
          <cell r="G1369">
            <v>43069</v>
          </cell>
          <cell r="H1369">
            <v>51639.6</v>
          </cell>
          <cell r="I1369" t="str">
            <v>FIN Submission</v>
          </cell>
          <cell r="J1369">
            <v>43280</v>
          </cell>
        </row>
        <row r="1370">
          <cell r="A1370" t="str">
            <v>49935-G232</v>
          </cell>
          <cell r="B1370" t="str">
            <v>CT - VJ 1 Enclosure Coating Refurb</v>
          </cell>
          <cell r="C1370" t="str">
            <v>FIN Approval - Internal</v>
          </cell>
          <cell r="D1370">
            <v>32</v>
          </cell>
          <cell r="E1370" t="str">
            <v>APPROVED</v>
          </cell>
          <cell r="F1370">
            <v>42916</v>
          </cell>
          <cell r="G1370">
            <v>43038</v>
          </cell>
          <cell r="H1370">
            <v>49420.23</v>
          </cell>
          <cell r="I1370" t="str">
            <v>FIN Submission</v>
          </cell>
          <cell r="J1370">
            <v>43280</v>
          </cell>
        </row>
        <row r="1371">
          <cell r="A1371" t="str">
            <v>49936-G230</v>
          </cell>
          <cell r="B1371" t="str">
            <v>CT - VJ 2 Enclosure Coating Refurb</v>
          </cell>
          <cell r="C1371" t="str">
            <v>FIN Approval - Internal</v>
          </cell>
          <cell r="D1371">
            <v>32</v>
          </cell>
          <cell r="E1371" t="str">
            <v>APPROVED</v>
          </cell>
          <cell r="F1371">
            <v>42916</v>
          </cell>
          <cell r="G1371">
            <v>43038</v>
          </cell>
          <cell r="H1371">
            <v>51818.62</v>
          </cell>
          <cell r="I1371" t="str">
            <v>FIN Submission</v>
          </cell>
          <cell r="J1371">
            <v>43280</v>
          </cell>
        </row>
        <row r="1372">
          <cell r="A1372" t="str">
            <v>49937-G231</v>
          </cell>
          <cell r="B1372" t="str">
            <v>CT - BGT 1 Exterior Coating Refurb</v>
          </cell>
          <cell r="C1372" t="str">
            <v>FIN Approval - Internal</v>
          </cell>
          <cell r="D1372">
            <v>33</v>
          </cell>
          <cell r="E1372" t="str">
            <v>APPROVED</v>
          </cell>
          <cell r="F1372">
            <v>42978</v>
          </cell>
          <cell r="G1372">
            <v>43465</v>
          </cell>
          <cell r="H1372">
            <v>55529.36</v>
          </cell>
          <cell r="I1372" t="str">
            <v>FIN Submission</v>
          </cell>
          <cell r="J1372">
            <v>43280</v>
          </cell>
        </row>
        <row r="1373">
          <cell r="A1373" t="str">
            <v>49939-G229</v>
          </cell>
          <cell r="B1373" t="str">
            <v>CT - BGT 3 Exterior Coating Refurb</v>
          </cell>
          <cell r="C1373" t="str">
            <v>FIN Approval - Internal</v>
          </cell>
          <cell r="D1373">
            <v>33</v>
          </cell>
          <cell r="E1373" t="str">
            <v>APPROVED</v>
          </cell>
          <cell r="F1373">
            <v>42978</v>
          </cell>
          <cell r="G1373">
            <v>43465</v>
          </cell>
          <cell r="H1373">
            <v>53453.4</v>
          </cell>
          <cell r="I1373" t="str">
            <v>FIN Submission</v>
          </cell>
          <cell r="J1373">
            <v>43280</v>
          </cell>
        </row>
        <row r="1374">
          <cell r="A1374" t="str">
            <v>49976-G227</v>
          </cell>
          <cell r="B1374" t="str">
            <v>CT - BGT 4 Exterior Coating Refurb</v>
          </cell>
          <cell r="C1374" t="str">
            <v>FIN Approval - Internal</v>
          </cell>
          <cell r="D1374">
            <v>33</v>
          </cell>
          <cell r="E1374" t="str">
            <v>APPROVED</v>
          </cell>
          <cell r="F1374">
            <v>42978</v>
          </cell>
          <cell r="G1374">
            <v>43465</v>
          </cell>
          <cell r="H1374">
            <v>51188.72</v>
          </cell>
          <cell r="I1374" t="str">
            <v>FIN Submission</v>
          </cell>
          <cell r="J1374">
            <v>43280</v>
          </cell>
        </row>
        <row r="1375">
          <cell r="A1375" t="str">
            <v>49951-G244</v>
          </cell>
          <cell r="B1375" t="str">
            <v>LM6000 TUC5 SPRINT Nozzle Replace</v>
          </cell>
          <cell r="C1375" t="str">
            <v>FIN Approval - Internal</v>
          </cell>
          <cell r="D1375">
            <v>33</v>
          </cell>
          <cell r="E1375" t="str">
            <v>APPROVED</v>
          </cell>
          <cell r="F1375">
            <v>43069</v>
          </cell>
          <cell r="G1375">
            <v>43174</v>
          </cell>
          <cell r="H1375">
            <v>163391.13</v>
          </cell>
          <cell r="I1375" t="str">
            <v>FIN Submission</v>
          </cell>
          <cell r="J1375">
            <v>43280</v>
          </cell>
        </row>
        <row r="1376">
          <cell r="A1376" t="str">
            <v>49931-P123</v>
          </cell>
          <cell r="B1376" t="str">
            <v>CT - Fork Lift and Trailer</v>
          </cell>
          <cell r="C1376" t="str">
            <v>FIN Approval - Internal</v>
          </cell>
          <cell r="D1376">
            <v>35</v>
          </cell>
          <cell r="E1376" t="str">
            <v>APPROVED</v>
          </cell>
          <cell r="F1376">
            <v>42781</v>
          </cell>
          <cell r="G1376">
            <v>42824</v>
          </cell>
          <cell r="H1376">
            <v>103658.29</v>
          </cell>
          <cell r="I1376" t="str">
            <v>FIN Submission</v>
          </cell>
          <cell r="J1376">
            <v>43280</v>
          </cell>
        </row>
        <row r="1377">
          <cell r="A1377" t="str">
            <v>49291-SG60</v>
          </cell>
          <cell r="B1377" t="str">
            <v>POT - P&amp;A CEMS Replacement</v>
          </cell>
          <cell r="C1377" t="str">
            <v>FIN Approval - Internal</v>
          </cell>
          <cell r="D1377">
            <v>38</v>
          </cell>
          <cell r="E1377" t="str">
            <v>APPROVED</v>
          </cell>
          <cell r="F1377">
            <v>42643</v>
          </cell>
          <cell r="G1377">
            <v>43008</v>
          </cell>
          <cell r="H1377">
            <v>202701.03</v>
          </cell>
          <cell r="I1377" t="str">
            <v>FIN Submission</v>
          </cell>
          <cell r="J1377">
            <v>43280</v>
          </cell>
        </row>
        <row r="1378">
          <cell r="A1378" t="str">
            <v>49605-G209</v>
          </cell>
          <cell r="B1378" t="str">
            <v>CTs- BGT 3 Engine Refurbishment</v>
          </cell>
          <cell r="C1378" t="str">
            <v>FIN Approval - Internal</v>
          </cell>
          <cell r="D1378">
            <v>44</v>
          </cell>
          <cell r="E1378" t="str">
            <v>APPROVED</v>
          </cell>
          <cell r="F1378">
            <v>42719</v>
          </cell>
          <cell r="G1378">
            <v>43220</v>
          </cell>
          <cell r="H1378">
            <v>2126856.98</v>
          </cell>
          <cell r="I1378" t="str">
            <v>FIN Submission</v>
          </cell>
          <cell r="J1378">
            <v>43280</v>
          </cell>
        </row>
        <row r="1379">
          <cell r="A1379" t="str">
            <v>48512-SF34</v>
          </cell>
          <cell r="B1379" t="str">
            <v xml:space="preserve">TUC3 Turbine-End Gen Hydrogen Seal </v>
          </cell>
          <cell r="C1379" t="str">
            <v>FIN Approval - Internal</v>
          </cell>
          <cell r="D1379">
            <v>44</v>
          </cell>
          <cell r="E1379" t="str">
            <v>APPROVED</v>
          </cell>
          <cell r="F1379">
            <v>42369</v>
          </cell>
          <cell r="G1379">
            <v>43281</v>
          </cell>
          <cell r="H1379">
            <v>79716.929999999993</v>
          </cell>
          <cell r="I1379" t="str">
            <v>FIN Submission</v>
          </cell>
          <cell r="J1379">
            <v>43280</v>
          </cell>
        </row>
        <row r="1380">
          <cell r="A1380" t="str">
            <v>48357-G195</v>
          </cell>
          <cell r="B1380" t="str">
            <v>BGT Fuel Tank Farm Oil Water Separa</v>
          </cell>
          <cell r="C1380" t="str">
            <v>FIN Approval - Internal</v>
          </cell>
          <cell r="D1380">
            <v>45</v>
          </cell>
          <cell r="E1380" t="str">
            <v>APPROVED</v>
          </cell>
          <cell r="F1380">
            <v>42735</v>
          </cell>
          <cell r="G1380">
            <v>43312</v>
          </cell>
          <cell r="H1380">
            <v>196071.61</v>
          </cell>
          <cell r="I1380" t="str">
            <v>FIN Submission</v>
          </cell>
          <cell r="J1380">
            <v>43280</v>
          </cell>
        </row>
        <row r="1381">
          <cell r="A1381" t="str">
            <v>48416-D693</v>
          </cell>
          <cell r="B1381" t="str">
            <v>Lower South River 515C</v>
          </cell>
          <cell r="C1381" t="str">
            <v>FIN Approval - Internal</v>
          </cell>
          <cell r="D1381">
            <v>45</v>
          </cell>
          <cell r="E1381" t="str">
            <v>APPROVED</v>
          </cell>
          <cell r="F1381">
            <v>42490</v>
          </cell>
          <cell r="G1381">
            <v>43008</v>
          </cell>
          <cell r="H1381">
            <v>16150.51</v>
          </cell>
          <cell r="I1381" t="str">
            <v>FIN Submission</v>
          </cell>
          <cell r="J1381">
            <v>43280</v>
          </cell>
        </row>
        <row r="1382">
          <cell r="A1382" t="str">
            <v>47936-SE77</v>
          </cell>
          <cell r="B1382" t="str">
            <v>PHB - Biomass Fuel Tarps</v>
          </cell>
          <cell r="C1382" t="str">
            <v>FIN Approval - Internal</v>
          </cell>
          <cell r="D1382">
            <v>45</v>
          </cell>
          <cell r="E1382" t="str">
            <v>APPROVED</v>
          </cell>
          <cell r="F1382">
            <v>42278</v>
          </cell>
          <cell r="G1382">
            <v>42644</v>
          </cell>
          <cell r="H1382">
            <v>66680.210000000006</v>
          </cell>
          <cell r="I1382" t="str">
            <v>FIN Submission</v>
          </cell>
          <cell r="J1382">
            <v>43280</v>
          </cell>
        </row>
        <row r="1383">
          <cell r="A1383" t="str">
            <v>48172-SE96</v>
          </cell>
          <cell r="B1383" t="str">
            <v>TUC2 UU FAC/HEP Upgrades</v>
          </cell>
          <cell r="C1383" t="str">
            <v>FIN Approval - Internal</v>
          </cell>
          <cell r="D1383">
            <v>46</v>
          </cell>
          <cell r="E1383" t="str">
            <v>APPROVED</v>
          </cell>
          <cell r="F1383">
            <v>42338</v>
          </cell>
          <cell r="G1383">
            <v>43281</v>
          </cell>
          <cell r="H1383">
            <v>135841.88</v>
          </cell>
          <cell r="I1383" t="str">
            <v>FIN Submission</v>
          </cell>
          <cell r="J1383">
            <v>43280</v>
          </cell>
        </row>
        <row r="1384">
          <cell r="A1384" t="str">
            <v>48313-SF09</v>
          </cell>
          <cell r="B1384" t="str">
            <v>TUC UU Turbine Dehumidifier</v>
          </cell>
          <cell r="C1384" t="str">
            <v>FIN Approval - Internal</v>
          </cell>
          <cell r="D1384">
            <v>47</v>
          </cell>
          <cell r="E1384" t="str">
            <v>APPROVED</v>
          </cell>
          <cell r="F1384">
            <v>42369</v>
          </cell>
          <cell r="G1384">
            <v>43281</v>
          </cell>
          <cell r="H1384">
            <v>93219.03</v>
          </cell>
          <cell r="I1384" t="str">
            <v>FIN Submission</v>
          </cell>
          <cell r="J1384">
            <v>43280</v>
          </cell>
        </row>
        <row r="1385">
          <cell r="A1385" t="str">
            <v>48471-SF20</v>
          </cell>
          <cell r="B1385" t="str">
            <v>TUC3 UU HEP FAC Upgrades</v>
          </cell>
          <cell r="C1385" t="str">
            <v>FIN Approval - Internal</v>
          </cell>
          <cell r="D1385">
            <v>47</v>
          </cell>
          <cell r="E1385" t="str">
            <v>APPROVED</v>
          </cell>
          <cell r="F1385">
            <v>42369</v>
          </cell>
          <cell r="G1385">
            <v>43281</v>
          </cell>
          <cell r="H1385">
            <v>323491.17</v>
          </cell>
          <cell r="I1385" t="str">
            <v>FIN Submission</v>
          </cell>
          <cell r="J1385">
            <v>43280</v>
          </cell>
        </row>
        <row r="1386">
          <cell r="A1386" t="str">
            <v>48171-SE95</v>
          </cell>
          <cell r="B1386" t="str">
            <v>TUC1 UU FAC/HEP Upgrades</v>
          </cell>
          <cell r="C1386" t="str">
            <v>FIN Approval - Internal</v>
          </cell>
          <cell r="D1386">
            <v>48</v>
          </cell>
          <cell r="E1386" t="str">
            <v>APPROVED</v>
          </cell>
          <cell r="F1386">
            <v>42338</v>
          </cell>
          <cell r="G1386">
            <v>43281</v>
          </cell>
          <cell r="H1386">
            <v>171967.89</v>
          </cell>
          <cell r="I1386" t="str">
            <v>FIN Submission</v>
          </cell>
          <cell r="J1386">
            <v>43280</v>
          </cell>
        </row>
        <row r="1387">
          <cell r="A1387" t="str">
            <v>47840-D672</v>
          </cell>
          <cell r="B1387" t="str">
            <v>Route 4 Highway Shift at Chapel Isl</v>
          </cell>
          <cell r="C1387" t="str">
            <v>FIN Approval - Internal</v>
          </cell>
          <cell r="D1387">
            <v>50</v>
          </cell>
          <cell r="E1387" t="str">
            <v>APPROVED</v>
          </cell>
          <cell r="F1387">
            <v>42277</v>
          </cell>
          <cell r="G1387">
            <v>43281</v>
          </cell>
          <cell r="H1387">
            <v>201738.72</v>
          </cell>
          <cell r="I1387" t="str">
            <v>FIN Submission</v>
          </cell>
          <cell r="J1387">
            <v>43280</v>
          </cell>
        </row>
        <row r="1388">
          <cell r="A1388" t="str">
            <v>48071-D736</v>
          </cell>
          <cell r="B1388" t="str">
            <v>2016 Manhole Cover Replacement</v>
          </cell>
          <cell r="C1388" t="str">
            <v>FIN Approval - Internal</v>
          </cell>
          <cell r="D1388">
            <v>51</v>
          </cell>
          <cell r="E1388" t="str">
            <v>APPROVED</v>
          </cell>
          <cell r="F1388">
            <v>42947</v>
          </cell>
          <cell r="G1388">
            <v>43465</v>
          </cell>
          <cell r="H1388">
            <v>53588.959999999999</v>
          </cell>
          <cell r="I1388" t="str">
            <v>FIN Submission</v>
          </cell>
          <cell r="J1388">
            <v>43280</v>
          </cell>
        </row>
        <row r="1389">
          <cell r="A1389" t="str">
            <v>45577-G170</v>
          </cell>
          <cell r="B1389" t="str">
            <v>CT-U&amp;U Victoria Junction Oil Unload</v>
          </cell>
          <cell r="C1389" t="str">
            <v>FIN Approval - Internal</v>
          </cell>
          <cell r="D1389">
            <v>51</v>
          </cell>
          <cell r="E1389" t="str">
            <v>APPROVED</v>
          </cell>
          <cell r="F1389">
            <v>41608</v>
          </cell>
          <cell r="G1389">
            <v>42735</v>
          </cell>
          <cell r="H1389">
            <v>42896.39</v>
          </cell>
          <cell r="I1389" t="str">
            <v>FIN Submission</v>
          </cell>
          <cell r="J1389">
            <v>43280</v>
          </cell>
        </row>
        <row r="1390">
          <cell r="A1390" t="str">
            <v>47754-D702</v>
          </cell>
          <cell r="B1390" t="str">
            <v>63V-313 Ward Rd Reconductor</v>
          </cell>
          <cell r="C1390" t="str">
            <v>FIN Approval - Internal</v>
          </cell>
          <cell r="D1390">
            <v>54</v>
          </cell>
          <cell r="E1390" t="str">
            <v>APPROVED</v>
          </cell>
          <cell r="F1390">
            <v>42551</v>
          </cell>
          <cell r="G1390">
            <v>43281</v>
          </cell>
          <cell r="H1390">
            <v>203211.29</v>
          </cell>
          <cell r="I1390" t="str">
            <v>FIN Submission</v>
          </cell>
          <cell r="J1390">
            <v>43280</v>
          </cell>
        </row>
        <row r="1391">
          <cell r="A1391" t="str">
            <v>47934-SE72</v>
          </cell>
          <cell r="B1391" t="str">
            <v>TUC3 UU CW Piping Refurbishment</v>
          </cell>
          <cell r="C1391" t="str">
            <v>FIN Approval - Internal</v>
          </cell>
          <cell r="D1391">
            <v>54</v>
          </cell>
          <cell r="E1391" t="str">
            <v>APPROVED</v>
          </cell>
          <cell r="F1391">
            <v>42369</v>
          </cell>
          <cell r="G1391">
            <v>43281</v>
          </cell>
          <cell r="H1391">
            <v>585371.96</v>
          </cell>
          <cell r="I1391" t="str">
            <v>FIN Submission</v>
          </cell>
          <cell r="J1391">
            <v>43280</v>
          </cell>
        </row>
        <row r="1392">
          <cell r="A1392" t="str">
            <v>47811-D718</v>
          </cell>
          <cell r="B1392" t="str">
            <v>Padmount Switch Replacement</v>
          </cell>
          <cell r="C1392" t="str">
            <v>FIN Approval - Internal</v>
          </cell>
          <cell r="D1392">
            <v>55</v>
          </cell>
          <cell r="E1392" t="str">
            <v>APPROVED</v>
          </cell>
          <cell r="F1392">
            <v>42855</v>
          </cell>
          <cell r="G1392">
            <v>43281</v>
          </cell>
          <cell r="H1392">
            <v>187678.95</v>
          </cell>
          <cell r="I1392" t="str">
            <v>FIN Submission</v>
          </cell>
          <cell r="J1392">
            <v>43280</v>
          </cell>
        </row>
        <row r="1393">
          <cell r="A1393" t="str">
            <v>46464-SD83</v>
          </cell>
          <cell r="B1393" t="str">
            <v>TUC1 - Turbine Valves</v>
          </cell>
          <cell r="C1393" t="str">
            <v>FIN Approval - Internal</v>
          </cell>
          <cell r="D1393">
            <v>66</v>
          </cell>
          <cell r="E1393" t="str">
            <v>APPROVED</v>
          </cell>
          <cell r="F1393">
            <v>42124</v>
          </cell>
          <cell r="G1393">
            <v>43281</v>
          </cell>
          <cell r="H1393">
            <v>527453.56000000006</v>
          </cell>
          <cell r="I1393" t="str">
            <v>FIN Submission</v>
          </cell>
          <cell r="J1393">
            <v>43280</v>
          </cell>
        </row>
        <row r="1394">
          <cell r="A1394" t="str">
            <v>46497-SE02</v>
          </cell>
          <cell r="B1394" t="str">
            <v>TUC - WTP Resin Replacement</v>
          </cell>
          <cell r="C1394" t="str">
            <v>FIN Approval - Internal</v>
          </cell>
          <cell r="D1394">
            <v>67</v>
          </cell>
          <cell r="E1394" t="str">
            <v>APPROVED</v>
          </cell>
          <cell r="F1394">
            <v>42308</v>
          </cell>
          <cell r="G1394">
            <v>43281</v>
          </cell>
          <cell r="H1394">
            <v>76315.81</v>
          </cell>
          <cell r="I1394" t="str">
            <v>FIN Submission</v>
          </cell>
          <cell r="J1394">
            <v>43280</v>
          </cell>
        </row>
        <row r="1395">
          <cell r="A1395" t="str">
            <v>46494-SE93</v>
          </cell>
          <cell r="B1395" t="str">
            <v>TUC3 - Chimney Refurbishment</v>
          </cell>
          <cell r="C1395" t="str">
            <v>FIN Approval - Internal</v>
          </cell>
          <cell r="D1395">
            <v>67</v>
          </cell>
          <cell r="E1395" t="str">
            <v>APPROVED</v>
          </cell>
          <cell r="F1395">
            <v>42369</v>
          </cell>
          <cell r="G1395">
            <v>43281</v>
          </cell>
          <cell r="H1395">
            <v>92683.96</v>
          </cell>
          <cell r="I1395" t="str">
            <v>FIN Submission</v>
          </cell>
          <cell r="J1395">
            <v>43280</v>
          </cell>
        </row>
        <row r="1396">
          <cell r="A1396" t="str">
            <v>46473-SD42</v>
          </cell>
          <cell r="B1396" t="str">
            <v>TUC3 - Turbine Valves</v>
          </cell>
          <cell r="C1396" t="str">
            <v>FIN Approval - Internal</v>
          </cell>
          <cell r="D1396">
            <v>67</v>
          </cell>
          <cell r="E1396" t="str">
            <v>APPROVED</v>
          </cell>
          <cell r="F1396">
            <v>42369</v>
          </cell>
          <cell r="G1396">
            <v>43281</v>
          </cell>
          <cell r="H1396">
            <v>780580.2</v>
          </cell>
          <cell r="I1396" t="str">
            <v>FIN Submission</v>
          </cell>
          <cell r="J1396">
            <v>43280</v>
          </cell>
        </row>
        <row r="1397">
          <cell r="A1397" t="str">
            <v>46713-G182</v>
          </cell>
          <cell r="B1397" t="str">
            <v>TUC5 LM6000 - Engine 191-332 Refurb</v>
          </cell>
          <cell r="C1397" t="str">
            <v>FIN Approval - Internal</v>
          </cell>
          <cell r="D1397">
            <v>67</v>
          </cell>
          <cell r="E1397" t="str">
            <v>APPROVED</v>
          </cell>
          <cell r="F1397">
            <v>42109</v>
          </cell>
          <cell r="G1397">
            <v>42977</v>
          </cell>
          <cell r="H1397">
            <v>8066077.4299999997</v>
          </cell>
          <cell r="I1397" t="str">
            <v>FIN Submission</v>
          </cell>
          <cell r="J1397">
            <v>43280</v>
          </cell>
        </row>
        <row r="1398">
          <cell r="A1398" t="str">
            <v>44592-SB89</v>
          </cell>
          <cell r="B1398" t="str">
            <v>TUC1 - U&amp;U Generator Bushing Seals</v>
          </cell>
          <cell r="C1398" t="str">
            <v>FIN Approval - Internal</v>
          </cell>
          <cell r="D1398">
            <v>68</v>
          </cell>
          <cell r="E1398" t="str">
            <v>APPROVED</v>
          </cell>
          <cell r="F1398">
            <v>41571</v>
          </cell>
          <cell r="G1398">
            <v>43281</v>
          </cell>
          <cell r="H1398">
            <v>495708.56</v>
          </cell>
          <cell r="I1398" t="str">
            <v>FIN Submission</v>
          </cell>
          <cell r="J1398">
            <v>43279</v>
          </cell>
        </row>
        <row r="1399">
          <cell r="A1399" t="str">
            <v>42991-SA67</v>
          </cell>
          <cell r="B1399" t="str">
            <v>TUC3 - U&amp;U IP/LP Refurbishment</v>
          </cell>
          <cell r="C1399" t="str">
            <v>FIN Approval - Internal</v>
          </cell>
          <cell r="D1399">
            <v>72</v>
          </cell>
          <cell r="E1399" t="str">
            <v>APPROVED</v>
          </cell>
          <cell r="F1399">
            <v>41121</v>
          </cell>
          <cell r="G1399">
            <v>43281</v>
          </cell>
          <cell r="H1399">
            <v>1737050.34</v>
          </cell>
          <cell r="I1399" t="str">
            <v>FIN Submission</v>
          </cell>
          <cell r="J1399">
            <v>43279</v>
          </cell>
        </row>
        <row r="1400">
          <cell r="A1400" t="str">
            <v>44739-SC77</v>
          </cell>
          <cell r="B1400" t="str">
            <v>TUC2- Replace precip&amp;rapper control</v>
          </cell>
          <cell r="C1400" t="str">
            <v>FIN Approval - Internal</v>
          </cell>
          <cell r="D1400">
            <v>82</v>
          </cell>
          <cell r="E1400" t="str">
            <v>APPROVED</v>
          </cell>
          <cell r="F1400">
            <v>42155</v>
          </cell>
          <cell r="G1400">
            <v>43281</v>
          </cell>
          <cell r="H1400">
            <v>156114.92000000001</v>
          </cell>
          <cell r="I1400" t="str">
            <v>FIN Submission</v>
          </cell>
          <cell r="J1400">
            <v>43279</v>
          </cell>
        </row>
        <row r="1401">
          <cell r="A1401" t="str">
            <v>44738-SC69</v>
          </cell>
          <cell r="B1401" t="str">
            <v>TUC3 -Battery bank inverter&amp;charger</v>
          </cell>
          <cell r="C1401" t="str">
            <v>FIN Approval - Internal</v>
          </cell>
          <cell r="D1401">
            <v>82</v>
          </cell>
          <cell r="E1401" t="str">
            <v>APPROVED</v>
          </cell>
          <cell r="F1401">
            <v>42369</v>
          </cell>
          <cell r="G1401">
            <v>43281</v>
          </cell>
          <cell r="H1401">
            <v>165310.87</v>
          </cell>
          <cell r="I1401" t="str">
            <v>FIN Submission</v>
          </cell>
          <cell r="J1401">
            <v>43279</v>
          </cell>
        </row>
        <row r="1402">
          <cell r="A1402" t="str">
            <v>44188-SB67</v>
          </cell>
          <cell r="B1402" t="str">
            <v>TRE Ash Site Phase 1 Capping</v>
          </cell>
          <cell r="C1402" t="str">
            <v>FIN Approval - Internal</v>
          </cell>
          <cell r="D1402">
            <v>88</v>
          </cell>
          <cell r="E1402" t="str">
            <v>APPROVED</v>
          </cell>
          <cell r="F1402">
            <v>42628</v>
          </cell>
          <cell r="G1402">
            <v>43023</v>
          </cell>
          <cell r="H1402">
            <v>5021932.08</v>
          </cell>
          <cell r="I1402" t="str">
            <v>FIN Submission</v>
          </cell>
          <cell r="J1402">
            <v>43279</v>
          </cell>
        </row>
        <row r="1403">
          <cell r="A1403" t="str">
            <v>42941-SC24</v>
          </cell>
          <cell r="B1403" t="str">
            <v>TUC3 - DCS Upgrade Phase II</v>
          </cell>
          <cell r="C1403" t="str">
            <v>FIN Approval - Internal</v>
          </cell>
          <cell r="D1403">
            <v>97</v>
          </cell>
          <cell r="E1403" t="str">
            <v>APPROVED</v>
          </cell>
          <cell r="F1403">
            <v>42369</v>
          </cell>
          <cell r="G1403">
            <v>43281</v>
          </cell>
          <cell r="H1403">
            <v>215323.16</v>
          </cell>
          <cell r="I1403" t="str">
            <v>FIN Submission</v>
          </cell>
          <cell r="J1403">
            <v>43279</v>
          </cell>
        </row>
        <row r="1404">
          <cell r="A1404" t="str">
            <v>43291-T786</v>
          </cell>
          <cell r="B1404" t="str">
            <v>67N-Onslow BPS Upgrades 230KV</v>
          </cell>
          <cell r="C1404" t="str">
            <v>FIN Approval - Internal</v>
          </cell>
          <cell r="D1404">
            <v>100</v>
          </cell>
          <cell r="E1404" t="str">
            <v>APPROVED</v>
          </cell>
          <cell r="F1404">
            <v>42428</v>
          </cell>
          <cell r="G1404">
            <v>42916</v>
          </cell>
          <cell r="H1404">
            <v>3362634.16</v>
          </cell>
          <cell r="I1404" t="str">
            <v>FIN Submission</v>
          </cell>
          <cell r="J1404">
            <v>43279</v>
          </cell>
        </row>
        <row r="1405">
          <cell r="A1405" t="str">
            <v>41228-S868</v>
          </cell>
          <cell r="B1405" t="str">
            <v>TUC - Unit 3 Turbine HP Impulse Bla</v>
          </cell>
          <cell r="C1405" t="str">
            <v>FIN Approval - Internal</v>
          </cell>
          <cell r="D1405">
            <v>102</v>
          </cell>
          <cell r="E1405" t="str">
            <v>APPROVED</v>
          </cell>
          <cell r="F1405">
            <v>41151</v>
          </cell>
          <cell r="G1405">
            <v>43281</v>
          </cell>
          <cell r="H1405">
            <v>1674905.99</v>
          </cell>
          <cell r="I1405" t="str">
            <v>FIN Submission</v>
          </cell>
          <cell r="J1405">
            <v>43279</v>
          </cell>
        </row>
        <row r="1406">
          <cell r="A1406" t="str">
            <v>41843-S979</v>
          </cell>
          <cell r="B1406" t="str">
            <v>TUC2 UU HP/IP Blades Replacement</v>
          </cell>
          <cell r="C1406" t="str">
            <v>FIN Approval - Internal</v>
          </cell>
          <cell r="D1406">
            <v>111</v>
          </cell>
          <cell r="E1406" t="str">
            <v>APPROVED</v>
          </cell>
          <cell r="F1406">
            <v>41364</v>
          </cell>
          <cell r="G1406">
            <v>43281</v>
          </cell>
          <cell r="H1406">
            <v>4159160.44</v>
          </cell>
          <cell r="I1406" t="str">
            <v>FIN Submission</v>
          </cell>
          <cell r="J1406">
            <v>43279</v>
          </cell>
        </row>
        <row r="1407">
          <cell r="A1407" t="str">
            <v>39780-S791</v>
          </cell>
          <cell r="B1407" t="str">
            <v>TUC1 CW Intake Structural Refurbish</v>
          </cell>
          <cell r="C1407" t="str">
            <v>FIN Approval - Internal</v>
          </cell>
          <cell r="D1407">
            <v>135</v>
          </cell>
          <cell r="E1407" t="str">
            <v>APPROVED</v>
          </cell>
          <cell r="F1407">
            <v>40847</v>
          </cell>
          <cell r="G1407">
            <v>43281</v>
          </cell>
          <cell r="H1407">
            <v>714698.64</v>
          </cell>
          <cell r="I1407" t="str">
            <v>FIN Submission</v>
          </cell>
          <cell r="J1407">
            <v>43279</v>
          </cell>
        </row>
        <row r="1408">
          <cell r="A1408" t="str">
            <v>40207-S891</v>
          </cell>
          <cell r="B1408" t="str">
            <v>TUC- CO2 Purge System Upgrade</v>
          </cell>
          <cell r="C1408" t="str">
            <v>FIN Approval - Internal</v>
          </cell>
          <cell r="D1408">
            <v>147</v>
          </cell>
          <cell r="E1408" t="str">
            <v>APPROVED</v>
          </cell>
          <cell r="F1408">
            <v>41912</v>
          </cell>
          <cell r="G1408">
            <v>43281</v>
          </cell>
          <cell r="H1408">
            <v>244144.63</v>
          </cell>
          <cell r="I1408" t="str">
            <v>FIN Submission</v>
          </cell>
          <cell r="J1408">
            <v>43279</v>
          </cell>
        </row>
        <row r="1409">
          <cell r="A1409" t="str">
            <v>29065-G217</v>
          </cell>
          <cell r="B1409" t="str">
            <v>CT- BGT 3 Replace Halon Fire Prot.</v>
          </cell>
          <cell r="C1409" t="str">
            <v>FIN Approval - Internal</v>
          </cell>
          <cell r="D1409">
            <v>191</v>
          </cell>
          <cell r="E1409" t="str">
            <v>APPROVED</v>
          </cell>
          <cell r="F1409">
            <v>42735</v>
          </cell>
          <cell r="G1409">
            <v>42977</v>
          </cell>
          <cell r="H1409">
            <v>52111.61</v>
          </cell>
          <cell r="I1409" t="str">
            <v>FIN Submission</v>
          </cell>
          <cell r="J1409">
            <v>43279</v>
          </cell>
        </row>
        <row r="1410">
          <cell r="A1410" t="str">
            <v>C0001119</v>
          </cell>
          <cell r="B1410" t="str">
            <v>TRE6 Burner Refurbishment U&amp;U</v>
          </cell>
          <cell r="C1410" t="str">
            <v>FIN Approval - Internal</v>
          </cell>
          <cell r="D1410">
            <v>17</v>
          </cell>
          <cell r="E1410" t="str">
            <v>APPROVED</v>
          </cell>
          <cell r="F1410">
            <v>43054</v>
          </cell>
          <cell r="G1410">
            <v>43084</v>
          </cell>
          <cell r="H1410">
            <v>50149.2</v>
          </cell>
          <cell r="I1410" t="str">
            <v>FIN Submission</v>
          </cell>
          <cell r="J1410">
            <v>43272</v>
          </cell>
        </row>
        <row r="1411">
          <cell r="A1411" t="str">
            <v>47661-SF35</v>
          </cell>
          <cell r="B1411" t="str">
            <v>POT - Asbestos management 2016</v>
          </cell>
          <cell r="C1411" t="str">
            <v>FIN Approval - External</v>
          </cell>
          <cell r="D1411">
            <v>47</v>
          </cell>
          <cell r="E1411" t="str">
            <v>APPROVED</v>
          </cell>
          <cell r="F1411">
            <v>42490</v>
          </cell>
          <cell r="G1411">
            <v>42977</v>
          </cell>
          <cell r="H1411">
            <v>347326.33</v>
          </cell>
          <cell r="I1411" t="str">
            <v>FIN Submission</v>
          </cell>
          <cell r="J1411">
            <v>43259</v>
          </cell>
        </row>
        <row r="1412">
          <cell r="A1412" t="str">
            <v>23125-H638</v>
          </cell>
          <cell r="B1412" t="str">
            <v>HYD - Sissiboo Electrical Replace</v>
          </cell>
          <cell r="C1412" t="str">
            <v>FIN Approval - External</v>
          </cell>
          <cell r="D1412">
            <v>185</v>
          </cell>
          <cell r="E1412" t="str">
            <v>APPROVED</v>
          </cell>
          <cell r="F1412">
            <v>42400</v>
          </cell>
          <cell r="G1412">
            <v>42735</v>
          </cell>
          <cell r="H1412">
            <v>1203547.27</v>
          </cell>
          <cell r="I1412" t="str">
            <v>FIN Submission</v>
          </cell>
          <cell r="J1412">
            <v>43259</v>
          </cell>
        </row>
        <row r="1413">
          <cell r="A1413" t="str">
            <v>47607-SG82</v>
          </cell>
          <cell r="B1413" t="str">
            <v>TRE Common Water Piping Replacemen</v>
          </cell>
          <cell r="C1413" t="str">
            <v>FIN Approval - Internal</v>
          </cell>
          <cell r="D1413">
            <v>50</v>
          </cell>
          <cell r="E1413" t="str">
            <v>APPROVED</v>
          </cell>
          <cell r="F1413">
            <v>43084</v>
          </cell>
          <cell r="G1413">
            <v>43084</v>
          </cell>
          <cell r="H1413">
            <v>135990.75</v>
          </cell>
          <cell r="I1413" t="str">
            <v>FIN Submission</v>
          </cell>
          <cell r="J1413">
            <v>43216</v>
          </cell>
        </row>
        <row r="1414">
          <cell r="A1414" t="str">
            <v>50072-SH10</v>
          </cell>
          <cell r="B1414" t="str">
            <v>POA UU 4160v Motor and Cable Refur</v>
          </cell>
          <cell r="C1414" t="str">
            <v>FIN Approval - Internal</v>
          </cell>
          <cell r="D1414">
            <v>17</v>
          </cell>
          <cell r="E1414" t="str">
            <v>APPROVED</v>
          </cell>
          <cell r="F1414">
            <v>42651</v>
          </cell>
          <cell r="G1414">
            <v>43077</v>
          </cell>
          <cell r="H1414">
            <v>43881.56</v>
          </cell>
          <cell r="I1414" t="str">
            <v>FIN Submission</v>
          </cell>
          <cell r="J1414">
            <v>42986</v>
          </cell>
        </row>
        <row r="1415">
          <cell r="A1415" t="str">
            <v>49071-SG47</v>
          </cell>
          <cell r="B1415" t="str">
            <v>POA UU Coal Feed System Refurb</v>
          </cell>
          <cell r="C1415" t="str">
            <v>FIN Approval - Internal</v>
          </cell>
          <cell r="D1415">
            <v>25</v>
          </cell>
          <cell r="E1415" t="str">
            <v>APPROVED</v>
          </cell>
          <cell r="F1415">
            <v>42661</v>
          </cell>
          <cell r="G1415">
            <v>43087</v>
          </cell>
          <cell r="H1415">
            <v>307321.06</v>
          </cell>
          <cell r="I1415" t="str">
            <v/>
          </cell>
          <cell r="J1415">
            <v>42986</v>
          </cell>
        </row>
        <row r="1416">
          <cell r="A1416" t="str">
            <v>48371-SF24</v>
          </cell>
          <cell r="B1416" t="str">
            <v>POA - UU LS Injection System Refurb</v>
          </cell>
          <cell r="C1416" t="str">
            <v>FIN Approval - Internal</v>
          </cell>
          <cell r="D1416">
            <v>28</v>
          </cell>
          <cell r="E1416" t="str">
            <v>APPROVED</v>
          </cell>
          <cell r="F1416">
            <v>42338</v>
          </cell>
          <cell r="G1416">
            <v>42794</v>
          </cell>
          <cell r="H1416">
            <v>119256.39</v>
          </cell>
          <cell r="I1416" t="str">
            <v>FIN Submission</v>
          </cell>
          <cell r="J1416">
            <v>42986</v>
          </cell>
        </row>
        <row r="1417">
          <cell r="A1417" t="str">
            <v>48353-SF10</v>
          </cell>
          <cell r="B1417" t="str">
            <v>POA UU Ash System Refurbishmnt 2015</v>
          </cell>
          <cell r="C1417" t="str">
            <v>FIN Approval - Internal</v>
          </cell>
          <cell r="D1417">
            <v>28</v>
          </cell>
          <cell r="E1417" t="str">
            <v>APPROVED</v>
          </cell>
          <cell r="F1417">
            <v>42336</v>
          </cell>
          <cell r="G1417">
            <v>42916</v>
          </cell>
          <cell r="H1417">
            <v>193330.8</v>
          </cell>
          <cell r="I1417" t="str">
            <v>FIN Submission</v>
          </cell>
          <cell r="J1417">
            <v>42986</v>
          </cell>
        </row>
        <row r="1418">
          <cell r="A1418" t="str">
            <v>46731-SD48</v>
          </cell>
          <cell r="B1418" t="str">
            <v>POA UU Coal Cracker Refurbishment</v>
          </cell>
          <cell r="C1418" t="str">
            <v>FIN Approval - Internal</v>
          </cell>
          <cell r="D1418">
            <v>39</v>
          </cell>
          <cell r="E1418" t="str">
            <v>APPROVED</v>
          </cell>
          <cell r="F1418">
            <v>41959</v>
          </cell>
          <cell r="G1418">
            <v>43085</v>
          </cell>
          <cell r="H1418">
            <v>108203.99</v>
          </cell>
          <cell r="I1418" t="str">
            <v>FIN Submission</v>
          </cell>
          <cell r="J1418">
            <v>42986</v>
          </cell>
        </row>
        <row r="1419">
          <cell r="A1419" t="str">
            <v>46674-SE69</v>
          </cell>
          <cell r="B1419" t="str">
            <v>POA - SH3 Tube Replacement</v>
          </cell>
          <cell r="C1419" t="str">
            <v>FIN Approval - Internal</v>
          </cell>
          <cell r="D1419">
            <v>46</v>
          </cell>
          <cell r="E1419" t="str">
            <v>APPROVED</v>
          </cell>
          <cell r="F1419">
            <v>42280</v>
          </cell>
          <cell r="G1419">
            <v>43072</v>
          </cell>
          <cell r="H1419">
            <v>594712.9</v>
          </cell>
          <cell r="I1419" t="str">
            <v>FIN Submission</v>
          </cell>
          <cell r="J1419">
            <v>42986</v>
          </cell>
        </row>
        <row r="1420">
          <cell r="A1420" t="str">
            <v>46874-SD66</v>
          </cell>
          <cell r="B1420" t="str">
            <v>POA Automated Condenser Cleaner</v>
          </cell>
          <cell r="C1420" t="str">
            <v>FIN Approval - Internal</v>
          </cell>
          <cell r="D1420">
            <v>46</v>
          </cell>
          <cell r="E1420" t="str">
            <v>APPROVED</v>
          </cell>
          <cell r="F1420">
            <v>42307</v>
          </cell>
          <cell r="G1420">
            <v>42916</v>
          </cell>
          <cell r="H1420">
            <v>865815.79</v>
          </cell>
          <cell r="I1420" t="str">
            <v/>
          </cell>
          <cell r="J1420">
            <v>42986</v>
          </cell>
        </row>
        <row r="1421">
          <cell r="A1421" t="str">
            <v>46733-SD50</v>
          </cell>
          <cell r="B1421" t="str">
            <v>POA UU HP IP Diaphragm Nozzle Refur</v>
          </cell>
          <cell r="C1421" t="str">
            <v>FIN Approval - Internal</v>
          </cell>
          <cell r="D1421">
            <v>46</v>
          </cell>
          <cell r="E1421" t="str">
            <v>APPROVED</v>
          </cell>
          <cell r="F1421">
            <v>41960</v>
          </cell>
          <cell r="G1421">
            <v>43008</v>
          </cell>
          <cell r="H1421">
            <v>1190852.4099999999</v>
          </cell>
          <cell r="I1421" t="str">
            <v>FIN Submission</v>
          </cell>
          <cell r="J1421">
            <v>42986</v>
          </cell>
        </row>
        <row r="1422">
          <cell r="A1422" t="str">
            <v>46509-SE27</v>
          </cell>
          <cell r="B1422" t="str">
            <v>POA Arrowhead Replacement</v>
          </cell>
          <cell r="C1422" t="str">
            <v>FIN Approval - Internal</v>
          </cell>
          <cell r="D1422">
            <v>48</v>
          </cell>
          <cell r="E1422" t="str">
            <v>APPROVED</v>
          </cell>
          <cell r="F1422">
            <v>42278</v>
          </cell>
          <cell r="G1422">
            <v>43100</v>
          </cell>
          <cell r="H1422">
            <v>243166.8</v>
          </cell>
          <cell r="I1422" t="str">
            <v>FIN Submission</v>
          </cell>
          <cell r="J1422">
            <v>42986</v>
          </cell>
        </row>
        <row r="1423">
          <cell r="A1423" t="str">
            <v>46462-SD87</v>
          </cell>
          <cell r="B1423" t="str">
            <v>POA - Boiler Refractory Repl. 2015</v>
          </cell>
          <cell r="C1423" t="str">
            <v>FIN Approval - Internal</v>
          </cell>
          <cell r="D1423">
            <v>49</v>
          </cell>
          <cell r="E1423" t="str">
            <v>APPROVED</v>
          </cell>
          <cell r="F1423">
            <v>42295</v>
          </cell>
          <cell r="G1423">
            <v>42765</v>
          </cell>
          <cell r="H1423">
            <v>745407.28</v>
          </cell>
          <cell r="I1423" t="str">
            <v>FIN Submission</v>
          </cell>
          <cell r="J1423">
            <v>42986</v>
          </cell>
        </row>
        <row r="1424">
          <cell r="A1424" t="str">
            <v>46510-SE03</v>
          </cell>
          <cell r="B1424" t="str">
            <v>POA Expansion Joint Replacemnt 2015</v>
          </cell>
          <cell r="C1424" t="str">
            <v>FIN Approval - Internal</v>
          </cell>
          <cell r="D1424">
            <v>49</v>
          </cell>
          <cell r="E1424" t="str">
            <v>APPROVED</v>
          </cell>
          <cell r="F1424">
            <v>42277</v>
          </cell>
          <cell r="G1424">
            <v>42916</v>
          </cell>
          <cell r="H1424">
            <v>89473.66</v>
          </cell>
          <cell r="I1424" t="str">
            <v>FIN Submission</v>
          </cell>
          <cell r="J1424">
            <v>42986</v>
          </cell>
        </row>
        <row r="1425">
          <cell r="A1425" t="str">
            <v>46511-SE62</v>
          </cell>
          <cell r="B1425" t="str">
            <v>POA Boiler Refurbishment 2015</v>
          </cell>
          <cell r="C1425" t="str">
            <v>FIN Approval - Internal</v>
          </cell>
          <cell r="D1425">
            <v>50</v>
          </cell>
          <cell r="E1425" t="str">
            <v>APPROVED</v>
          </cell>
          <cell r="F1425">
            <v>42278</v>
          </cell>
          <cell r="G1425">
            <v>43090</v>
          </cell>
          <cell r="H1425">
            <v>931086.09</v>
          </cell>
          <cell r="I1425" t="str">
            <v>FIN Submission</v>
          </cell>
          <cell r="J1425">
            <v>42986</v>
          </cell>
        </row>
        <row r="1426">
          <cell r="A1426" t="str">
            <v>46064-SD95</v>
          </cell>
          <cell r="B1426" t="str">
            <v>POA Coal System Guard Upgrade</v>
          </cell>
          <cell r="C1426" t="str">
            <v>FIN Approval - Internal</v>
          </cell>
          <cell r="D1426">
            <v>53</v>
          </cell>
          <cell r="E1426" t="str">
            <v>APPROVED</v>
          </cell>
          <cell r="F1426">
            <v>42293</v>
          </cell>
          <cell r="G1426">
            <v>43100</v>
          </cell>
          <cell r="H1426">
            <v>133757.63</v>
          </cell>
          <cell r="I1426" t="str">
            <v/>
          </cell>
          <cell r="J1426">
            <v>42986</v>
          </cell>
        </row>
        <row r="1427">
          <cell r="A1427" t="str">
            <v>44830-SC10</v>
          </cell>
          <cell r="B1427" t="str">
            <v>POA - U&amp;U Economizer Tube Bend 2013</v>
          </cell>
          <cell r="C1427" t="str">
            <v>FIN Approval - Internal</v>
          </cell>
          <cell r="D1427">
            <v>16</v>
          </cell>
          <cell r="E1427" t="str">
            <v>APPROVED</v>
          </cell>
          <cell r="F1427">
            <v>41487</v>
          </cell>
          <cell r="G1427">
            <v>43039</v>
          </cell>
          <cell r="H1427">
            <v>369710</v>
          </cell>
          <cell r="I1427" t="str">
            <v>FIN Submission</v>
          </cell>
          <cell r="J1427">
            <v>42985</v>
          </cell>
        </row>
        <row r="1428">
          <cell r="A1428" t="str">
            <v>43886-SB21</v>
          </cell>
          <cell r="B1428" t="str">
            <v>POA UU CW Motor Heat Exchanger Refu</v>
          </cell>
          <cell r="C1428" t="str">
            <v>FIN Approval - Internal</v>
          </cell>
          <cell r="D1428">
            <v>25</v>
          </cell>
          <cell r="E1428" t="str">
            <v>APPROVED</v>
          </cell>
          <cell r="F1428">
            <v>41029</v>
          </cell>
          <cell r="G1428">
            <v>43100</v>
          </cell>
          <cell r="H1428">
            <v>143583.79999999999</v>
          </cell>
          <cell r="I1428" t="str">
            <v>FIN Submission</v>
          </cell>
          <cell r="J1428">
            <v>42985</v>
          </cell>
        </row>
        <row r="1429">
          <cell r="A1429" t="str">
            <v>43149-SB57</v>
          </cell>
          <cell r="B1429" t="str">
            <v>POA - 4KV / 600V Breaker Refurb</v>
          </cell>
          <cell r="C1429" t="str">
            <v>FIN Approval - Internal</v>
          </cell>
          <cell r="D1429">
            <v>32</v>
          </cell>
          <cell r="E1429" t="str">
            <v>APPROVED</v>
          </cell>
          <cell r="F1429">
            <v>41547</v>
          </cell>
          <cell r="G1429">
            <v>43038</v>
          </cell>
          <cell r="H1429">
            <v>73280.94</v>
          </cell>
          <cell r="I1429" t="str">
            <v>FIN Submission</v>
          </cell>
          <cell r="J1429">
            <v>42985</v>
          </cell>
        </row>
        <row r="1430">
          <cell r="A1430" t="str">
            <v>46062-SE12</v>
          </cell>
          <cell r="B1430" t="str">
            <v>POA Valve Component Repl. 2015</v>
          </cell>
          <cell r="C1430" t="str">
            <v>FIN Approval - Internal</v>
          </cell>
          <cell r="D1430">
            <v>50</v>
          </cell>
          <cell r="E1430" t="str">
            <v>APPROVED</v>
          </cell>
          <cell r="F1430">
            <v>42308</v>
          </cell>
          <cell r="G1430">
            <v>43100</v>
          </cell>
          <cell r="H1430">
            <v>100990.25</v>
          </cell>
          <cell r="I1430" t="str">
            <v>FIN Submission</v>
          </cell>
          <cell r="J1430">
            <v>42985</v>
          </cell>
        </row>
        <row r="1431">
          <cell r="A1431" t="str">
            <v>46061-SD93</v>
          </cell>
          <cell r="B1431" t="str">
            <v>POA CW Valve Replacement</v>
          </cell>
          <cell r="C1431" t="str">
            <v>FIN Approval - Internal</v>
          </cell>
          <cell r="D1431">
            <v>51</v>
          </cell>
          <cell r="E1431" t="str">
            <v>APPROVED</v>
          </cell>
          <cell r="F1431">
            <v>42292</v>
          </cell>
          <cell r="G1431">
            <v>43100</v>
          </cell>
          <cell r="H1431">
            <v>382127.4</v>
          </cell>
          <cell r="I1431" t="str">
            <v>FIN Submission</v>
          </cell>
          <cell r="J1431">
            <v>42985</v>
          </cell>
        </row>
        <row r="1432">
          <cell r="A1432" t="str">
            <v>45047-SD21</v>
          </cell>
          <cell r="B1432" t="str">
            <v>POA - Boiler Refurbishment 2014</v>
          </cell>
          <cell r="C1432" t="str">
            <v>FIN Approval - Internal</v>
          </cell>
          <cell r="D1432">
            <v>57</v>
          </cell>
          <cell r="E1432" t="str">
            <v>APPROVED</v>
          </cell>
          <cell r="F1432">
            <v>41943</v>
          </cell>
          <cell r="G1432">
            <v>42825</v>
          </cell>
          <cell r="H1432">
            <v>282419.56</v>
          </cell>
          <cell r="I1432" t="str">
            <v>FIN Submission</v>
          </cell>
          <cell r="J1432">
            <v>42985</v>
          </cell>
        </row>
        <row r="1433">
          <cell r="A1433" t="str">
            <v>44647-SC58</v>
          </cell>
          <cell r="B1433" t="str">
            <v>POA - Arrowhead Replacements 2014</v>
          </cell>
          <cell r="C1433" t="str">
            <v>FIN Approval - Internal</v>
          </cell>
          <cell r="D1433">
            <v>58</v>
          </cell>
          <cell r="E1433" t="str">
            <v>APPROVED</v>
          </cell>
          <cell r="F1433">
            <v>41943</v>
          </cell>
          <cell r="G1433">
            <v>43100</v>
          </cell>
          <cell r="H1433">
            <v>224881.65</v>
          </cell>
          <cell r="I1433" t="str">
            <v>FIN Submission</v>
          </cell>
          <cell r="J1433">
            <v>42985</v>
          </cell>
        </row>
        <row r="1434">
          <cell r="A1434" t="str">
            <v>44707-SC90</v>
          </cell>
          <cell r="B1434" t="str">
            <v>POA - HP/IP Seal Repair</v>
          </cell>
          <cell r="C1434" t="str">
            <v>FIN Approval - Internal</v>
          </cell>
          <cell r="D1434">
            <v>58</v>
          </cell>
          <cell r="E1434" t="str">
            <v>APPROVED</v>
          </cell>
          <cell r="F1434">
            <v>41927</v>
          </cell>
          <cell r="G1434">
            <v>42947</v>
          </cell>
          <cell r="H1434">
            <v>659233.38</v>
          </cell>
          <cell r="I1434" t="str">
            <v>FIN Submission</v>
          </cell>
          <cell r="J1434">
            <v>42985</v>
          </cell>
        </row>
        <row r="1435">
          <cell r="A1435" t="str">
            <v>44711-SC71</v>
          </cell>
          <cell r="B1435" t="str">
            <v>POA - Emissions Capture Program</v>
          </cell>
          <cell r="C1435" t="str">
            <v>FIN Approval - Internal</v>
          </cell>
          <cell r="D1435">
            <v>64</v>
          </cell>
          <cell r="E1435" t="str">
            <v>APPROVED</v>
          </cell>
          <cell r="F1435">
            <v>41943</v>
          </cell>
          <cell r="G1435">
            <v>43100</v>
          </cell>
          <cell r="H1435">
            <v>199765.06</v>
          </cell>
          <cell r="I1435" t="str">
            <v>FIN Submission</v>
          </cell>
          <cell r="J1435">
            <v>42985</v>
          </cell>
        </row>
        <row r="1436">
          <cell r="A1436" t="str">
            <v>44780-SC86</v>
          </cell>
          <cell r="B1436" t="str">
            <v>POA - Turbine Fire Supression</v>
          </cell>
          <cell r="C1436" t="str">
            <v>FIN Approval - Internal</v>
          </cell>
          <cell r="D1436">
            <v>64</v>
          </cell>
          <cell r="E1436" t="str">
            <v>APPROVED</v>
          </cell>
          <cell r="F1436">
            <v>42308</v>
          </cell>
          <cell r="G1436">
            <v>43099</v>
          </cell>
          <cell r="H1436">
            <v>430790.67</v>
          </cell>
          <cell r="I1436" t="str">
            <v>FIN Submission</v>
          </cell>
          <cell r="J1436">
            <v>42985</v>
          </cell>
        </row>
        <row r="1437">
          <cell r="A1437" t="str">
            <v>43951-SB37</v>
          </cell>
          <cell r="B1437" t="str">
            <v>POA - U&amp;U Main Boiler Stop Valve Re</v>
          </cell>
          <cell r="C1437" t="str">
            <v>FIN Approval - Internal</v>
          </cell>
          <cell r="D1437">
            <v>67</v>
          </cell>
          <cell r="E1437" t="str">
            <v>APPROVED</v>
          </cell>
          <cell r="F1437">
            <v>41943</v>
          </cell>
          <cell r="G1437">
            <v>42947</v>
          </cell>
          <cell r="H1437">
            <v>552402.88</v>
          </cell>
          <cell r="I1437" t="str">
            <v>FIN Submission</v>
          </cell>
          <cell r="J1437">
            <v>42985</v>
          </cell>
        </row>
        <row r="1438">
          <cell r="A1438" t="str">
            <v>43147-SB81</v>
          </cell>
          <cell r="B1438" t="str">
            <v>POA - HP Blower Program</v>
          </cell>
          <cell r="C1438" t="str">
            <v>FIN Approval - Internal</v>
          </cell>
          <cell r="D1438">
            <v>73</v>
          </cell>
          <cell r="E1438" t="str">
            <v>APPROVED</v>
          </cell>
          <cell r="F1438">
            <v>41547</v>
          </cell>
          <cell r="G1438">
            <v>42948</v>
          </cell>
          <cell r="H1438">
            <v>61101.71</v>
          </cell>
          <cell r="I1438" t="str">
            <v>FIN Submission</v>
          </cell>
          <cell r="J1438">
            <v>42985</v>
          </cell>
        </row>
        <row r="1439">
          <cell r="A1439" t="str">
            <v>43148-SB63</v>
          </cell>
          <cell r="B1439" t="str">
            <v>POA - 4KV Motor Refurb Program</v>
          </cell>
          <cell r="C1439" t="str">
            <v>FIN Approval - Internal</v>
          </cell>
          <cell r="D1439">
            <v>74</v>
          </cell>
          <cell r="E1439" t="str">
            <v>APPROVED</v>
          </cell>
          <cell r="F1439">
            <v>41487</v>
          </cell>
          <cell r="G1439">
            <v>42767</v>
          </cell>
          <cell r="H1439">
            <v>58992.87</v>
          </cell>
          <cell r="I1439" t="str">
            <v>FIN Submission</v>
          </cell>
          <cell r="J1439">
            <v>42985</v>
          </cell>
        </row>
        <row r="1440">
          <cell r="A1440" t="str">
            <v>43152-SB93</v>
          </cell>
          <cell r="B1440" t="str">
            <v>POA - Hydrazine Replacement</v>
          </cell>
          <cell r="C1440" t="str">
            <v>FIN Approval - Internal</v>
          </cell>
          <cell r="D1440">
            <v>74</v>
          </cell>
          <cell r="E1440" t="str">
            <v>APPROVED</v>
          </cell>
          <cell r="F1440">
            <v>41923</v>
          </cell>
          <cell r="G1440">
            <v>42825</v>
          </cell>
          <cell r="H1440">
            <v>61682.38</v>
          </cell>
          <cell r="I1440" t="str">
            <v>FIN Submission</v>
          </cell>
          <cell r="J1440">
            <v>42985</v>
          </cell>
        </row>
        <row r="1441">
          <cell r="A1441" t="str">
            <v>43111-SB88</v>
          </cell>
          <cell r="B1441" t="str">
            <v>POA Boiler Refractory Replcmnt 2013</v>
          </cell>
          <cell r="C1441" t="str">
            <v>FIN Approval - Internal</v>
          </cell>
          <cell r="D1441">
            <v>74</v>
          </cell>
          <cell r="E1441" t="str">
            <v>APPROVED</v>
          </cell>
          <cell r="F1441">
            <v>41440</v>
          </cell>
          <cell r="G1441">
            <v>42766</v>
          </cell>
          <cell r="H1441">
            <v>790886.38</v>
          </cell>
          <cell r="I1441" t="str">
            <v>FIN Submission</v>
          </cell>
          <cell r="J1441">
            <v>42985</v>
          </cell>
        </row>
        <row r="1442">
          <cell r="A1442" t="str">
            <v>44528-SB95</v>
          </cell>
          <cell r="B1442" t="str">
            <v>POA Cell4 Stage II Residue Manageme</v>
          </cell>
          <cell r="C1442" t="str">
            <v>FIN Approval - Internal</v>
          </cell>
          <cell r="D1442">
            <v>74</v>
          </cell>
          <cell r="E1442" t="str">
            <v>APPROVED</v>
          </cell>
          <cell r="F1442">
            <v>41897</v>
          </cell>
          <cell r="G1442">
            <v>42947</v>
          </cell>
          <cell r="H1442">
            <v>3413052.78</v>
          </cell>
          <cell r="I1442" t="str">
            <v/>
          </cell>
          <cell r="J1442">
            <v>42985</v>
          </cell>
        </row>
        <row r="1443">
          <cell r="A1443" t="str">
            <v>43135-SC41</v>
          </cell>
          <cell r="B1443" t="str">
            <v>POA - AVR Replacement</v>
          </cell>
          <cell r="C1443" t="str">
            <v>FIN Approval - Internal</v>
          </cell>
          <cell r="D1443">
            <v>75</v>
          </cell>
          <cell r="E1443" t="str">
            <v>APPROVED</v>
          </cell>
          <cell r="F1443">
            <v>41927</v>
          </cell>
          <cell r="G1443">
            <v>42825</v>
          </cell>
          <cell r="H1443">
            <v>692644.25</v>
          </cell>
          <cell r="I1443" t="str">
            <v>FIN Submission</v>
          </cell>
          <cell r="J1443">
            <v>42985</v>
          </cell>
        </row>
        <row r="1444">
          <cell r="A1444" t="str">
            <v>43115-SB69</v>
          </cell>
          <cell r="B1444" t="str">
            <v>POA - 2013 Valve Refurb Program</v>
          </cell>
          <cell r="C1444" t="str">
            <v>FIN Approval - Internal</v>
          </cell>
          <cell r="D1444">
            <v>76</v>
          </cell>
          <cell r="E1444" t="str">
            <v>APPROVED</v>
          </cell>
          <cell r="F1444">
            <v>41485</v>
          </cell>
          <cell r="G1444">
            <v>42855</v>
          </cell>
          <cell r="H1444">
            <v>113250.95</v>
          </cell>
          <cell r="I1444" t="str">
            <v>FIN Submission</v>
          </cell>
          <cell r="J1444">
            <v>42985</v>
          </cell>
        </row>
        <row r="1445">
          <cell r="A1445" t="str">
            <v>43150-SB64</v>
          </cell>
          <cell r="B1445" t="str">
            <v>POA 2013 Boiler Arrowhead Rplc</v>
          </cell>
          <cell r="C1445" t="str">
            <v>FIN Approval - Internal</v>
          </cell>
          <cell r="D1445">
            <v>76</v>
          </cell>
          <cell r="E1445" t="str">
            <v>APPROVED</v>
          </cell>
          <cell r="F1445">
            <v>41487</v>
          </cell>
          <cell r="G1445">
            <v>42794</v>
          </cell>
          <cell r="H1445">
            <v>160608.16</v>
          </cell>
          <cell r="I1445" t="str">
            <v>FIN Submission</v>
          </cell>
          <cell r="J1445">
            <v>42985</v>
          </cell>
        </row>
        <row r="1446">
          <cell r="A1446" t="str">
            <v>43241-SB58</v>
          </cell>
          <cell r="B1446" t="str">
            <v>POA - PLC Migration Program</v>
          </cell>
          <cell r="C1446" t="str">
            <v>FIN Approval - Internal</v>
          </cell>
          <cell r="D1446">
            <v>80</v>
          </cell>
          <cell r="E1446" t="str">
            <v>APPROVED</v>
          </cell>
          <cell r="F1446">
            <v>41516</v>
          </cell>
          <cell r="G1446">
            <v>43039</v>
          </cell>
          <cell r="H1446">
            <v>108139.91</v>
          </cell>
          <cell r="I1446" t="str">
            <v>FIN Submission</v>
          </cell>
          <cell r="J1446">
            <v>42985</v>
          </cell>
        </row>
        <row r="1447">
          <cell r="A1447" t="str">
            <v>43120-SB40</v>
          </cell>
          <cell r="B1447" t="str">
            <v>POA - UPS Chargers Replacement</v>
          </cell>
          <cell r="C1447" t="str">
            <v>FIN Approval - Internal</v>
          </cell>
          <cell r="D1447">
            <v>80</v>
          </cell>
          <cell r="E1447" t="str">
            <v>APPROVED</v>
          </cell>
          <cell r="F1447">
            <v>42307</v>
          </cell>
          <cell r="G1447">
            <v>42766</v>
          </cell>
          <cell r="H1447">
            <v>149975.22</v>
          </cell>
          <cell r="I1447" t="str">
            <v>FIN Submission</v>
          </cell>
          <cell r="J1447">
            <v>42985</v>
          </cell>
        </row>
        <row r="1448">
          <cell r="A1448" t="str">
            <v>43137-SC20</v>
          </cell>
          <cell r="B1448" t="str">
            <v>POA - Turbine Run-up Replacement</v>
          </cell>
          <cell r="C1448" t="str">
            <v>FIN Approval - Internal</v>
          </cell>
          <cell r="D1448">
            <v>84</v>
          </cell>
          <cell r="E1448" t="str">
            <v>APPROVED</v>
          </cell>
          <cell r="F1448">
            <v>41943</v>
          </cell>
          <cell r="G1448">
            <v>42947</v>
          </cell>
          <cell r="H1448">
            <v>1075453.01</v>
          </cell>
          <cell r="I1448" t="str">
            <v>FIN Submission</v>
          </cell>
          <cell r="J1448">
            <v>42985</v>
          </cell>
        </row>
        <row r="1449">
          <cell r="A1449" t="str">
            <v>41587-SB09</v>
          </cell>
          <cell r="B1449" t="str">
            <v>POA HVAC Equipment Replacement 2012</v>
          </cell>
          <cell r="C1449" t="str">
            <v>FIN Approval - Internal</v>
          </cell>
          <cell r="D1449">
            <v>103</v>
          </cell>
          <cell r="E1449" t="str">
            <v>APPROVED</v>
          </cell>
          <cell r="F1449">
            <v>41425</v>
          </cell>
          <cell r="G1449">
            <v>42855</v>
          </cell>
          <cell r="H1449">
            <v>138211.01</v>
          </cell>
          <cell r="I1449" t="str">
            <v>FIN Submission</v>
          </cell>
          <cell r="J1449">
            <v>42985</v>
          </cell>
        </row>
        <row r="1450">
          <cell r="A1450" t="str">
            <v>41569-SA15</v>
          </cell>
          <cell r="B1450" t="str">
            <v>POA - DCMS Upgrades</v>
          </cell>
          <cell r="C1450" t="str">
            <v>FIN Approval - Internal</v>
          </cell>
          <cell r="D1450">
            <v>105</v>
          </cell>
          <cell r="E1450" t="str">
            <v>APPROVED</v>
          </cell>
          <cell r="F1450">
            <v>41204</v>
          </cell>
          <cell r="G1450">
            <v>43100</v>
          </cell>
          <cell r="H1450">
            <v>499059.55</v>
          </cell>
          <cell r="I1450" t="str">
            <v>FIN Submission</v>
          </cell>
          <cell r="J1450">
            <v>42985</v>
          </cell>
        </row>
        <row r="1451">
          <cell r="A1451" t="str">
            <v>41050-SA41</v>
          </cell>
          <cell r="B1451" t="str">
            <v>POA - Screw Cooler Cover and Trough</v>
          </cell>
          <cell r="C1451" t="str">
            <v>FIN Approval - Internal</v>
          </cell>
          <cell r="D1451">
            <v>64</v>
          </cell>
          <cell r="E1451" t="str">
            <v>APPROVED</v>
          </cell>
          <cell r="F1451">
            <v>41487</v>
          </cell>
          <cell r="G1451">
            <v>43099</v>
          </cell>
          <cell r="H1451">
            <v>86056.2</v>
          </cell>
          <cell r="I1451" t="str">
            <v>FIN Submission</v>
          </cell>
          <cell r="J1451">
            <v>42979</v>
          </cell>
        </row>
        <row r="1452">
          <cell r="A1452" t="str">
            <v>41046-S965</v>
          </cell>
          <cell r="B1452" t="str">
            <v>POA - 4KV Motor Refurbishment</v>
          </cell>
          <cell r="C1452" t="str">
            <v>FIN Approval - Internal</v>
          </cell>
          <cell r="D1452">
            <v>107</v>
          </cell>
          <cell r="E1452" t="str">
            <v>APPROVED</v>
          </cell>
          <cell r="F1452">
            <v>41274</v>
          </cell>
          <cell r="G1452">
            <v>42826</v>
          </cell>
          <cell r="H1452">
            <v>57370.33</v>
          </cell>
          <cell r="I1452" t="str">
            <v>FIN Submission</v>
          </cell>
          <cell r="J1452">
            <v>42979</v>
          </cell>
        </row>
        <row r="1453">
          <cell r="A1453" t="str">
            <v>41051-SB98</v>
          </cell>
          <cell r="B1453" t="str">
            <v>POA - HVB Replacement</v>
          </cell>
          <cell r="C1453" t="str">
            <v>FIN Approval - Internal</v>
          </cell>
          <cell r="D1453">
            <v>111</v>
          </cell>
          <cell r="E1453" t="str">
            <v>APPROVED</v>
          </cell>
          <cell r="F1453">
            <v>41917</v>
          </cell>
          <cell r="G1453">
            <v>42826</v>
          </cell>
          <cell r="H1453">
            <v>788690.04</v>
          </cell>
          <cell r="I1453" t="str">
            <v>FIN Submission</v>
          </cell>
          <cell r="J1453">
            <v>42979</v>
          </cell>
        </row>
        <row r="1454">
          <cell r="A1454" t="str">
            <v>39932-SA11</v>
          </cell>
          <cell r="B1454" t="str">
            <v>TRE - Ash Site Phase 2 Development</v>
          </cell>
          <cell r="C1454" t="str">
            <v>FIN Approval - External</v>
          </cell>
          <cell r="D1454">
            <v>135</v>
          </cell>
          <cell r="E1454" t="str">
            <v>APPROVED</v>
          </cell>
          <cell r="F1454">
            <v>41258</v>
          </cell>
          <cell r="G1454">
            <v>42582</v>
          </cell>
          <cell r="H1454">
            <v>5319428.78</v>
          </cell>
          <cell r="I1454" t="str">
            <v>FIN Submission</v>
          </cell>
          <cell r="J1454">
            <v>42943</v>
          </cell>
        </row>
        <row r="1455">
          <cell r="A1455" t="str">
            <v>50192-SH27</v>
          </cell>
          <cell r="B1455" t="str">
            <v>TRE5 UU Turbine Valves</v>
          </cell>
          <cell r="C1455" t="str">
            <v>FIN Approval - Internal</v>
          </cell>
          <cell r="D1455">
            <v>15</v>
          </cell>
          <cell r="E1455" t="str">
            <v>APPROVED</v>
          </cell>
          <cell r="F1455">
            <v>42781</v>
          </cell>
          <cell r="G1455">
            <v>42870</v>
          </cell>
          <cell r="H1455">
            <v>392296.92</v>
          </cell>
          <cell r="I1455" t="str">
            <v>FIN Submission</v>
          </cell>
          <cell r="J1455">
            <v>42940</v>
          </cell>
        </row>
        <row r="1456">
          <cell r="A1456" t="str">
            <v>49112-SG35</v>
          </cell>
          <cell r="B1456" t="str">
            <v>LIN UU E Gallery Fire System Repl.</v>
          </cell>
          <cell r="C1456" t="str">
            <v>FIN Approval - Internal</v>
          </cell>
          <cell r="D1456">
            <v>23</v>
          </cell>
          <cell r="E1456" t="str">
            <v>APPROVED</v>
          </cell>
          <cell r="F1456">
            <v>42517</v>
          </cell>
          <cell r="G1456">
            <v>42852</v>
          </cell>
          <cell r="H1456">
            <v>137425.75</v>
          </cell>
          <cell r="I1456" t="str">
            <v>FIN Submission</v>
          </cell>
          <cell r="J1456">
            <v>42940</v>
          </cell>
        </row>
        <row r="1457">
          <cell r="A1457" t="str">
            <v>49378-T916</v>
          </cell>
          <cell r="B1457" t="str">
            <v>L6517 Replacements and Upgrades</v>
          </cell>
          <cell r="C1457" t="str">
            <v>FIN Approval - Internal</v>
          </cell>
          <cell r="D1457">
            <v>24</v>
          </cell>
          <cell r="E1457" t="str">
            <v>APPROVED</v>
          </cell>
          <cell r="F1457">
            <v>42643</v>
          </cell>
          <cell r="G1457">
            <v>42916</v>
          </cell>
          <cell r="H1457">
            <v>379099.55</v>
          </cell>
          <cell r="I1457" t="str">
            <v>FIN Submission</v>
          </cell>
          <cell r="J1457">
            <v>42940</v>
          </cell>
        </row>
        <row r="1458">
          <cell r="A1458" t="str">
            <v>49042-SG30</v>
          </cell>
          <cell r="B1458" t="str">
            <v>LIN UU Isophase Bus Refurbishment</v>
          </cell>
          <cell r="C1458" t="str">
            <v>FIN Approval - Internal</v>
          </cell>
          <cell r="D1458">
            <v>24</v>
          </cell>
          <cell r="E1458" t="str">
            <v>APPROVED</v>
          </cell>
          <cell r="F1458">
            <v>42560</v>
          </cell>
          <cell r="G1458">
            <v>43078</v>
          </cell>
          <cell r="H1458">
            <v>225956.68</v>
          </cell>
          <cell r="I1458" t="str">
            <v>FIN Submission</v>
          </cell>
          <cell r="J1458">
            <v>42940</v>
          </cell>
        </row>
        <row r="1459">
          <cell r="A1459" t="str">
            <v>49497-SG67</v>
          </cell>
          <cell r="B1459" t="str">
            <v>LIN4 UU Snout Ring Replacement</v>
          </cell>
          <cell r="C1459" t="str">
            <v>FIN Approval - Internal</v>
          </cell>
          <cell r="D1459">
            <v>24</v>
          </cell>
          <cell r="E1459" t="str">
            <v>APPROVED</v>
          </cell>
          <cell r="F1459">
            <v>42543</v>
          </cell>
          <cell r="G1459">
            <v>43091</v>
          </cell>
          <cell r="H1459">
            <v>294010.71000000002</v>
          </cell>
          <cell r="I1459" t="str">
            <v>FIN Submission</v>
          </cell>
          <cell r="J1459">
            <v>42940</v>
          </cell>
        </row>
        <row r="1460">
          <cell r="A1460" t="str">
            <v>49053-SG32</v>
          </cell>
          <cell r="B1460" t="str">
            <v xml:space="preserve">LIN4 UU Turbine Run-up System </v>
          </cell>
          <cell r="C1460" t="str">
            <v>FIN Approval - Internal</v>
          </cell>
          <cell r="D1460">
            <v>24</v>
          </cell>
          <cell r="E1460" t="str">
            <v>APPROVED</v>
          </cell>
          <cell r="F1460">
            <v>42532</v>
          </cell>
          <cell r="G1460">
            <v>43080</v>
          </cell>
          <cell r="H1460">
            <v>44851.89</v>
          </cell>
          <cell r="I1460" t="str">
            <v>FIN Submission</v>
          </cell>
          <cell r="J1460">
            <v>42940</v>
          </cell>
        </row>
        <row r="1461">
          <cell r="A1461" t="str">
            <v>48751-SF85</v>
          </cell>
          <cell r="B1461" t="str">
            <v>LIN1 UU 1A CW Pump Motor Refurb.</v>
          </cell>
          <cell r="C1461" t="str">
            <v>FIN Approval - Internal</v>
          </cell>
          <cell r="D1461">
            <v>25</v>
          </cell>
          <cell r="E1461" t="str">
            <v>APPROVED</v>
          </cell>
          <cell r="F1461">
            <v>42482</v>
          </cell>
          <cell r="G1461">
            <v>43091</v>
          </cell>
          <cell r="H1461">
            <v>137233.74</v>
          </cell>
          <cell r="I1461" t="str">
            <v>FIN Submission</v>
          </cell>
          <cell r="J1461">
            <v>42940</v>
          </cell>
        </row>
        <row r="1462">
          <cell r="A1462" t="str">
            <v>48772-SF89</v>
          </cell>
          <cell r="B1462" t="str">
            <v>LIN3 UU 3B Condenser Vac. Pump Repl</v>
          </cell>
          <cell r="C1462" t="str">
            <v>FIN Approval - Internal</v>
          </cell>
          <cell r="D1462">
            <v>25</v>
          </cell>
          <cell r="E1462" t="str">
            <v>APPROVED</v>
          </cell>
          <cell r="F1462">
            <v>42426</v>
          </cell>
          <cell r="G1462">
            <v>43095</v>
          </cell>
          <cell r="H1462">
            <v>147049.51</v>
          </cell>
          <cell r="I1462" t="str">
            <v>FIN Submission</v>
          </cell>
          <cell r="J1462">
            <v>42940</v>
          </cell>
        </row>
        <row r="1463">
          <cell r="A1463" t="str">
            <v>49416-SG63</v>
          </cell>
          <cell r="B1463" t="str">
            <v>LIN4 UU Generator Stator Rewedge</v>
          </cell>
          <cell r="C1463" t="str">
            <v>FIN Approval - Internal</v>
          </cell>
          <cell r="D1463">
            <v>25</v>
          </cell>
          <cell r="E1463" t="str">
            <v>APPROVED</v>
          </cell>
          <cell r="F1463">
            <v>42536</v>
          </cell>
          <cell r="G1463">
            <v>43084</v>
          </cell>
          <cell r="H1463">
            <v>539353.69999999995</v>
          </cell>
          <cell r="I1463" t="str">
            <v>FIN Submission</v>
          </cell>
          <cell r="J1463">
            <v>42940</v>
          </cell>
        </row>
        <row r="1464">
          <cell r="A1464" t="str">
            <v>49352-SG51</v>
          </cell>
          <cell r="B1464" t="str">
            <v>LIN4 UU Turbine Governor Refurb</v>
          </cell>
          <cell r="C1464" t="str">
            <v>FIN Approval - Internal</v>
          </cell>
          <cell r="D1464">
            <v>25</v>
          </cell>
          <cell r="E1464" t="str">
            <v>APPROVED</v>
          </cell>
          <cell r="F1464">
            <v>42541</v>
          </cell>
          <cell r="G1464">
            <v>43073</v>
          </cell>
          <cell r="H1464">
            <v>243719.99</v>
          </cell>
          <cell r="I1464" t="str">
            <v>FIN Submission</v>
          </cell>
          <cell r="J1464">
            <v>42940</v>
          </cell>
        </row>
        <row r="1465">
          <cell r="A1465" t="str">
            <v>49011-G203</v>
          </cell>
          <cell r="B1465" t="str">
            <v>BGT Thermostatis Control Valve Repl</v>
          </cell>
          <cell r="C1465" t="str">
            <v>FIN Approval - Internal</v>
          </cell>
          <cell r="D1465">
            <v>27</v>
          </cell>
          <cell r="E1465" t="str">
            <v>APPROVED</v>
          </cell>
          <cell r="F1465">
            <v>42551</v>
          </cell>
          <cell r="G1465">
            <v>42977</v>
          </cell>
          <cell r="H1465">
            <v>36985.97</v>
          </cell>
          <cell r="I1465" t="str">
            <v>FIN Submission</v>
          </cell>
          <cell r="J1465">
            <v>42940</v>
          </cell>
        </row>
        <row r="1466">
          <cell r="A1466" t="str">
            <v>48598-T898</v>
          </cell>
          <cell r="B1466" t="str">
            <v>L5530B Replacements and Upgrades</v>
          </cell>
          <cell r="C1466" t="str">
            <v>FIN Approval - Internal</v>
          </cell>
          <cell r="D1466">
            <v>28</v>
          </cell>
          <cell r="E1466" t="str">
            <v>APPROVED</v>
          </cell>
          <cell r="F1466">
            <v>42491</v>
          </cell>
          <cell r="G1466">
            <v>42886</v>
          </cell>
          <cell r="H1466">
            <v>167327.48000000001</v>
          </cell>
          <cell r="I1466" t="str">
            <v>FIN Submission</v>
          </cell>
          <cell r="J1466">
            <v>42940</v>
          </cell>
        </row>
        <row r="1467">
          <cell r="A1467" t="str">
            <v>48604-T909</v>
          </cell>
          <cell r="B1467" t="str">
            <v>L5538 Replacements and Upgrades</v>
          </cell>
          <cell r="C1467" t="str">
            <v>FIN Approval - Internal</v>
          </cell>
          <cell r="D1467">
            <v>28</v>
          </cell>
          <cell r="E1467" t="str">
            <v>APPROVED</v>
          </cell>
          <cell r="F1467">
            <v>42491</v>
          </cell>
          <cell r="G1467">
            <v>42886</v>
          </cell>
          <cell r="H1467">
            <v>175269.23</v>
          </cell>
          <cell r="I1467" t="str">
            <v>FIN Submission</v>
          </cell>
          <cell r="J1467">
            <v>42940</v>
          </cell>
        </row>
        <row r="1468">
          <cell r="A1468" t="str">
            <v>48693-SF61</v>
          </cell>
          <cell r="B1468" t="str">
            <v>LIN2 UU CEP Motor Refurbishment</v>
          </cell>
          <cell r="C1468" t="str">
            <v>FIN Approval - Internal</v>
          </cell>
          <cell r="D1468">
            <v>28</v>
          </cell>
          <cell r="E1468" t="str">
            <v>APPROVED</v>
          </cell>
          <cell r="F1468">
            <v>42442</v>
          </cell>
          <cell r="G1468">
            <v>43082</v>
          </cell>
          <cell r="H1468">
            <v>75990.210000000006</v>
          </cell>
          <cell r="I1468" t="str">
            <v>FIN Submission</v>
          </cell>
          <cell r="J1468">
            <v>42940</v>
          </cell>
        </row>
        <row r="1469">
          <cell r="A1469" t="str">
            <v>48611-SF59</v>
          </cell>
          <cell r="B1469" t="str">
            <v>LIN4 - SA Damper Upgrades</v>
          </cell>
          <cell r="C1469" t="str">
            <v>FIN Approval - Internal</v>
          </cell>
          <cell r="D1469">
            <v>28</v>
          </cell>
          <cell r="E1469" t="str">
            <v>APPROVED</v>
          </cell>
          <cell r="F1469">
            <v>42551</v>
          </cell>
          <cell r="G1469">
            <v>43087</v>
          </cell>
          <cell r="H1469">
            <v>76229.95</v>
          </cell>
          <cell r="I1469" t="str">
            <v>FIN Submission</v>
          </cell>
          <cell r="J1469">
            <v>42940</v>
          </cell>
        </row>
        <row r="1470">
          <cell r="A1470" t="str">
            <v>47869-SF58</v>
          </cell>
          <cell r="B1470" t="str">
            <v>LIN4 Bottom Ash Refurbishment</v>
          </cell>
          <cell r="C1470" t="str">
            <v>FIN Approval - Internal</v>
          </cell>
          <cell r="D1470">
            <v>33</v>
          </cell>
          <cell r="E1470" t="str">
            <v>APPROVED</v>
          </cell>
          <cell r="F1470">
            <v>42540</v>
          </cell>
          <cell r="G1470">
            <v>43087</v>
          </cell>
          <cell r="H1470">
            <v>711030.17</v>
          </cell>
          <cell r="I1470" t="str">
            <v>FIN Submission</v>
          </cell>
          <cell r="J1470">
            <v>42940</v>
          </cell>
        </row>
        <row r="1471">
          <cell r="A1471" t="str">
            <v>47866-SF76</v>
          </cell>
          <cell r="B1471" t="str">
            <v>LIN4 Condenser Tube Coating</v>
          </cell>
          <cell r="C1471" t="str">
            <v>FIN Approval - Internal</v>
          </cell>
          <cell r="D1471">
            <v>33</v>
          </cell>
          <cell r="E1471" t="str">
            <v>APPROVED</v>
          </cell>
          <cell r="F1471">
            <v>42540</v>
          </cell>
          <cell r="G1471">
            <v>43087</v>
          </cell>
          <cell r="H1471">
            <v>56985.04</v>
          </cell>
          <cell r="I1471" t="str">
            <v>FIN Submission</v>
          </cell>
          <cell r="J1471">
            <v>42940</v>
          </cell>
        </row>
        <row r="1472">
          <cell r="A1472" t="str">
            <v>47955-SF82</v>
          </cell>
          <cell r="B1472" t="str">
            <v>LIN4 ID Fan Shaft Refurbishment</v>
          </cell>
          <cell r="C1472" t="str">
            <v>FIN Approval - Internal</v>
          </cell>
          <cell r="D1472">
            <v>33</v>
          </cell>
          <cell r="E1472" t="str">
            <v>APPROVED</v>
          </cell>
          <cell r="F1472">
            <v>42541</v>
          </cell>
          <cell r="G1472">
            <v>43089</v>
          </cell>
          <cell r="H1472">
            <v>123059.33</v>
          </cell>
          <cell r="I1472" t="str">
            <v>FIN Submission</v>
          </cell>
          <cell r="J1472">
            <v>42940</v>
          </cell>
        </row>
        <row r="1473">
          <cell r="A1473" t="str">
            <v>47599-SG02</v>
          </cell>
          <cell r="B1473" t="str">
            <v>TRE5 5-4 Mill Refurbishments</v>
          </cell>
          <cell r="C1473" t="str">
            <v>FIN Approval - Internal</v>
          </cell>
          <cell r="D1473">
            <v>34</v>
          </cell>
          <cell r="E1473" t="str">
            <v>APPROVED</v>
          </cell>
          <cell r="F1473">
            <v>42566</v>
          </cell>
          <cell r="G1473">
            <v>42781</v>
          </cell>
          <cell r="H1473">
            <v>157232.07</v>
          </cell>
          <cell r="I1473" t="str">
            <v>FIN Submission</v>
          </cell>
          <cell r="J1473">
            <v>42940</v>
          </cell>
        </row>
        <row r="1474">
          <cell r="A1474" t="str">
            <v>47497-SF69</v>
          </cell>
          <cell r="B1474" t="str">
            <v>LIN - Flyash Trans Air Comp Replace</v>
          </cell>
          <cell r="C1474" t="str">
            <v>FIN Approval - Internal</v>
          </cell>
          <cell r="D1474">
            <v>35</v>
          </cell>
          <cell r="E1474" t="str">
            <v>APPROVED</v>
          </cell>
          <cell r="F1474">
            <v>42610</v>
          </cell>
          <cell r="G1474">
            <v>43097</v>
          </cell>
          <cell r="H1474">
            <v>191231.03</v>
          </cell>
          <cell r="I1474" t="str">
            <v>FIN Submission</v>
          </cell>
          <cell r="J1474">
            <v>42940</v>
          </cell>
        </row>
        <row r="1475">
          <cell r="A1475" t="str">
            <v>47503-SF70</v>
          </cell>
          <cell r="B1475" t="str">
            <v>LIN Propane Skid Steer Replacement</v>
          </cell>
          <cell r="C1475" t="str">
            <v>FIN Approval - Internal</v>
          </cell>
          <cell r="D1475">
            <v>35</v>
          </cell>
          <cell r="E1475" t="str">
            <v>APPROVED</v>
          </cell>
          <cell r="F1475">
            <v>42518</v>
          </cell>
          <cell r="G1475">
            <v>43097</v>
          </cell>
          <cell r="H1475">
            <v>60954.64</v>
          </cell>
          <cell r="I1475" t="str">
            <v>FIN Submission</v>
          </cell>
          <cell r="J1475">
            <v>42940</v>
          </cell>
        </row>
        <row r="1476">
          <cell r="A1476" t="str">
            <v>47704-SF57</v>
          </cell>
          <cell r="B1476" t="str">
            <v>POT - Replace Polisher Chemical Ski</v>
          </cell>
          <cell r="C1476" t="str">
            <v>FIN Approval - Internal</v>
          </cell>
          <cell r="D1476">
            <v>35</v>
          </cell>
          <cell r="E1476" t="str">
            <v>APPROVED</v>
          </cell>
          <cell r="F1476">
            <v>42885</v>
          </cell>
          <cell r="G1476">
            <v>43227</v>
          </cell>
          <cell r="H1476">
            <v>274723.49</v>
          </cell>
          <cell r="I1476" t="str">
            <v>FIN Submission</v>
          </cell>
          <cell r="J1476">
            <v>42940</v>
          </cell>
        </row>
        <row r="1477">
          <cell r="A1477" t="str">
            <v>47501-SG81</v>
          </cell>
          <cell r="B1477" t="str">
            <v>LIN Boiler Fill Pump Suc. Line Repl</v>
          </cell>
          <cell r="C1477" t="str">
            <v>FIN Approval - Internal</v>
          </cell>
          <cell r="D1477">
            <v>36</v>
          </cell>
          <cell r="E1477" t="str">
            <v>APPROVED</v>
          </cell>
          <cell r="F1477">
            <v>42794</v>
          </cell>
          <cell r="G1477">
            <v>43097</v>
          </cell>
          <cell r="H1477">
            <v>84705.279999999999</v>
          </cell>
          <cell r="I1477" t="str">
            <v>FIN Submission</v>
          </cell>
          <cell r="J1477">
            <v>42940</v>
          </cell>
        </row>
        <row r="1478">
          <cell r="A1478" t="str">
            <v>47701-SH08</v>
          </cell>
          <cell r="B1478" t="str">
            <v>POT - Lab upgrades phase 3</v>
          </cell>
          <cell r="C1478" t="str">
            <v>FIN Approval - Internal</v>
          </cell>
          <cell r="D1478">
            <v>36</v>
          </cell>
          <cell r="E1478" t="str">
            <v>APPROVED</v>
          </cell>
          <cell r="F1478">
            <v>42840</v>
          </cell>
          <cell r="G1478">
            <v>43197</v>
          </cell>
          <cell r="H1478">
            <v>227961.42</v>
          </cell>
          <cell r="I1478" t="str">
            <v>FIN Submission</v>
          </cell>
          <cell r="J1478">
            <v>42940</v>
          </cell>
        </row>
        <row r="1479">
          <cell r="A1479" t="str">
            <v>47692-SG83</v>
          </cell>
          <cell r="B1479" t="str">
            <v>POT - Fire system upgrades 2016</v>
          </cell>
          <cell r="C1479" t="str">
            <v>FIN Approval - Internal</v>
          </cell>
          <cell r="D1479">
            <v>37</v>
          </cell>
          <cell r="E1479" t="str">
            <v>APPROVED</v>
          </cell>
          <cell r="F1479">
            <v>42824</v>
          </cell>
          <cell r="G1479">
            <v>42977</v>
          </cell>
          <cell r="H1479">
            <v>83929.13</v>
          </cell>
          <cell r="I1479" t="str">
            <v>FIN Submission</v>
          </cell>
          <cell r="J1479">
            <v>42940</v>
          </cell>
        </row>
        <row r="1480">
          <cell r="A1480" t="str">
            <v>CONV-D005-628</v>
          </cell>
          <cell r="B1480" t="str">
            <v>D005 Replace Deteriorated Plant Rou</v>
          </cell>
          <cell r="C1480" t="str">
            <v>FIN Approval - Internal</v>
          </cell>
          <cell r="D1480">
            <v>39</v>
          </cell>
          <cell r="E1480" t="str">
            <v>APPROVED</v>
          </cell>
          <cell r="F1480">
            <v>35064</v>
          </cell>
          <cell r="G1480">
            <v>42916</v>
          </cell>
          <cell r="H1480">
            <v>10.41</v>
          </cell>
          <cell r="I1480" t="str">
            <v>FIN Submission</v>
          </cell>
          <cell r="J1480">
            <v>42940</v>
          </cell>
        </row>
        <row r="1481">
          <cell r="A1481" t="str">
            <v>CONV-D008-628</v>
          </cell>
          <cell r="B1481" t="str">
            <v>D008-Storm Costs Routine</v>
          </cell>
          <cell r="C1481" t="str">
            <v>FIN Approval - Internal</v>
          </cell>
          <cell r="D1481">
            <v>39</v>
          </cell>
          <cell r="E1481" t="str">
            <v>APPROVED</v>
          </cell>
          <cell r="F1481">
            <v>34699</v>
          </cell>
          <cell r="G1481">
            <v>42916</v>
          </cell>
          <cell r="H1481">
            <v>10.41</v>
          </cell>
          <cell r="I1481" t="str">
            <v>FIN Submission</v>
          </cell>
          <cell r="J1481">
            <v>42940</v>
          </cell>
        </row>
        <row r="1482">
          <cell r="A1482" t="str">
            <v>47221-T852</v>
          </cell>
          <cell r="B1482" t="str">
            <v xml:space="preserve">L5015 Avon to Three Mile Plains				</v>
          </cell>
          <cell r="C1482" t="str">
            <v>FIN Approval - Internal</v>
          </cell>
          <cell r="D1482">
            <v>40</v>
          </cell>
          <cell r="E1482" t="str">
            <v>APPROVED</v>
          </cell>
          <cell r="F1482">
            <v>42612</v>
          </cell>
          <cell r="G1482">
            <v>42886</v>
          </cell>
          <cell r="H1482">
            <v>40267.97</v>
          </cell>
          <cell r="I1482" t="str">
            <v>FIN Submission</v>
          </cell>
          <cell r="J1482">
            <v>42940</v>
          </cell>
        </row>
        <row r="1483">
          <cell r="A1483" t="str">
            <v>47220-T861</v>
          </cell>
          <cell r="B1483" t="str">
            <v>L5027A 9W, 20W and 22W</v>
          </cell>
          <cell r="C1483" t="str">
            <v>FIN Approval - Internal</v>
          </cell>
          <cell r="D1483">
            <v>40</v>
          </cell>
          <cell r="E1483" t="str">
            <v>APPROVED</v>
          </cell>
          <cell r="F1483">
            <v>42215</v>
          </cell>
          <cell r="G1483">
            <v>42582</v>
          </cell>
          <cell r="H1483">
            <v>68982.09</v>
          </cell>
          <cell r="I1483" t="str">
            <v>FIN Submission</v>
          </cell>
          <cell r="J1483">
            <v>42940</v>
          </cell>
        </row>
        <row r="1484">
          <cell r="A1484" t="str">
            <v>47222-T853</v>
          </cell>
          <cell r="B1484" t="str">
            <v xml:space="preserve">L5521 1N Onslow to 15N Willow Lane	</v>
          </cell>
          <cell r="C1484" t="str">
            <v>FIN Approval - Internal</v>
          </cell>
          <cell r="D1484">
            <v>40</v>
          </cell>
          <cell r="E1484" t="str">
            <v>APPROVED</v>
          </cell>
          <cell r="F1484">
            <v>42401</v>
          </cell>
          <cell r="G1484">
            <v>42886</v>
          </cell>
          <cell r="H1484">
            <v>114739.16</v>
          </cell>
          <cell r="I1484" t="str">
            <v>FIN Submission</v>
          </cell>
          <cell r="J1484">
            <v>42940</v>
          </cell>
        </row>
        <row r="1485">
          <cell r="A1485" t="str">
            <v>47191-T859</v>
          </cell>
          <cell r="B1485" t="str">
            <v>L5536A 9W Tusket to 88W Pleasant St</v>
          </cell>
          <cell r="C1485" t="str">
            <v>FIN Approval - Internal</v>
          </cell>
          <cell r="D1485">
            <v>40</v>
          </cell>
          <cell r="E1485" t="str">
            <v>APPROVED</v>
          </cell>
          <cell r="F1485">
            <v>42370</v>
          </cell>
          <cell r="G1485">
            <v>42886</v>
          </cell>
          <cell r="H1485">
            <v>253888.4</v>
          </cell>
          <cell r="I1485" t="str">
            <v>FIN Submission</v>
          </cell>
          <cell r="J1485">
            <v>42940</v>
          </cell>
        </row>
        <row r="1486">
          <cell r="A1486" t="str">
            <v>48194-T868</v>
          </cell>
          <cell r="B1486" t="str">
            <v>88S-713 Replacement</v>
          </cell>
          <cell r="C1486" t="str">
            <v>FIN Approval - Internal</v>
          </cell>
          <cell r="D1486">
            <v>41</v>
          </cell>
          <cell r="E1486" t="str">
            <v>APPROVED</v>
          </cell>
          <cell r="F1486">
            <v>42399</v>
          </cell>
          <cell r="G1486">
            <v>42916</v>
          </cell>
          <cell r="H1486">
            <v>4467074.72</v>
          </cell>
          <cell r="I1486" t="str">
            <v>FIN Submission</v>
          </cell>
          <cell r="J1486">
            <v>42940</v>
          </cell>
        </row>
        <row r="1487">
          <cell r="A1487" t="str">
            <v>47214-T845</v>
          </cell>
          <cell r="B1487" t="str">
            <v>L5551 79W Lunenburg to 80W Indian P</v>
          </cell>
          <cell r="C1487" t="str">
            <v>FIN Approval - Internal</v>
          </cell>
          <cell r="D1487">
            <v>41</v>
          </cell>
          <cell r="E1487" t="str">
            <v>APPROVED</v>
          </cell>
          <cell r="F1487">
            <v>42307</v>
          </cell>
          <cell r="G1487">
            <v>42886</v>
          </cell>
          <cell r="H1487">
            <v>87764.58</v>
          </cell>
          <cell r="I1487" t="str">
            <v>FIN Submission</v>
          </cell>
          <cell r="J1487">
            <v>42940</v>
          </cell>
        </row>
        <row r="1488">
          <cell r="A1488" t="str">
            <v>47219-T851</v>
          </cell>
          <cell r="B1488" t="str">
            <v>L7005 67N Onslow to 3C Port Hasting</v>
          </cell>
          <cell r="C1488" t="str">
            <v>FIN Approval - Internal</v>
          </cell>
          <cell r="D1488">
            <v>42</v>
          </cell>
          <cell r="E1488" t="str">
            <v>APPROVED</v>
          </cell>
          <cell r="F1488">
            <v>42246</v>
          </cell>
          <cell r="G1488">
            <v>42886</v>
          </cell>
          <cell r="H1488">
            <v>194841.38</v>
          </cell>
          <cell r="I1488" t="str">
            <v>FIN Submission</v>
          </cell>
          <cell r="J1488">
            <v>42940</v>
          </cell>
        </row>
        <row r="1489">
          <cell r="A1489" t="str">
            <v>46872-T829</v>
          </cell>
          <cell r="B1489" t="str">
            <v>L6518 Replacement</v>
          </cell>
          <cell r="C1489" t="str">
            <v>FIN Approval - Internal</v>
          </cell>
          <cell r="D1489">
            <v>45</v>
          </cell>
          <cell r="E1489" t="str">
            <v>APPROVED</v>
          </cell>
          <cell r="F1489">
            <v>42034</v>
          </cell>
          <cell r="G1489">
            <v>42886</v>
          </cell>
          <cell r="H1489">
            <v>296981.06</v>
          </cell>
          <cell r="I1489" t="str">
            <v>FIN Submission</v>
          </cell>
          <cell r="J1489">
            <v>42940</v>
          </cell>
        </row>
        <row r="1490">
          <cell r="A1490" t="str">
            <v>46737-D617</v>
          </cell>
          <cell r="B1490" t="str">
            <v>85S Gang Switch Replacement</v>
          </cell>
          <cell r="C1490" t="str">
            <v>FIN Approval - Internal</v>
          </cell>
          <cell r="D1490">
            <v>46</v>
          </cell>
          <cell r="E1490" t="str">
            <v>APPROVED</v>
          </cell>
          <cell r="F1490">
            <v>42247</v>
          </cell>
          <cell r="G1490">
            <v>42886</v>
          </cell>
          <cell r="H1490">
            <v>21133.23</v>
          </cell>
          <cell r="I1490" t="str">
            <v>FIN Submission</v>
          </cell>
          <cell r="J1490">
            <v>42940</v>
          </cell>
        </row>
        <row r="1491">
          <cell r="A1491" t="str">
            <v>46583-T826</v>
          </cell>
          <cell r="B1491" t="str">
            <v>L6511 Upgrade</v>
          </cell>
          <cell r="C1491" t="str">
            <v>FIN Approval - Internal</v>
          </cell>
          <cell r="D1491">
            <v>48</v>
          </cell>
          <cell r="E1491" t="str">
            <v>APPROVED</v>
          </cell>
          <cell r="F1491">
            <v>42093</v>
          </cell>
          <cell r="G1491">
            <v>42368</v>
          </cell>
          <cell r="H1491">
            <v>783892.35</v>
          </cell>
          <cell r="I1491" t="str">
            <v>FIN Submission</v>
          </cell>
          <cell r="J1491">
            <v>42940</v>
          </cell>
        </row>
        <row r="1492">
          <cell r="A1492" t="str">
            <v>46335-T838</v>
          </cell>
          <cell r="B1492" t="str">
            <v>L5511 Replacements</v>
          </cell>
          <cell r="C1492" t="str">
            <v>FIN Approval - Internal</v>
          </cell>
          <cell r="D1492">
            <v>50</v>
          </cell>
          <cell r="E1492" t="str">
            <v>APPROVED</v>
          </cell>
          <cell r="F1492">
            <v>42307</v>
          </cell>
          <cell r="G1492">
            <v>42886</v>
          </cell>
          <cell r="H1492">
            <v>569221.84</v>
          </cell>
          <cell r="I1492" t="str">
            <v>FIN Submission</v>
          </cell>
          <cell r="J1492">
            <v>42940</v>
          </cell>
        </row>
        <row r="1493">
          <cell r="A1493" t="str">
            <v>46337-T840</v>
          </cell>
          <cell r="B1493" t="str">
            <v>L6535/L6551 Insulator Replacements</v>
          </cell>
          <cell r="C1493" t="str">
            <v>FIN Approval - Internal</v>
          </cell>
          <cell r="D1493">
            <v>50</v>
          </cell>
          <cell r="E1493" t="str">
            <v>APPROVED</v>
          </cell>
          <cell r="F1493">
            <v>42490</v>
          </cell>
          <cell r="G1493">
            <v>42916</v>
          </cell>
          <cell r="H1493">
            <v>377198.53</v>
          </cell>
          <cell r="I1493" t="str">
            <v>FIN Submission</v>
          </cell>
          <cell r="J1493">
            <v>42940</v>
          </cell>
        </row>
        <row r="1494">
          <cell r="A1494" t="str">
            <v>46419-SG70</v>
          </cell>
          <cell r="B1494" t="str">
            <v>POT - Bay door replacements</v>
          </cell>
          <cell r="C1494" t="str">
            <v>FIN Approval - Internal</v>
          </cell>
          <cell r="D1494">
            <v>50</v>
          </cell>
          <cell r="E1494" t="str">
            <v>APPROVED</v>
          </cell>
          <cell r="F1494">
            <v>42734</v>
          </cell>
          <cell r="G1494">
            <v>42916</v>
          </cell>
          <cell r="H1494">
            <v>73471.48</v>
          </cell>
          <cell r="I1494" t="str">
            <v>FIN Submission</v>
          </cell>
          <cell r="J1494">
            <v>42940</v>
          </cell>
        </row>
        <row r="1495">
          <cell r="A1495" t="str">
            <v>46211-T816</v>
          </cell>
          <cell r="B1495" t="str">
            <v>Upgrade L5502</v>
          </cell>
          <cell r="C1495" t="str">
            <v>FIN Approval - Internal</v>
          </cell>
          <cell r="D1495">
            <v>51</v>
          </cell>
          <cell r="E1495" t="str">
            <v>APPROVED</v>
          </cell>
          <cell r="F1495">
            <v>42185</v>
          </cell>
          <cell r="G1495">
            <v>42886</v>
          </cell>
          <cell r="H1495">
            <v>141721.13</v>
          </cell>
          <cell r="I1495" t="str">
            <v>FIN Submission</v>
          </cell>
          <cell r="J1495">
            <v>42940</v>
          </cell>
        </row>
        <row r="1496">
          <cell r="A1496" t="str">
            <v>46081-D589</v>
          </cell>
          <cell r="B1496" t="str">
            <v>70V-312H Thorne Rd Deteriorated Pol</v>
          </cell>
          <cell r="C1496" t="str">
            <v>FIN Approval - Internal</v>
          </cell>
          <cell r="D1496">
            <v>52</v>
          </cell>
          <cell r="E1496" t="str">
            <v>APPROVED</v>
          </cell>
          <cell r="F1496">
            <v>42003</v>
          </cell>
          <cell r="G1496">
            <v>42460</v>
          </cell>
          <cell r="H1496">
            <v>5315.18</v>
          </cell>
          <cell r="I1496" t="str">
            <v>FIN Submission</v>
          </cell>
          <cell r="J1496">
            <v>42940</v>
          </cell>
        </row>
        <row r="1497">
          <cell r="A1497" t="str">
            <v>45794-T814</v>
          </cell>
          <cell r="B1497" t="str">
            <v>L5040 Upgrade</v>
          </cell>
          <cell r="C1497" t="str">
            <v>FIN Approval - Internal</v>
          </cell>
          <cell r="D1497">
            <v>56</v>
          </cell>
          <cell r="E1497" t="str">
            <v>APPROVED</v>
          </cell>
          <cell r="F1497">
            <v>42459</v>
          </cell>
          <cell r="G1497">
            <v>42916</v>
          </cell>
          <cell r="H1497">
            <v>655354.98</v>
          </cell>
          <cell r="I1497" t="str">
            <v>FIN Submission</v>
          </cell>
          <cell r="J1497">
            <v>42940</v>
          </cell>
        </row>
        <row r="1498">
          <cell r="A1498" t="str">
            <v>46332-T863</v>
          </cell>
          <cell r="B1498" t="str">
            <v>L6539 Replacements</v>
          </cell>
          <cell r="C1498" t="str">
            <v>FIN Approval - Internal</v>
          </cell>
          <cell r="D1498">
            <v>56</v>
          </cell>
          <cell r="E1498" t="str">
            <v>APPROVED</v>
          </cell>
          <cell r="F1498">
            <v>42459</v>
          </cell>
          <cell r="G1498">
            <v>42886</v>
          </cell>
          <cell r="H1498">
            <v>705259.85</v>
          </cell>
          <cell r="I1498" t="str">
            <v>FIN Submission</v>
          </cell>
          <cell r="J1498">
            <v>42940</v>
          </cell>
        </row>
        <row r="1499">
          <cell r="A1499" t="str">
            <v>44983-T809</v>
          </cell>
          <cell r="B1499" t="str">
            <v>Reactor Bank Breaker Replacements</v>
          </cell>
          <cell r="C1499" t="str">
            <v>FIN Approval - Internal</v>
          </cell>
          <cell r="D1499">
            <v>65</v>
          </cell>
          <cell r="E1499" t="str">
            <v>APPROVED</v>
          </cell>
          <cell r="F1499">
            <v>42338</v>
          </cell>
          <cell r="G1499">
            <v>42886</v>
          </cell>
          <cell r="H1499">
            <v>415813.52</v>
          </cell>
          <cell r="I1499" t="str">
            <v>FIN Submission</v>
          </cell>
          <cell r="J1499">
            <v>42940</v>
          </cell>
        </row>
        <row r="1500">
          <cell r="A1500" t="str">
            <v>14911-D004-732</v>
          </cell>
          <cell r="B1500" t="str">
            <v>NEW CUSTOMER REPLACEMENTS - BRIDGEW</v>
          </cell>
          <cell r="C1500" t="str">
            <v>FIN Approval - Internal</v>
          </cell>
          <cell r="D1500">
            <v>69</v>
          </cell>
          <cell r="E1500" t="str">
            <v>APPROVED</v>
          </cell>
          <cell r="F1500">
            <v>42946</v>
          </cell>
          <cell r="G1500">
            <v>42946</v>
          </cell>
          <cell r="H1500">
            <v>0.13</v>
          </cell>
          <cell r="I1500" t="str">
            <v>FIN Submission</v>
          </cell>
          <cell r="J1500">
            <v>42940</v>
          </cell>
        </row>
        <row r="1501">
          <cell r="A1501" t="str">
            <v>43410-P935</v>
          </cell>
          <cell r="B1501" t="str">
            <v>TRE Forklift Replacement</v>
          </cell>
          <cell r="C1501" t="str">
            <v>FIN Approval - Internal</v>
          </cell>
          <cell r="D1501">
            <v>73</v>
          </cell>
          <cell r="E1501" t="str">
            <v>APPROVED</v>
          </cell>
          <cell r="F1501">
            <v>41988</v>
          </cell>
          <cell r="G1501">
            <v>41988</v>
          </cell>
          <cell r="H1501">
            <v>72592.61</v>
          </cell>
          <cell r="I1501" t="str">
            <v>FIN Submission</v>
          </cell>
          <cell r="J1501">
            <v>42940</v>
          </cell>
        </row>
        <row r="1502">
          <cell r="A1502" t="str">
            <v>43424-SC56</v>
          </cell>
          <cell r="B1502" t="str">
            <v>TRE5 Analytical Panel</v>
          </cell>
          <cell r="C1502" t="str">
            <v>FIN Approval - Internal</v>
          </cell>
          <cell r="D1502">
            <v>75</v>
          </cell>
          <cell r="E1502" t="str">
            <v>APPROVED</v>
          </cell>
          <cell r="F1502">
            <v>42119</v>
          </cell>
          <cell r="G1502">
            <v>42597</v>
          </cell>
          <cell r="H1502">
            <v>487979.07</v>
          </cell>
          <cell r="I1502" t="str">
            <v>FIN Submission</v>
          </cell>
          <cell r="J1502">
            <v>42940</v>
          </cell>
        </row>
        <row r="1503">
          <cell r="A1503" t="str">
            <v>43676-T795</v>
          </cell>
          <cell r="B1503" t="str">
            <v>Interconnection Substation Sable</v>
          </cell>
          <cell r="C1503" t="str">
            <v>FIN Approval - Internal</v>
          </cell>
          <cell r="D1503">
            <v>84</v>
          </cell>
          <cell r="E1503" t="str">
            <v>APPROVED</v>
          </cell>
          <cell r="F1503">
            <v>41973</v>
          </cell>
          <cell r="G1503">
            <v>42886</v>
          </cell>
          <cell r="H1503">
            <v>1208366.32</v>
          </cell>
          <cell r="I1503" t="str">
            <v>FIN Submission</v>
          </cell>
          <cell r="J1503">
            <v>42940</v>
          </cell>
        </row>
        <row r="1504">
          <cell r="A1504" t="str">
            <v>CONV-D004-743</v>
          </cell>
          <cell r="B1504" t="str">
            <v>D004 NEW CUSTOMER REPLACEMENTS.ROUT</v>
          </cell>
          <cell r="C1504" t="str">
            <v>FIN Approval - Internal</v>
          </cell>
          <cell r="D1504">
            <v>89</v>
          </cell>
          <cell r="E1504" t="str">
            <v>APPROVED</v>
          </cell>
          <cell r="F1504">
            <v>34699</v>
          </cell>
          <cell r="G1504">
            <v>42946</v>
          </cell>
          <cell r="H1504">
            <v>450.88</v>
          </cell>
          <cell r="I1504" t="str">
            <v>FIN Submission</v>
          </cell>
          <cell r="J1504">
            <v>42940</v>
          </cell>
        </row>
        <row r="1505">
          <cell r="A1505" t="str">
            <v>28164-T516</v>
          </cell>
          <cell r="B1505" t="str">
            <v>CBPL WIND FARM LINGAN</v>
          </cell>
          <cell r="C1505" t="str">
            <v>FIN Approval - Internal</v>
          </cell>
          <cell r="D1505">
            <v>95</v>
          </cell>
          <cell r="E1505" t="str">
            <v>APPROVED</v>
          </cell>
          <cell r="F1505">
            <v>38986</v>
          </cell>
          <cell r="G1505">
            <v>42765</v>
          </cell>
          <cell r="H1505">
            <v>-225370.14</v>
          </cell>
          <cell r="I1505" t="str">
            <v>FIN Submission</v>
          </cell>
          <cell r="J1505">
            <v>42940</v>
          </cell>
        </row>
        <row r="1506">
          <cell r="A1506" t="str">
            <v>14874-D005-757</v>
          </cell>
          <cell r="B1506" t="str">
            <v>SYDNEY REG. W. - REPLACE DETERIORAT</v>
          </cell>
          <cell r="C1506" t="str">
            <v>FIN Approval - Internal</v>
          </cell>
          <cell r="D1506">
            <v>104</v>
          </cell>
          <cell r="E1506" t="str">
            <v>APPROVED</v>
          </cell>
          <cell r="F1506">
            <v>40178</v>
          </cell>
          <cell r="G1506">
            <v>42947</v>
          </cell>
          <cell r="H1506">
            <v>240.83</v>
          </cell>
          <cell r="I1506" t="str">
            <v>FIN Submission</v>
          </cell>
          <cell r="J1506">
            <v>42940</v>
          </cell>
        </row>
        <row r="1507">
          <cell r="A1507" t="str">
            <v>41505-SG08</v>
          </cell>
          <cell r="B1507" t="str">
            <v>TRE5 - 5F Conveyor Structural Refur</v>
          </cell>
          <cell r="C1507" t="str">
            <v>FIN Approval - Internal</v>
          </cell>
          <cell r="D1507">
            <v>110</v>
          </cell>
          <cell r="E1507" t="str">
            <v>APPROVED</v>
          </cell>
          <cell r="F1507">
            <v>42719</v>
          </cell>
          <cell r="G1507">
            <v>42916</v>
          </cell>
          <cell r="H1507">
            <v>443482.3</v>
          </cell>
          <cell r="I1507" t="str">
            <v>FIN Submission</v>
          </cell>
          <cell r="J1507">
            <v>42940</v>
          </cell>
        </row>
        <row r="1508">
          <cell r="A1508" t="str">
            <v>CONV-D005-713</v>
          </cell>
          <cell r="B1508" t="str">
            <v>D005 REPLACE DETERIORATED PLANT ROU</v>
          </cell>
          <cell r="C1508" t="str">
            <v>FIN Approval - Internal</v>
          </cell>
          <cell r="D1508">
            <v>127</v>
          </cell>
          <cell r="E1508" t="str">
            <v>APPROVED</v>
          </cell>
          <cell r="F1508">
            <v>35064</v>
          </cell>
          <cell r="G1508">
            <v>42946</v>
          </cell>
          <cell r="H1508">
            <v>466.18</v>
          </cell>
          <cell r="I1508" t="str">
            <v>FIN Submission</v>
          </cell>
          <cell r="J1508">
            <v>42940</v>
          </cell>
        </row>
        <row r="1509">
          <cell r="A1509" t="str">
            <v>14985-D006-611</v>
          </cell>
          <cell r="B1509" t="str">
            <v xml:space="preserve">REGULATORY  REPLACEMENTS - HALIFAX </v>
          </cell>
          <cell r="C1509" t="str">
            <v>FIN Approval - Internal</v>
          </cell>
          <cell r="D1509">
            <v>127</v>
          </cell>
          <cell r="E1509" t="str">
            <v>APPROVED</v>
          </cell>
          <cell r="F1509">
            <v>40543</v>
          </cell>
          <cell r="G1509">
            <v>42916</v>
          </cell>
          <cell r="H1509">
            <v>356.2</v>
          </cell>
          <cell r="I1509" t="str">
            <v>FIN Submission</v>
          </cell>
          <cell r="J1509">
            <v>42940</v>
          </cell>
        </row>
        <row r="1510">
          <cell r="A1510" t="str">
            <v>16119-D005-617</v>
          </cell>
          <cell r="B1510" t="str">
            <v>DART. DEPOT - REPLACE DET. PLANT</v>
          </cell>
          <cell r="C1510" t="str">
            <v>FIN Approval - Internal</v>
          </cell>
          <cell r="D1510">
            <v>131</v>
          </cell>
          <cell r="E1510" t="str">
            <v>APPROVED</v>
          </cell>
          <cell r="F1510">
            <v>40543</v>
          </cell>
          <cell r="G1510">
            <v>42916</v>
          </cell>
          <cell r="H1510">
            <v>635.09</v>
          </cell>
          <cell r="I1510" t="str">
            <v>FIN Submission</v>
          </cell>
          <cell r="J1510">
            <v>42940</v>
          </cell>
        </row>
        <row r="1511">
          <cell r="A1511" t="str">
            <v>40317-T703</v>
          </cell>
          <cell r="B1511" t="str">
            <v>1H Transformer &amp; Breaker Addition</v>
          </cell>
          <cell r="C1511" t="str">
            <v>FIN Approval - Internal</v>
          </cell>
          <cell r="D1511">
            <v>137</v>
          </cell>
          <cell r="E1511" t="str">
            <v>APPROVED</v>
          </cell>
          <cell r="F1511">
            <v>41916</v>
          </cell>
          <cell r="G1511">
            <v>42886</v>
          </cell>
          <cell r="H1511">
            <v>4330201</v>
          </cell>
          <cell r="I1511" t="str">
            <v>FIN Submission</v>
          </cell>
          <cell r="J1511">
            <v>42940</v>
          </cell>
        </row>
        <row r="1512">
          <cell r="A1512" t="str">
            <v>CONV-D005-629</v>
          </cell>
          <cell r="B1512" t="str">
            <v>D005 REPLACE DETERIORATED PLANT ROU</v>
          </cell>
          <cell r="C1512" t="str">
            <v>FIN Approval - Internal</v>
          </cell>
          <cell r="D1512">
            <v>148</v>
          </cell>
          <cell r="E1512" t="str">
            <v>APPROVED</v>
          </cell>
          <cell r="F1512">
            <v>35064</v>
          </cell>
          <cell r="G1512">
            <v>42916</v>
          </cell>
          <cell r="H1512">
            <v>112.05</v>
          </cell>
          <cell r="I1512" t="str">
            <v>FIN Submission</v>
          </cell>
          <cell r="J1512">
            <v>42940</v>
          </cell>
        </row>
        <row r="1513">
          <cell r="A1513" t="str">
            <v>14941-D005-734</v>
          </cell>
          <cell r="B1513" t="str">
            <v>Replace Deteriorated Plant - Kentvi</v>
          </cell>
          <cell r="C1513" t="str">
            <v>FIN Approval - Internal</v>
          </cell>
          <cell r="D1513">
            <v>165</v>
          </cell>
          <cell r="E1513" t="str">
            <v>APPROVED</v>
          </cell>
          <cell r="F1513">
            <v>40178</v>
          </cell>
          <cell r="G1513">
            <v>42946</v>
          </cell>
          <cell r="H1513">
            <v>3294.14</v>
          </cell>
          <cell r="I1513" t="str">
            <v>FIN Submission</v>
          </cell>
          <cell r="J1513">
            <v>42940</v>
          </cell>
        </row>
        <row r="1514">
          <cell r="A1514" t="str">
            <v>14878-D006-756</v>
          </cell>
          <cell r="B1514" t="str">
            <v>Sydney Reg. E. - Regulatory Replace</v>
          </cell>
          <cell r="C1514" t="str">
            <v>FIN Approval - Internal</v>
          </cell>
          <cell r="D1514">
            <v>166</v>
          </cell>
          <cell r="E1514" t="str">
            <v>APPROVED</v>
          </cell>
          <cell r="F1514">
            <v>40178</v>
          </cell>
          <cell r="G1514">
            <v>42916</v>
          </cell>
          <cell r="H1514">
            <v>262.62</v>
          </cell>
          <cell r="I1514" t="str">
            <v>FIN Submission</v>
          </cell>
          <cell r="J1514">
            <v>42940</v>
          </cell>
        </row>
        <row r="1515">
          <cell r="A1515" t="str">
            <v>16113-D005-618</v>
          </cell>
          <cell r="B1515" t="str">
            <v>Hfx Depot - Replace Det. Plant</v>
          </cell>
          <cell r="C1515" t="str">
            <v>FIN Approval - Internal</v>
          </cell>
          <cell r="D1515">
            <v>174</v>
          </cell>
          <cell r="E1515" t="str">
            <v>APPROVED</v>
          </cell>
          <cell r="F1515">
            <v>40178</v>
          </cell>
          <cell r="G1515">
            <v>42946</v>
          </cell>
          <cell r="H1515">
            <v>5529.45</v>
          </cell>
          <cell r="I1515" t="str">
            <v>FIN Submission</v>
          </cell>
          <cell r="J1515">
            <v>42940</v>
          </cell>
        </row>
        <row r="1516">
          <cell r="A1516" t="str">
            <v>14863-D002-735</v>
          </cell>
          <cell r="B1516" t="str">
            <v>Customer Primary Services - Coldbro</v>
          </cell>
          <cell r="C1516" t="str">
            <v>FIN Approval - Internal</v>
          </cell>
          <cell r="D1516">
            <v>177</v>
          </cell>
          <cell r="E1516" t="str">
            <v>APPROVED</v>
          </cell>
          <cell r="F1516">
            <v>40908</v>
          </cell>
          <cell r="G1516">
            <v>42946</v>
          </cell>
          <cell r="H1516">
            <v>603692.44999999995</v>
          </cell>
          <cell r="I1516" t="str">
            <v>FIN Submission</v>
          </cell>
          <cell r="J1516">
            <v>42940</v>
          </cell>
        </row>
        <row r="1517">
          <cell r="A1517" t="str">
            <v>25077-D016-735</v>
          </cell>
          <cell r="B1517" t="str">
            <v>New Cust Unmetered Serv WST</v>
          </cell>
          <cell r="C1517" t="str">
            <v>FIN Approval - Internal</v>
          </cell>
          <cell r="D1517">
            <v>177</v>
          </cell>
          <cell r="E1517" t="str">
            <v>APPROVED</v>
          </cell>
          <cell r="F1517">
            <v>40908</v>
          </cell>
          <cell r="G1517">
            <v>42916</v>
          </cell>
          <cell r="H1517">
            <v>306690.56</v>
          </cell>
          <cell r="I1517" t="str">
            <v>FIN Submission</v>
          </cell>
          <cell r="J1517">
            <v>42940</v>
          </cell>
        </row>
        <row r="1518">
          <cell r="A1518" t="str">
            <v>16832-D017-623</v>
          </cell>
          <cell r="B1518" t="str">
            <v>New Customers - Metered Service Dro</v>
          </cell>
          <cell r="C1518" t="str">
            <v>FIN Approval - Internal</v>
          </cell>
          <cell r="D1518">
            <v>177</v>
          </cell>
          <cell r="E1518" t="str">
            <v>APPROVED</v>
          </cell>
          <cell r="F1518">
            <v>40908</v>
          </cell>
          <cell r="G1518">
            <v>42916</v>
          </cell>
          <cell r="H1518">
            <v>12211005.109999999</v>
          </cell>
          <cell r="I1518" t="str">
            <v>FIN Submission</v>
          </cell>
          <cell r="J1518">
            <v>42940</v>
          </cell>
        </row>
        <row r="1519">
          <cell r="A1519" t="str">
            <v>25081-D017-752</v>
          </cell>
          <cell r="B1519" t="str">
            <v>New Customers - Metered Services Fo</v>
          </cell>
          <cell r="C1519" t="str">
            <v>FIN Approval - Internal</v>
          </cell>
          <cell r="D1519">
            <v>177</v>
          </cell>
          <cell r="E1519" t="str">
            <v>APPROVED</v>
          </cell>
          <cell r="F1519">
            <v>40908</v>
          </cell>
          <cell r="G1519">
            <v>42916</v>
          </cell>
          <cell r="H1519">
            <v>5342649.51</v>
          </cell>
          <cell r="I1519" t="str">
            <v>FIN Submission</v>
          </cell>
          <cell r="J1519">
            <v>42940</v>
          </cell>
        </row>
        <row r="1520">
          <cell r="A1520" t="str">
            <v>25080-D017-735</v>
          </cell>
          <cell r="B1520" t="str">
            <v>New Customers - Metered Services We</v>
          </cell>
          <cell r="C1520" t="str">
            <v>FIN Approval - Internal</v>
          </cell>
          <cell r="D1520">
            <v>177</v>
          </cell>
          <cell r="E1520" t="str">
            <v>APPROVED</v>
          </cell>
          <cell r="F1520">
            <v>40908</v>
          </cell>
          <cell r="G1520">
            <v>42916</v>
          </cell>
          <cell r="H1520">
            <v>5097221.45</v>
          </cell>
          <cell r="I1520" t="str">
            <v>FIN Submission</v>
          </cell>
          <cell r="J1520">
            <v>42940</v>
          </cell>
        </row>
        <row r="1521">
          <cell r="A1521" t="str">
            <v>16831-D016-623</v>
          </cell>
          <cell r="B1521" t="str">
            <v>New Customers - Services Unmetered</v>
          </cell>
          <cell r="C1521" t="str">
            <v>FIN Approval - Internal</v>
          </cell>
          <cell r="D1521">
            <v>177</v>
          </cell>
          <cell r="E1521" t="str">
            <v>APPROVED</v>
          </cell>
          <cell r="F1521">
            <v>40908</v>
          </cell>
          <cell r="G1521">
            <v>42916</v>
          </cell>
          <cell r="H1521">
            <v>999874.74</v>
          </cell>
          <cell r="I1521" t="str">
            <v>FIN Submission</v>
          </cell>
          <cell r="J1521">
            <v>42940</v>
          </cell>
        </row>
        <row r="1522">
          <cell r="A1522" t="str">
            <v>16835-D021-623</v>
          </cell>
          <cell r="B1522" t="str">
            <v>New Customers -Primary Line Ext CEN</v>
          </cell>
          <cell r="C1522" t="str">
            <v>FIN Approval - Internal</v>
          </cell>
          <cell r="D1522">
            <v>177</v>
          </cell>
          <cell r="E1522" t="str">
            <v>APPROVED</v>
          </cell>
          <cell r="F1522">
            <v>40908</v>
          </cell>
          <cell r="G1522">
            <v>42916</v>
          </cell>
          <cell r="H1522">
            <v>3877205.28</v>
          </cell>
          <cell r="I1522" t="str">
            <v>FIN Submission</v>
          </cell>
          <cell r="J1522">
            <v>42940</v>
          </cell>
        </row>
        <row r="1523">
          <cell r="A1523" t="str">
            <v>25078-D016-752</v>
          </cell>
          <cell r="B1523" t="str">
            <v>New Customers- Unmetered Services S</v>
          </cell>
          <cell r="C1523" t="str">
            <v>FIN Approval - Internal</v>
          </cell>
          <cell r="D1523">
            <v>177</v>
          </cell>
          <cell r="E1523" t="str">
            <v>APPROVED</v>
          </cell>
          <cell r="F1523">
            <v>40908</v>
          </cell>
          <cell r="G1523">
            <v>42916</v>
          </cell>
          <cell r="H1523">
            <v>635133.71</v>
          </cell>
          <cell r="I1523" t="str">
            <v>FIN Submission</v>
          </cell>
          <cell r="J1523">
            <v>42940</v>
          </cell>
        </row>
        <row r="1524">
          <cell r="A1524" t="str">
            <v>28249-SF64</v>
          </cell>
          <cell r="B1524" t="str">
            <v xml:space="preserve">POT Structural Steel Refurbishment </v>
          </cell>
          <cell r="C1524" t="str">
            <v>FIN Approval - Internal</v>
          </cell>
          <cell r="D1524">
            <v>177</v>
          </cell>
          <cell r="E1524" t="str">
            <v>APPROVED</v>
          </cell>
          <cell r="F1524">
            <v>42673</v>
          </cell>
          <cell r="G1524">
            <v>43038</v>
          </cell>
          <cell r="H1524">
            <v>164803.04</v>
          </cell>
          <cell r="I1524" t="str">
            <v>FIN Submission</v>
          </cell>
          <cell r="J1524">
            <v>42940</v>
          </cell>
        </row>
        <row r="1525">
          <cell r="A1525" t="str">
            <v>26717-D016-800</v>
          </cell>
          <cell r="B1525" t="str">
            <v>New Cust Unmetered Serv PROV</v>
          </cell>
          <cell r="C1525" t="str">
            <v>FIN Approval - Internal</v>
          </cell>
          <cell r="D1525">
            <v>183</v>
          </cell>
          <cell r="E1525" t="str">
            <v>APPROVED</v>
          </cell>
          <cell r="F1525">
            <v>40908</v>
          </cell>
          <cell r="G1525">
            <v>42916</v>
          </cell>
          <cell r="H1525">
            <v>-1824.75</v>
          </cell>
          <cell r="I1525" t="str">
            <v>FIN Submission</v>
          </cell>
          <cell r="J1525">
            <v>42940</v>
          </cell>
        </row>
        <row r="1526">
          <cell r="A1526" t="str">
            <v>26718-D017-800</v>
          </cell>
          <cell r="B1526" t="str">
            <v>New Customers - Metered Services</v>
          </cell>
          <cell r="C1526" t="str">
            <v>FIN Approval - Internal</v>
          </cell>
          <cell r="D1526">
            <v>183</v>
          </cell>
          <cell r="E1526" t="str">
            <v>APPROVED</v>
          </cell>
          <cell r="F1526">
            <v>40908</v>
          </cell>
          <cell r="G1526">
            <v>42916</v>
          </cell>
          <cell r="H1526">
            <v>251904.82</v>
          </cell>
          <cell r="I1526" t="str">
            <v>FIN Submission</v>
          </cell>
          <cell r="J1526">
            <v>42940</v>
          </cell>
        </row>
        <row r="1527">
          <cell r="A1527" t="str">
            <v>26719-D021-800</v>
          </cell>
          <cell r="B1527" t="str">
            <v>New Customers -Line Extensions PROV</v>
          </cell>
          <cell r="C1527" t="str">
            <v>FIN Approval - Internal</v>
          </cell>
          <cell r="D1527">
            <v>183</v>
          </cell>
          <cell r="E1527" t="str">
            <v>APPROVED</v>
          </cell>
          <cell r="F1527">
            <v>40908</v>
          </cell>
          <cell r="G1527">
            <v>42916</v>
          </cell>
          <cell r="H1527">
            <v>947592.74</v>
          </cell>
          <cell r="I1527" t="str">
            <v>FIN Submission</v>
          </cell>
          <cell r="J1527">
            <v>42940</v>
          </cell>
        </row>
        <row r="1528">
          <cell r="A1528" t="str">
            <v>16340-S396</v>
          </cell>
          <cell r="B1528" t="str">
            <v>POA - REHEATER II OUTLET TUBING REP</v>
          </cell>
          <cell r="C1528" t="str">
            <v>FIN Approval - Internal</v>
          </cell>
          <cell r="D1528">
            <v>6</v>
          </cell>
          <cell r="E1528" t="str">
            <v>APPROVED</v>
          </cell>
          <cell r="F1528">
            <v>36950</v>
          </cell>
          <cell r="G1528">
            <v>42916</v>
          </cell>
          <cell r="H1528">
            <v>936496.08</v>
          </cell>
          <cell r="I1528" t="str">
            <v>FIN Submission</v>
          </cell>
          <cell r="J1528">
            <v>42937</v>
          </cell>
        </row>
        <row r="1529">
          <cell r="A1529" t="str">
            <v>27078-S924</v>
          </cell>
          <cell r="B1529" t="str">
            <v>POA ASH SCREW COOLER ROTOR REPLACEM</v>
          </cell>
          <cell r="C1529" t="str">
            <v>FIN Approval - Internal</v>
          </cell>
          <cell r="D1529">
            <v>6</v>
          </cell>
          <cell r="E1529" t="str">
            <v>APPROVED</v>
          </cell>
          <cell r="F1529">
            <v>39017</v>
          </cell>
          <cell r="G1529">
            <v>43069</v>
          </cell>
          <cell r="H1529">
            <v>97228.54</v>
          </cell>
          <cell r="I1529" t="str">
            <v>FIN Submission</v>
          </cell>
          <cell r="J1529">
            <v>42937</v>
          </cell>
        </row>
        <row r="1530">
          <cell r="A1530" t="str">
            <v>23092-P637</v>
          </cell>
          <cell r="B1530" t="str">
            <v xml:space="preserve">RAGGED LAKE - UPS AND BATTERY BACK </v>
          </cell>
          <cell r="C1530" t="str">
            <v>FIN Approval - Internal</v>
          </cell>
          <cell r="D1530">
            <v>6</v>
          </cell>
          <cell r="E1530" t="str">
            <v>APPROVED</v>
          </cell>
          <cell r="F1530">
            <v>38077</v>
          </cell>
          <cell r="G1530">
            <v>39113</v>
          </cell>
          <cell r="H1530">
            <v>239164.48</v>
          </cell>
          <cell r="I1530" t="str">
            <v>FIN Submission</v>
          </cell>
          <cell r="J1530">
            <v>42937</v>
          </cell>
        </row>
        <row r="1531">
          <cell r="A1531" t="str">
            <v>24817-S836</v>
          </cell>
          <cell r="B1531" t="str">
            <v>LIN 4 - ID FAN DUCT CLADDING REPLAC</v>
          </cell>
          <cell r="C1531" t="str">
            <v>FIN Approval - Internal</v>
          </cell>
          <cell r="D1531">
            <v>7</v>
          </cell>
          <cell r="E1531" t="str">
            <v>APPROVED</v>
          </cell>
          <cell r="F1531">
            <v>38853</v>
          </cell>
          <cell r="G1531">
            <v>43100</v>
          </cell>
          <cell r="H1531">
            <v>90223.5</v>
          </cell>
          <cell r="I1531" t="str">
            <v>FIN Submission</v>
          </cell>
          <cell r="J1531">
            <v>42937</v>
          </cell>
        </row>
        <row r="1532">
          <cell r="A1532" t="str">
            <v>12402-S273</v>
          </cell>
          <cell r="B1532" t="str">
            <v>LINGAN UNIT 1 - TURBINE CONTROL SYS</v>
          </cell>
          <cell r="C1532" t="str">
            <v>FIN Approval - Internal</v>
          </cell>
          <cell r="D1532">
            <v>7</v>
          </cell>
          <cell r="E1532" t="str">
            <v>APPROVED</v>
          </cell>
          <cell r="F1532">
            <v>36712</v>
          </cell>
          <cell r="G1532">
            <v>42825</v>
          </cell>
          <cell r="H1532">
            <v>984794.97</v>
          </cell>
          <cell r="I1532" t="str">
            <v>FIN Submission</v>
          </cell>
          <cell r="J1532">
            <v>42937</v>
          </cell>
        </row>
        <row r="1533">
          <cell r="A1533" t="str">
            <v>28635-S211</v>
          </cell>
          <cell r="B1533" t="str">
            <v>TRE5 - (U&amp;U) DREDGING OF COOLING WA</v>
          </cell>
          <cell r="C1533" t="str">
            <v>FIN Approval - Internal</v>
          </cell>
          <cell r="D1533">
            <v>7</v>
          </cell>
          <cell r="E1533" t="str">
            <v>APPROVED</v>
          </cell>
          <cell r="F1533">
            <v>39325</v>
          </cell>
          <cell r="G1533">
            <v>42781</v>
          </cell>
          <cell r="H1533">
            <v>180153</v>
          </cell>
          <cell r="I1533" t="str">
            <v>FIN Submission</v>
          </cell>
          <cell r="J1533">
            <v>42937</v>
          </cell>
        </row>
        <row r="1534">
          <cell r="A1534" t="str">
            <v>22444-S989</v>
          </cell>
          <cell r="B1534" t="str">
            <v>TRE5 - ID DUCTWORK REPLACEMENT</v>
          </cell>
          <cell r="C1534" t="str">
            <v>FIN Approval - Internal</v>
          </cell>
          <cell r="D1534">
            <v>7</v>
          </cell>
          <cell r="E1534" t="str">
            <v>APPROVED</v>
          </cell>
          <cell r="F1534">
            <v>38966</v>
          </cell>
          <cell r="G1534">
            <v>42809</v>
          </cell>
          <cell r="H1534">
            <v>145141.34</v>
          </cell>
          <cell r="I1534" t="str">
            <v>FIN Submission</v>
          </cell>
          <cell r="J1534">
            <v>42937</v>
          </cell>
        </row>
        <row r="1535">
          <cell r="A1535" t="str">
            <v>10687-S111</v>
          </cell>
          <cell r="B1535" t="str">
            <v xml:space="preserve">TRENTON # 6 BOILER FEED PUMP FLUID </v>
          </cell>
          <cell r="C1535" t="str">
            <v>FIN Approval - Internal</v>
          </cell>
          <cell r="D1535">
            <v>7</v>
          </cell>
          <cell r="E1535" t="str">
            <v>APPROVED</v>
          </cell>
          <cell r="F1535">
            <v>35395</v>
          </cell>
          <cell r="G1535">
            <v>42781</v>
          </cell>
          <cell r="H1535">
            <v>564315.39</v>
          </cell>
          <cell r="I1535" t="str">
            <v>FIN Submission</v>
          </cell>
          <cell r="J1535">
            <v>42937</v>
          </cell>
        </row>
        <row r="1536">
          <cell r="A1536" t="str">
            <v>28378-D986</v>
          </cell>
          <cell r="B1536" t="str">
            <v xml:space="preserve">SPRINGHILL RIVERHURST WIND TURBINE </v>
          </cell>
          <cell r="C1536" t="str">
            <v>FIN Approval - Internal</v>
          </cell>
          <cell r="D1536">
            <v>11</v>
          </cell>
          <cell r="E1536" t="str">
            <v>APPROVED</v>
          </cell>
          <cell r="F1536">
            <v>39629</v>
          </cell>
          <cell r="G1536">
            <v>39629</v>
          </cell>
          <cell r="H1536">
            <v>96666.42</v>
          </cell>
          <cell r="I1536" t="str">
            <v>FIN Submission</v>
          </cell>
          <cell r="J1536">
            <v>42937</v>
          </cell>
        </row>
        <row r="1537">
          <cell r="A1537" t="str">
            <v>49225-G207</v>
          </cell>
          <cell r="B1537" t="str">
            <v>LM6000 Unit 4 Expansion Joint</v>
          </cell>
          <cell r="C1537" t="str">
            <v>FIN Approval - Internal</v>
          </cell>
          <cell r="D1537">
            <v>22</v>
          </cell>
          <cell r="E1537" t="str">
            <v>APPROVED</v>
          </cell>
          <cell r="F1537">
            <v>42643</v>
          </cell>
          <cell r="G1537">
            <v>43039</v>
          </cell>
          <cell r="H1537">
            <v>31346.43</v>
          </cell>
          <cell r="I1537" t="str">
            <v>FIN Submission</v>
          </cell>
          <cell r="J1537">
            <v>42937</v>
          </cell>
        </row>
        <row r="1538">
          <cell r="A1538" t="str">
            <v>49317-G208</v>
          </cell>
          <cell r="B1538" t="str">
            <v>LM6000-Fuel Nozzle Refurbishment</v>
          </cell>
          <cell r="C1538" t="str">
            <v>FIN Approval - Internal</v>
          </cell>
          <cell r="D1538">
            <v>22</v>
          </cell>
          <cell r="E1538" t="str">
            <v>APPROVED</v>
          </cell>
          <cell r="F1538">
            <v>42536</v>
          </cell>
          <cell r="G1538">
            <v>42612</v>
          </cell>
          <cell r="H1538">
            <v>66233.100000000006</v>
          </cell>
          <cell r="I1538" t="str">
            <v>FIN Submission</v>
          </cell>
          <cell r="J1538">
            <v>42937</v>
          </cell>
        </row>
        <row r="1539">
          <cell r="A1539" t="str">
            <v>49503-D755</v>
          </cell>
          <cell r="B1539" t="str">
            <v>57C-426 Amos Gillis Road Rebuild</v>
          </cell>
          <cell r="C1539" t="str">
            <v>FIN Approval - Internal</v>
          </cell>
          <cell r="D1539">
            <v>24</v>
          </cell>
          <cell r="E1539" t="str">
            <v>APPROVED</v>
          </cell>
          <cell r="F1539">
            <v>42643</v>
          </cell>
          <cell r="G1539">
            <v>42886</v>
          </cell>
          <cell r="H1539">
            <v>18249.53</v>
          </cell>
          <cell r="I1539" t="str">
            <v>FIN Submission</v>
          </cell>
          <cell r="J1539">
            <v>42937</v>
          </cell>
        </row>
        <row r="1540">
          <cell r="A1540" t="str">
            <v>48975-D731</v>
          </cell>
          <cell r="B1540" t="str">
            <v>59C-402G ICP-Device Replacement</v>
          </cell>
          <cell r="C1540" t="str">
            <v>FIN Approval - Internal</v>
          </cell>
          <cell r="D1540">
            <v>26</v>
          </cell>
          <cell r="E1540" t="str">
            <v>APPROVED</v>
          </cell>
          <cell r="F1540">
            <v>42643</v>
          </cell>
          <cell r="G1540">
            <v>42886</v>
          </cell>
          <cell r="H1540">
            <v>56631.98</v>
          </cell>
          <cell r="I1540" t="str">
            <v>FIN Submission</v>
          </cell>
          <cell r="J1540">
            <v>42937</v>
          </cell>
        </row>
        <row r="1541">
          <cell r="A1541" t="str">
            <v>49220-D768</v>
          </cell>
          <cell r="B1541" t="str">
            <v xml:space="preserve">Antigonish Contingency Stepdowns </v>
          </cell>
          <cell r="C1541" t="str">
            <v>FIN Approval - Internal</v>
          </cell>
          <cell r="D1541">
            <v>26</v>
          </cell>
          <cell r="E1541" t="str">
            <v>APPROVED</v>
          </cell>
          <cell r="F1541">
            <v>42705</v>
          </cell>
          <cell r="G1541">
            <v>42916</v>
          </cell>
          <cell r="H1541">
            <v>123281.16</v>
          </cell>
          <cell r="I1541" t="str">
            <v>FIN Submission</v>
          </cell>
          <cell r="J1541">
            <v>42937</v>
          </cell>
        </row>
        <row r="1542">
          <cell r="A1542" t="str">
            <v>48492-SF45</v>
          </cell>
          <cell r="B1542" t="str">
            <v>LIN3 UU SCC Chain Replacement</v>
          </cell>
          <cell r="C1542" t="str">
            <v>FIN Approval - Internal</v>
          </cell>
          <cell r="D1542">
            <v>27</v>
          </cell>
          <cell r="E1542" t="str">
            <v>APPROVED</v>
          </cell>
          <cell r="F1542">
            <v>42368</v>
          </cell>
          <cell r="G1542">
            <v>42825</v>
          </cell>
          <cell r="H1542">
            <v>61106.26</v>
          </cell>
          <cell r="I1542" t="str">
            <v>FIN Submission</v>
          </cell>
          <cell r="J1542">
            <v>42937</v>
          </cell>
        </row>
        <row r="1543">
          <cell r="A1543" t="str">
            <v>47958-D681</v>
          </cell>
          <cell r="B1543" t="str">
            <v>538W-311 - Back Cornwall Rebuild</v>
          </cell>
          <cell r="C1543" t="str">
            <v>FIN Approval - Internal</v>
          </cell>
          <cell r="D1543">
            <v>28</v>
          </cell>
          <cell r="E1543" t="str">
            <v>APPROVED</v>
          </cell>
          <cell r="F1543">
            <v>42429</v>
          </cell>
          <cell r="G1543">
            <v>42734</v>
          </cell>
          <cell r="H1543">
            <v>53438.080000000002</v>
          </cell>
          <cell r="I1543" t="str">
            <v>FIN Submission</v>
          </cell>
          <cell r="J1543">
            <v>42937</v>
          </cell>
        </row>
        <row r="1544">
          <cell r="A1544" t="str">
            <v>48609-G198</v>
          </cell>
          <cell r="B1544" t="str">
            <v>LM6000 Unit 4 Turbine Exhaust &amp; Ven</v>
          </cell>
          <cell r="C1544" t="str">
            <v>FIN Approval - Internal</v>
          </cell>
          <cell r="D1544">
            <v>28</v>
          </cell>
          <cell r="E1544" t="str">
            <v>APPROVED</v>
          </cell>
          <cell r="F1544">
            <v>42399</v>
          </cell>
          <cell r="G1544">
            <v>42674</v>
          </cell>
          <cell r="H1544">
            <v>36902.07</v>
          </cell>
          <cell r="I1544" t="str">
            <v>FIN Submission</v>
          </cell>
          <cell r="J1544">
            <v>42937</v>
          </cell>
        </row>
        <row r="1545">
          <cell r="A1545" t="str">
            <v>48637-D720</v>
          </cell>
          <cell r="B1545" t="str">
            <v>Overloaded Stepdown - 591C Margaree</v>
          </cell>
          <cell r="C1545" t="str">
            <v>FIN Approval - Internal</v>
          </cell>
          <cell r="D1545">
            <v>28</v>
          </cell>
          <cell r="E1545" t="str">
            <v>APPROVED</v>
          </cell>
          <cell r="F1545">
            <v>42519</v>
          </cell>
          <cell r="G1545">
            <v>42916</v>
          </cell>
          <cell r="H1545">
            <v>24945.34</v>
          </cell>
          <cell r="I1545" t="str">
            <v>FIN Submission</v>
          </cell>
          <cell r="J1545">
            <v>42937</v>
          </cell>
        </row>
        <row r="1546">
          <cell r="A1546" t="str">
            <v>48575-D694</v>
          </cell>
          <cell r="B1546" t="str">
            <v>131H-421 Rossing Drive Feeder</v>
          </cell>
          <cell r="C1546" t="str">
            <v>FIN Approval - Internal</v>
          </cell>
          <cell r="D1546">
            <v>29</v>
          </cell>
          <cell r="E1546" t="str">
            <v>APPROVED</v>
          </cell>
          <cell r="F1546">
            <v>42519</v>
          </cell>
          <cell r="G1546">
            <v>42886</v>
          </cell>
          <cell r="H1546">
            <v>9920.7199999999993</v>
          </cell>
          <cell r="I1546" t="str">
            <v>FIN Submission</v>
          </cell>
          <cell r="J1546">
            <v>42937</v>
          </cell>
        </row>
        <row r="1547">
          <cell r="A1547" t="str">
            <v>48671-D716</v>
          </cell>
          <cell r="B1547" t="str">
            <v>19W-312 Dennis Point Wharf Reconduc</v>
          </cell>
          <cell r="C1547" t="str">
            <v>FIN Approval - Internal</v>
          </cell>
          <cell r="D1547">
            <v>29</v>
          </cell>
          <cell r="E1547" t="str">
            <v>APPROVED</v>
          </cell>
          <cell r="F1547">
            <v>42553</v>
          </cell>
          <cell r="G1547">
            <v>42886</v>
          </cell>
          <cell r="H1547">
            <v>210873.28</v>
          </cell>
          <cell r="I1547" t="str">
            <v>FIN Submission</v>
          </cell>
          <cell r="J1547">
            <v>42937</v>
          </cell>
        </row>
        <row r="1548">
          <cell r="A1548" t="str">
            <v>48652-D715</v>
          </cell>
          <cell r="B1548" t="str">
            <v>46V-303 Remove Abandoned Line</v>
          </cell>
          <cell r="C1548" t="str">
            <v>FIN Approval - Internal</v>
          </cell>
          <cell r="D1548">
            <v>29</v>
          </cell>
          <cell r="E1548" t="str">
            <v>APPROVED</v>
          </cell>
          <cell r="F1548">
            <v>42674</v>
          </cell>
          <cell r="G1548">
            <v>42916</v>
          </cell>
          <cell r="H1548">
            <v>19564.900000000001</v>
          </cell>
          <cell r="I1548" t="str">
            <v>FIN Submission</v>
          </cell>
          <cell r="J1548">
            <v>42937</v>
          </cell>
        </row>
        <row r="1549">
          <cell r="A1549" t="str">
            <v>48434-D695</v>
          </cell>
          <cell r="B1549" t="str">
            <v>25W-302G Lockes Island Reconductor</v>
          </cell>
          <cell r="C1549" t="str">
            <v>FIN Approval - Internal</v>
          </cell>
          <cell r="D1549">
            <v>30</v>
          </cell>
          <cell r="E1549" t="str">
            <v>APPROVED</v>
          </cell>
          <cell r="F1549">
            <v>42429</v>
          </cell>
          <cell r="G1549">
            <v>42916</v>
          </cell>
          <cell r="H1549">
            <v>31102.76</v>
          </cell>
          <cell r="I1549" t="str">
            <v>FIN Submission</v>
          </cell>
          <cell r="J1549">
            <v>42937</v>
          </cell>
        </row>
        <row r="1550">
          <cell r="A1550" t="str">
            <v>48356-SF13</v>
          </cell>
          <cell r="B1550" t="str">
            <v>LIN1 UU Air Heater Refurbishment</v>
          </cell>
          <cell r="C1550" t="str">
            <v>FIN Approval - Internal</v>
          </cell>
          <cell r="D1550">
            <v>30</v>
          </cell>
          <cell r="E1550" t="str">
            <v>APPROVED</v>
          </cell>
          <cell r="F1550">
            <v>42338</v>
          </cell>
          <cell r="G1550">
            <v>43100</v>
          </cell>
          <cell r="H1550">
            <v>231045.39</v>
          </cell>
          <cell r="I1550" t="str">
            <v>FIN Submission</v>
          </cell>
          <cell r="J1550">
            <v>42937</v>
          </cell>
        </row>
        <row r="1551">
          <cell r="A1551" t="str">
            <v>48440-D713</v>
          </cell>
          <cell r="B1551" t="str">
            <v>Upgrade R324-122 and R3A03781</v>
          </cell>
          <cell r="C1551" t="str">
            <v>FIN Approval - Internal</v>
          </cell>
          <cell r="D1551">
            <v>30</v>
          </cell>
          <cell r="E1551" t="str">
            <v>APPROVED</v>
          </cell>
          <cell r="F1551">
            <v>42520</v>
          </cell>
          <cell r="G1551">
            <v>42886</v>
          </cell>
          <cell r="H1551">
            <v>24170.9</v>
          </cell>
          <cell r="I1551" t="str">
            <v>FIN Submission</v>
          </cell>
          <cell r="J1551">
            <v>42937</v>
          </cell>
        </row>
        <row r="1552">
          <cell r="A1552" t="str">
            <v>47373-P964</v>
          </cell>
          <cell r="B1552" t="str">
            <v>Dexter LIIR</v>
          </cell>
          <cell r="C1552" t="str">
            <v>FIN Approval - Internal</v>
          </cell>
          <cell r="D1552">
            <v>31</v>
          </cell>
          <cell r="E1552" t="str">
            <v>APPROVED</v>
          </cell>
          <cell r="F1552">
            <v>42277</v>
          </cell>
          <cell r="G1552">
            <v>42520</v>
          </cell>
          <cell r="H1552">
            <v>151.22</v>
          </cell>
          <cell r="I1552" t="str">
            <v>FIN Submission</v>
          </cell>
          <cell r="J1552">
            <v>42937</v>
          </cell>
        </row>
        <row r="1553">
          <cell r="A1553" t="str">
            <v>48412-D697</v>
          </cell>
          <cell r="B1553" t="str">
            <v xml:space="preserve">Overload Stepdown - Scotch Hill </v>
          </cell>
          <cell r="C1553" t="str">
            <v>FIN Approval - Internal</v>
          </cell>
          <cell r="D1553">
            <v>32</v>
          </cell>
          <cell r="E1553" t="str">
            <v>APPROVED</v>
          </cell>
          <cell r="F1553">
            <v>42423</v>
          </cell>
          <cell r="G1553">
            <v>42916</v>
          </cell>
          <cell r="H1553">
            <v>44165.69</v>
          </cell>
          <cell r="I1553" t="str">
            <v>FIN Submission</v>
          </cell>
          <cell r="J1553">
            <v>42937</v>
          </cell>
        </row>
        <row r="1554">
          <cell r="A1554" t="str">
            <v>48438-SF52</v>
          </cell>
          <cell r="B1554" t="str">
            <v>LIN4 ID Fan Damper &amp; VIV Refurb.</v>
          </cell>
          <cell r="C1554" t="str">
            <v>FIN Approval - Internal</v>
          </cell>
          <cell r="D1554">
            <v>33</v>
          </cell>
          <cell r="E1554" t="str">
            <v>APPROVED</v>
          </cell>
          <cell r="F1554">
            <v>42539</v>
          </cell>
          <cell r="G1554">
            <v>43087</v>
          </cell>
          <cell r="H1554">
            <v>449341.88</v>
          </cell>
          <cell r="I1554" t="str">
            <v/>
          </cell>
          <cell r="J1554">
            <v>42937</v>
          </cell>
        </row>
        <row r="1555">
          <cell r="A1555" t="str">
            <v>48234-P122</v>
          </cell>
          <cell r="B1555" t="str">
            <v>Customer Support System Enhancement</v>
          </cell>
          <cell r="C1555" t="str">
            <v>FIN Approval - Internal</v>
          </cell>
          <cell r="D1555">
            <v>34</v>
          </cell>
          <cell r="E1555" t="str">
            <v>APPROVED</v>
          </cell>
          <cell r="F1555">
            <v>42781</v>
          </cell>
          <cell r="G1555">
            <v>42916</v>
          </cell>
          <cell r="H1555">
            <v>202618.83</v>
          </cell>
          <cell r="I1555" t="str">
            <v>FIN Submission</v>
          </cell>
          <cell r="J1555">
            <v>42937</v>
          </cell>
        </row>
        <row r="1556">
          <cell r="A1556" t="str">
            <v>47663-SF43</v>
          </cell>
          <cell r="B1556" t="str">
            <v>LIN4 - SH5 Boiler Tube Replacement</v>
          </cell>
          <cell r="C1556" t="str">
            <v>FIN Approval - Internal</v>
          </cell>
          <cell r="D1556">
            <v>34</v>
          </cell>
          <cell r="E1556" t="str">
            <v>APPROVED</v>
          </cell>
          <cell r="F1556">
            <v>42546</v>
          </cell>
          <cell r="G1556">
            <v>43094</v>
          </cell>
          <cell r="H1556">
            <v>615510.80000000005</v>
          </cell>
          <cell r="I1556" t="str">
            <v>FIN Submission</v>
          </cell>
          <cell r="J1556">
            <v>42937</v>
          </cell>
        </row>
        <row r="1557">
          <cell r="A1557" t="str">
            <v>47666-SF44</v>
          </cell>
          <cell r="B1557" t="str">
            <v>LIN4 Boiler Refurbishment 2015</v>
          </cell>
          <cell r="C1557" t="str">
            <v>FIN Approval - Internal</v>
          </cell>
          <cell r="D1557">
            <v>34</v>
          </cell>
          <cell r="E1557" t="str">
            <v>APPROVED</v>
          </cell>
          <cell r="F1557">
            <v>42546</v>
          </cell>
          <cell r="G1557">
            <v>43094</v>
          </cell>
          <cell r="H1557">
            <v>650949.11</v>
          </cell>
          <cell r="I1557" t="str">
            <v>FIN Submission</v>
          </cell>
          <cell r="J1557">
            <v>42937</v>
          </cell>
        </row>
        <row r="1558">
          <cell r="A1558" t="str">
            <v>47510-SF47</v>
          </cell>
          <cell r="B1558" t="str">
            <v>LIN Coal Plant Struc. Refur. Ph. 2</v>
          </cell>
          <cell r="C1558" t="str">
            <v>FIN Approval - Internal</v>
          </cell>
          <cell r="D1558">
            <v>35</v>
          </cell>
          <cell r="E1558" t="str">
            <v>APPROVED</v>
          </cell>
          <cell r="F1558">
            <v>42549</v>
          </cell>
          <cell r="G1558">
            <v>42886</v>
          </cell>
          <cell r="H1558">
            <v>445560.38</v>
          </cell>
          <cell r="I1558" t="str">
            <v>FIN Submission</v>
          </cell>
          <cell r="J1558">
            <v>42937</v>
          </cell>
        </row>
        <row r="1559">
          <cell r="A1559" t="str">
            <v>47664-SF05</v>
          </cell>
          <cell r="B1559" t="str">
            <v>LIN4 Boiler Div. Wall Replacement</v>
          </cell>
          <cell r="C1559" t="str">
            <v>FIN Approval - Internal</v>
          </cell>
          <cell r="D1559">
            <v>35</v>
          </cell>
          <cell r="E1559" t="str">
            <v>APPROVED</v>
          </cell>
          <cell r="F1559">
            <v>42546</v>
          </cell>
          <cell r="G1559">
            <v>43094</v>
          </cell>
          <cell r="H1559">
            <v>684404.4</v>
          </cell>
          <cell r="I1559" t="str">
            <v>FIN Submission</v>
          </cell>
          <cell r="J1559">
            <v>42937</v>
          </cell>
        </row>
        <row r="1560">
          <cell r="A1560" t="str">
            <v>47791-D708</v>
          </cell>
          <cell r="B1560" t="str">
            <v>103H Feeder Exit Cable Replacement</v>
          </cell>
          <cell r="C1560" t="str">
            <v>FIN Approval - Internal</v>
          </cell>
          <cell r="D1560">
            <v>36</v>
          </cell>
          <cell r="E1560" t="str">
            <v>APPROVED</v>
          </cell>
          <cell r="F1560">
            <v>42582</v>
          </cell>
          <cell r="G1560">
            <v>42916</v>
          </cell>
          <cell r="H1560">
            <v>121347.63</v>
          </cell>
          <cell r="I1560" t="str">
            <v>FIN Submission</v>
          </cell>
          <cell r="J1560">
            <v>42937</v>
          </cell>
        </row>
        <row r="1561">
          <cell r="A1561" t="str">
            <v>47813-D673</v>
          </cell>
          <cell r="B1561" t="str">
            <v>535N Powell Road Phase 2 Conversion</v>
          </cell>
          <cell r="C1561" t="str">
            <v>FIN Approval - Internal</v>
          </cell>
          <cell r="D1561">
            <v>36</v>
          </cell>
          <cell r="E1561" t="str">
            <v>APPROVED</v>
          </cell>
          <cell r="F1561">
            <v>42429</v>
          </cell>
          <cell r="G1561">
            <v>42886</v>
          </cell>
          <cell r="H1561">
            <v>537992.59</v>
          </cell>
          <cell r="I1561" t="str">
            <v>FIN Submission</v>
          </cell>
          <cell r="J1561">
            <v>42937</v>
          </cell>
        </row>
        <row r="1562">
          <cell r="A1562" t="str">
            <v>47507-SF42</v>
          </cell>
          <cell r="B1562" t="str">
            <v>LIN CW Pump Rebuild 2016</v>
          </cell>
          <cell r="C1562" t="str">
            <v>FIN Approval - Internal</v>
          </cell>
          <cell r="D1562">
            <v>36</v>
          </cell>
          <cell r="E1562" t="str">
            <v>APPROVED</v>
          </cell>
          <cell r="F1562">
            <v>42702</v>
          </cell>
          <cell r="G1562">
            <v>42883</v>
          </cell>
          <cell r="H1562">
            <v>655543.55000000005</v>
          </cell>
          <cell r="I1562" t="str">
            <v>FIN Submission</v>
          </cell>
          <cell r="J1562">
            <v>42937</v>
          </cell>
        </row>
        <row r="1563">
          <cell r="A1563" t="str">
            <v>47933-SF37</v>
          </cell>
          <cell r="B1563" t="str">
            <v>LIN4 Turbine Vibr. Monit. Upgrade</v>
          </cell>
          <cell r="C1563" t="str">
            <v>FIN Approval - Internal</v>
          </cell>
          <cell r="D1563">
            <v>36</v>
          </cell>
          <cell r="E1563" t="str">
            <v>APPROVED</v>
          </cell>
          <cell r="F1563">
            <v>42540</v>
          </cell>
          <cell r="G1563">
            <v>43088</v>
          </cell>
          <cell r="H1563">
            <v>291237.7</v>
          </cell>
          <cell r="I1563" t="str">
            <v>FIN Submission</v>
          </cell>
          <cell r="J1563">
            <v>42937</v>
          </cell>
        </row>
        <row r="1564">
          <cell r="A1564" t="str">
            <v>47679-D667</v>
          </cell>
          <cell r="B1564" t="str">
            <v>103C-311 Barren Road Reconductor</v>
          </cell>
          <cell r="C1564" t="str">
            <v>FIN Approval - Internal</v>
          </cell>
          <cell r="D1564">
            <v>37</v>
          </cell>
          <cell r="E1564" t="str">
            <v>APPROVED</v>
          </cell>
          <cell r="F1564">
            <v>42277</v>
          </cell>
          <cell r="G1564">
            <v>42886</v>
          </cell>
          <cell r="H1564">
            <v>356577.56</v>
          </cell>
          <cell r="I1564" t="str">
            <v>FIN Submission</v>
          </cell>
          <cell r="J1564">
            <v>42937</v>
          </cell>
        </row>
        <row r="1565">
          <cell r="A1565" t="str">
            <v>46839-SD59</v>
          </cell>
          <cell r="B1565" t="str">
            <v>LIN2 UU Burner Front Ext Weld Ref</v>
          </cell>
          <cell r="C1565" t="str">
            <v>FIN Approval - Internal</v>
          </cell>
          <cell r="D1565">
            <v>37</v>
          </cell>
          <cell r="E1565" t="str">
            <v>APPROVED</v>
          </cell>
          <cell r="F1565">
            <v>42035</v>
          </cell>
          <cell r="G1565">
            <v>42794</v>
          </cell>
          <cell r="H1565">
            <v>62632.36</v>
          </cell>
          <cell r="I1565" t="str">
            <v>FIN Submission</v>
          </cell>
          <cell r="J1565">
            <v>42937</v>
          </cell>
        </row>
        <row r="1566">
          <cell r="A1566" t="str">
            <v>47658-SE59</v>
          </cell>
          <cell r="B1566" t="str">
            <v>LIN4 L-0 Blade Replacement</v>
          </cell>
          <cell r="C1566" t="str">
            <v>FIN Approval - Internal</v>
          </cell>
          <cell r="D1566">
            <v>37</v>
          </cell>
          <cell r="E1566" t="str">
            <v>APPROVED</v>
          </cell>
          <cell r="F1566">
            <v>42546</v>
          </cell>
          <cell r="G1566">
            <v>43094</v>
          </cell>
          <cell r="H1566">
            <v>4497121.4000000004</v>
          </cell>
          <cell r="I1566" t="str">
            <v>FIN Submission</v>
          </cell>
          <cell r="J1566">
            <v>42937</v>
          </cell>
        </row>
        <row r="1567">
          <cell r="A1567" t="str">
            <v>46875-SD61</v>
          </cell>
          <cell r="B1567" t="str">
            <v>LIN4 UU Burner Front Ext. Weld Ref.</v>
          </cell>
          <cell r="C1567" t="str">
            <v>FIN Approval - Internal</v>
          </cell>
          <cell r="D1567">
            <v>37</v>
          </cell>
          <cell r="E1567" t="str">
            <v>APPROVED</v>
          </cell>
          <cell r="F1567">
            <v>42045</v>
          </cell>
          <cell r="G1567">
            <v>43039</v>
          </cell>
          <cell r="H1567">
            <v>44283.26</v>
          </cell>
          <cell r="I1567" t="str">
            <v>FIN Submission</v>
          </cell>
          <cell r="J1567">
            <v>42937</v>
          </cell>
        </row>
        <row r="1568">
          <cell r="A1568" t="str">
            <v>47616-D668</v>
          </cell>
          <cell r="B1568" t="str">
            <v>77V-303 - Victoria Street Reconduct</v>
          </cell>
          <cell r="C1568" t="str">
            <v>FIN Approval - Internal</v>
          </cell>
          <cell r="D1568">
            <v>38</v>
          </cell>
          <cell r="E1568" t="str">
            <v>APPROVED</v>
          </cell>
          <cell r="F1568">
            <v>42277</v>
          </cell>
          <cell r="G1568">
            <v>42734</v>
          </cell>
          <cell r="H1568">
            <v>240767.27</v>
          </cell>
          <cell r="I1568" t="str">
            <v>FIN Submission</v>
          </cell>
          <cell r="J1568">
            <v>42937</v>
          </cell>
        </row>
        <row r="1569">
          <cell r="A1569" t="str">
            <v>47294-D657</v>
          </cell>
          <cell r="B1569" t="str">
            <v xml:space="preserve">16V-315 New Edinburgh Rd </v>
          </cell>
          <cell r="C1569" t="str">
            <v>FIN Approval - Internal</v>
          </cell>
          <cell r="D1569">
            <v>39</v>
          </cell>
          <cell r="E1569" t="str">
            <v>APPROVED</v>
          </cell>
          <cell r="F1569">
            <v>42338</v>
          </cell>
          <cell r="G1569">
            <v>42734</v>
          </cell>
          <cell r="H1569">
            <v>100500.65</v>
          </cell>
          <cell r="I1569" t="str">
            <v>FIN Submission</v>
          </cell>
          <cell r="J1569">
            <v>42937</v>
          </cell>
        </row>
        <row r="1570">
          <cell r="A1570" t="str">
            <v>47399-D658</v>
          </cell>
          <cell r="B1570" t="str">
            <v>65V-302H - Bloomington Rd Reconduct</v>
          </cell>
          <cell r="C1570" t="str">
            <v>FIN Approval - Internal</v>
          </cell>
          <cell r="D1570">
            <v>39</v>
          </cell>
          <cell r="E1570" t="str">
            <v>APPROVED</v>
          </cell>
          <cell r="F1570">
            <v>42277</v>
          </cell>
          <cell r="G1570">
            <v>42886</v>
          </cell>
          <cell r="H1570">
            <v>196215.56</v>
          </cell>
          <cell r="I1570" t="str">
            <v>FIN Submission</v>
          </cell>
          <cell r="J1570">
            <v>42937</v>
          </cell>
        </row>
        <row r="1571">
          <cell r="A1571" t="str">
            <v>47224-D677</v>
          </cell>
          <cell r="B1571" t="str">
            <v>1N-404 81N-411 Plains Rd Line Upgra</v>
          </cell>
          <cell r="C1571" t="str">
            <v>FIN Approval - Internal</v>
          </cell>
          <cell r="D1571">
            <v>40</v>
          </cell>
          <cell r="E1571" t="str">
            <v>APPROVED</v>
          </cell>
          <cell r="F1571">
            <v>42307</v>
          </cell>
          <cell r="G1571">
            <v>42886</v>
          </cell>
          <cell r="H1571">
            <v>240513.71</v>
          </cell>
          <cell r="I1571" t="str">
            <v>FIN Submission</v>
          </cell>
          <cell r="J1571">
            <v>42937</v>
          </cell>
        </row>
        <row r="1572">
          <cell r="A1572" t="str">
            <v>47431-D662</v>
          </cell>
          <cell r="B1572" t="str">
            <v>666V-311-Castle Frederick Road - Re</v>
          </cell>
          <cell r="C1572" t="str">
            <v>FIN Approval - Internal</v>
          </cell>
          <cell r="D1572">
            <v>40</v>
          </cell>
          <cell r="E1572" t="str">
            <v>APPROVED</v>
          </cell>
          <cell r="F1572">
            <v>42400</v>
          </cell>
          <cell r="G1572">
            <v>42886</v>
          </cell>
          <cell r="H1572">
            <v>121358.21</v>
          </cell>
          <cell r="I1572" t="str">
            <v>FIN Submission</v>
          </cell>
          <cell r="J1572">
            <v>42937</v>
          </cell>
        </row>
        <row r="1573">
          <cell r="A1573" t="str">
            <v>47693-D676</v>
          </cell>
          <cell r="B1573" t="str">
            <v>63V-313G-Evangeline Trail Reconduct</v>
          </cell>
          <cell r="C1573" t="str">
            <v>FIN Approval - Internal</v>
          </cell>
          <cell r="D1573">
            <v>41</v>
          </cell>
          <cell r="E1573" t="str">
            <v>APPROVED</v>
          </cell>
          <cell r="F1573">
            <v>42338</v>
          </cell>
          <cell r="G1573">
            <v>42886</v>
          </cell>
          <cell r="H1573">
            <v>413940.82</v>
          </cell>
          <cell r="I1573" t="str">
            <v>FIN Submission</v>
          </cell>
          <cell r="J1573">
            <v>42937</v>
          </cell>
        </row>
        <row r="1574">
          <cell r="A1574" t="str">
            <v>47216-D641</v>
          </cell>
          <cell r="B1574" t="str">
            <v>670N-Crowes Mills Overloaded Stepdo</v>
          </cell>
          <cell r="C1574" t="str">
            <v>FIN Approval - Internal</v>
          </cell>
          <cell r="D1574">
            <v>41</v>
          </cell>
          <cell r="E1574" t="str">
            <v>APPROVED</v>
          </cell>
          <cell r="F1574">
            <v>42155</v>
          </cell>
          <cell r="G1574">
            <v>42886</v>
          </cell>
          <cell r="H1574">
            <v>174897.64</v>
          </cell>
          <cell r="I1574" t="str">
            <v>FIN Submission</v>
          </cell>
          <cell r="J1574">
            <v>42937</v>
          </cell>
        </row>
        <row r="1575">
          <cell r="A1575" t="str">
            <v>47251-D651</v>
          </cell>
          <cell r="B1575" t="str">
            <v>99V-314GA North River Rd Add 1Ph VR</v>
          </cell>
          <cell r="C1575" t="str">
            <v>FIN Approval - Internal</v>
          </cell>
          <cell r="D1575">
            <v>41</v>
          </cell>
          <cell r="E1575" t="str">
            <v>APPROVED</v>
          </cell>
          <cell r="F1575">
            <v>42277</v>
          </cell>
          <cell r="G1575">
            <v>42886</v>
          </cell>
          <cell r="H1575">
            <v>34157.1</v>
          </cell>
          <cell r="I1575" t="str">
            <v>FIN Submission</v>
          </cell>
          <cell r="J1575">
            <v>42937</v>
          </cell>
        </row>
        <row r="1576">
          <cell r="A1576" t="str">
            <v>47153-SE28</v>
          </cell>
          <cell r="B1576" t="str">
            <v>LIN PA Transport Air Compressor Rep</v>
          </cell>
          <cell r="C1576" t="str">
            <v>FIN Approval - Internal</v>
          </cell>
          <cell r="D1576">
            <v>42</v>
          </cell>
          <cell r="E1576" t="str">
            <v>APPROVED</v>
          </cell>
          <cell r="F1576">
            <v>42308</v>
          </cell>
          <cell r="G1576">
            <v>43100</v>
          </cell>
          <cell r="H1576">
            <v>194207.52</v>
          </cell>
          <cell r="I1576" t="str">
            <v/>
          </cell>
          <cell r="J1576">
            <v>42937</v>
          </cell>
        </row>
        <row r="1577">
          <cell r="A1577" t="str">
            <v>47054-D632</v>
          </cell>
          <cell r="B1577" t="str">
            <v xml:space="preserve">22W-312 - Newellton Orion Wharf Rd </v>
          </cell>
          <cell r="C1577" t="str">
            <v>FIN Approval - Internal</v>
          </cell>
          <cell r="D1577">
            <v>43</v>
          </cell>
          <cell r="E1577" t="str">
            <v>APPROVED</v>
          </cell>
          <cell r="F1577">
            <v>42185</v>
          </cell>
          <cell r="G1577">
            <v>42886</v>
          </cell>
          <cell r="H1577">
            <v>33572.25</v>
          </cell>
          <cell r="I1577" t="str">
            <v>FIN Submission</v>
          </cell>
          <cell r="J1577">
            <v>42937</v>
          </cell>
        </row>
        <row r="1578">
          <cell r="A1578" t="str">
            <v>47032-D629</v>
          </cell>
          <cell r="B1578" t="str">
            <v>65V-301 Mount Hanley Road Rebuild</v>
          </cell>
          <cell r="C1578" t="str">
            <v>FIN Approval - Internal</v>
          </cell>
          <cell r="D1578">
            <v>43</v>
          </cell>
          <cell r="E1578" t="str">
            <v>APPROVED</v>
          </cell>
          <cell r="F1578">
            <v>42246</v>
          </cell>
          <cell r="G1578">
            <v>42886</v>
          </cell>
          <cell r="H1578">
            <v>52570.64</v>
          </cell>
          <cell r="I1578" t="str">
            <v>FIN Submission</v>
          </cell>
          <cell r="J1578">
            <v>42937</v>
          </cell>
        </row>
        <row r="1579">
          <cell r="A1579" t="str">
            <v>47121-D648</v>
          </cell>
          <cell r="B1579" t="str">
            <v>22N-401-Southampton Rd - Reconducto</v>
          </cell>
          <cell r="C1579" t="str">
            <v>FIN Approval - Internal</v>
          </cell>
          <cell r="D1579">
            <v>44</v>
          </cell>
          <cell r="E1579" t="str">
            <v>APPROVED</v>
          </cell>
          <cell r="F1579">
            <v>42277</v>
          </cell>
          <cell r="G1579">
            <v>42886</v>
          </cell>
          <cell r="H1579">
            <v>184837.95</v>
          </cell>
          <cell r="I1579" t="str">
            <v>FIN Submission</v>
          </cell>
          <cell r="J1579">
            <v>42937</v>
          </cell>
        </row>
        <row r="1580">
          <cell r="A1580" t="str">
            <v>46759-D618</v>
          </cell>
          <cell r="B1580" t="str">
            <v>127H-411 Fall River Add 2 Phases</v>
          </cell>
          <cell r="C1580" t="str">
            <v>FIN Approval - Internal</v>
          </cell>
          <cell r="D1580">
            <v>45</v>
          </cell>
          <cell r="E1580" t="str">
            <v>APPROVED</v>
          </cell>
          <cell r="F1580">
            <v>42338</v>
          </cell>
          <cell r="G1580">
            <v>42886</v>
          </cell>
          <cell r="H1580">
            <v>45134.22</v>
          </cell>
          <cell r="I1580" t="str">
            <v>FIN Submission</v>
          </cell>
          <cell r="J1580">
            <v>42937</v>
          </cell>
        </row>
        <row r="1581">
          <cell r="A1581" t="str">
            <v>46933-D619</v>
          </cell>
          <cell r="B1581" t="str">
            <v>6N-302 Rodney Road Reconductor</v>
          </cell>
          <cell r="C1581" t="str">
            <v>FIN Approval - Internal</v>
          </cell>
          <cell r="D1581">
            <v>45</v>
          </cell>
          <cell r="E1581" t="str">
            <v>APPROVED</v>
          </cell>
          <cell r="F1581">
            <v>42154</v>
          </cell>
          <cell r="G1581">
            <v>42886</v>
          </cell>
          <cell r="H1581">
            <v>76336.3</v>
          </cell>
          <cell r="I1581" t="str">
            <v>FIN Submission</v>
          </cell>
          <cell r="J1581">
            <v>42937</v>
          </cell>
        </row>
        <row r="1582">
          <cell r="A1582" t="str">
            <v>46672-SE05</v>
          </cell>
          <cell r="B1582" t="str">
            <v>LIN - Boiler Nitrogen Generator</v>
          </cell>
          <cell r="C1582" t="str">
            <v>FIN Approval - Internal</v>
          </cell>
          <cell r="D1582">
            <v>45</v>
          </cell>
          <cell r="E1582" t="str">
            <v>APPROVED</v>
          </cell>
          <cell r="F1582">
            <v>42246</v>
          </cell>
          <cell r="G1582">
            <v>42886</v>
          </cell>
          <cell r="H1582">
            <v>51450.49</v>
          </cell>
          <cell r="I1582" t="str">
            <v>FIN Submission</v>
          </cell>
          <cell r="J1582">
            <v>42937</v>
          </cell>
        </row>
        <row r="1583">
          <cell r="A1583" t="str">
            <v>46576-D627</v>
          </cell>
          <cell r="B1583" t="str">
            <v>2015 PCB Phase-out for Pole Top Tx</v>
          </cell>
          <cell r="C1583" t="str">
            <v>FIN Approval - Internal</v>
          </cell>
          <cell r="D1583">
            <v>48</v>
          </cell>
          <cell r="E1583" t="str">
            <v>APPROVED</v>
          </cell>
          <cell r="F1583">
            <v>42091</v>
          </cell>
          <cell r="G1583">
            <v>42916</v>
          </cell>
          <cell r="H1583">
            <v>756617.03</v>
          </cell>
          <cell r="I1583" t="str">
            <v>FIN Submission</v>
          </cell>
          <cell r="J1583">
            <v>42937</v>
          </cell>
        </row>
        <row r="1584">
          <cell r="A1584" t="str">
            <v>46579-D621</v>
          </cell>
          <cell r="B1584" t="str">
            <v>48W-204 Wolfe St Voltage Conversion</v>
          </cell>
          <cell r="C1584" t="str">
            <v>FIN Approval - Internal</v>
          </cell>
          <cell r="D1584">
            <v>48</v>
          </cell>
          <cell r="E1584" t="str">
            <v>APPROVED</v>
          </cell>
          <cell r="F1584">
            <v>42277</v>
          </cell>
          <cell r="G1584">
            <v>42916</v>
          </cell>
          <cell r="H1584">
            <v>165999.25</v>
          </cell>
          <cell r="I1584" t="str">
            <v>FIN Submission</v>
          </cell>
          <cell r="J1584">
            <v>42937</v>
          </cell>
        </row>
        <row r="1585">
          <cell r="A1585" t="str">
            <v>46470-SD89</v>
          </cell>
          <cell r="B1585" t="str">
            <v>LIN1 - Boiler Refurbishment 2015</v>
          </cell>
          <cell r="C1585" t="str">
            <v>FIN Approval - Internal</v>
          </cell>
          <cell r="D1585">
            <v>48</v>
          </cell>
          <cell r="E1585" t="str">
            <v>APPROVED</v>
          </cell>
          <cell r="F1585">
            <v>42308</v>
          </cell>
          <cell r="G1585">
            <v>42916</v>
          </cell>
          <cell r="H1585">
            <v>716170.26</v>
          </cell>
          <cell r="I1585" t="str">
            <v>FIN Submission</v>
          </cell>
          <cell r="J1585">
            <v>42937</v>
          </cell>
        </row>
        <row r="1586">
          <cell r="A1586" t="str">
            <v>CONV-S854</v>
          </cell>
          <cell r="B1586" t="str">
            <v>S854-POT Bottom Ash Conveyor Rebuil</v>
          </cell>
          <cell r="C1586" t="str">
            <v>FIN Approval - Internal</v>
          </cell>
          <cell r="D1586">
            <v>48</v>
          </cell>
          <cell r="E1586" t="str">
            <v>APPROVED</v>
          </cell>
          <cell r="F1586">
            <v>38717</v>
          </cell>
          <cell r="G1586">
            <v>42185</v>
          </cell>
          <cell r="H1586">
            <v>-1.07</v>
          </cell>
          <cell r="I1586" t="str">
            <v>FIN Submission</v>
          </cell>
          <cell r="J1586">
            <v>42937</v>
          </cell>
        </row>
        <row r="1587">
          <cell r="A1587" t="str">
            <v>28149-S162</v>
          </cell>
          <cell r="B1587" t="str">
            <v>TRE - ASH LAGOON COVERING (2007)</v>
          </cell>
          <cell r="C1587" t="str">
            <v>FIN Approval - Internal</v>
          </cell>
          <cell r="D1587">
            <v>48</v>
          </cell>
          <cell r="E1587" t="str">
            <v>APPROVED</v>
          </cell>
          <cell r="F1587">
            <v>39447</v>
          </cell>
          <cell r="G1587">
            <v>39507</v>
          </cell>
          <cell r="H1587">
            <v>100162.92</v>
          </cell>
          <cell r="I1587" t="str">
            <v>FIN Submission</v>
          </cell>
          <cell r="J1587">
            <v>42937</v>
          </cell>
        </row>
        <row r="1588">
          <cell r="A1588" t="str">
            <v>46212-D608</v>
          </cell>
          <cell r="B1588" t="str">
            <v>500N-301 Caribou Island Reconductor</v>
          </cell>
          <cell r="C1588" t="str">
            <v>FIN Approval - Internal</v>
          </cell>
          <cell r="D1588">
            <v>49</v>
          </cell>
          <cell r="E1588" t="str">
            <v>APPROVED</v>
          </cell>
          <cell r="F1588">
            <v>42277</v>
          </cell>
          <cell r="G1588">
            <v>42612</v>
          </cell>
          <cell r="H1588">
            <v>233351.13</v>
          </cell>
          <cell r="I1588" t="str">
            <v>FIN Submission</v>
          </cell>
          <cell r="J1588">
            <v>42937</v>
          </cell>
        </row>
        <row r="1589">
          <cell r="A1589" t="str">
            <v>46496-SD45</v>
          </cell>
          <cell r="B1589" t="str">
            <v>LIN3 Analytical Panel Replacement</v>
          </cell>
          <cell r="C1589" t="str">
            <v>FIN Approval - Internal</v>
          </cell>
          <cell r="D1589">
            <v>49</v>
          </cell>
          <cell r="E1589" t="str">
            <v>APPROVED</v>
          </cell>
          <cell r="F1589">
            <v>42144</v>
          </cell>
          <cell r="G1589">
            <v>42916</v>
          </cell>
          <cell r="H1589">
            <v>346110.02</v>
          </cell>
          <cell r="I1589" t="str">
            <v>FIN Submission</v>
          </cell>
          <cell r="J1589">
            <v>42937</v>
          </cell>
        </row>
        <row r="1590">
          <cell r="A1590" t="str">
            <v>46456-D592</v>
          </cell>
          <cell r="B1590" t="str">
            <v>11W Yarmouth 4kV Conversion</v>
          </cell>
          <cell r="C1590" t="str">
            <v>FIN Approval - Internal</v>
          </cell>
          <cell r="D1590">
            <v>50</v>
          </cell>
          <cell r="E1590" t="str">
            <v>APPROVED</v>
          </cell>
          <cell r="F1590">
            <v>42426</v>
          </cell>
          <cell r="G1590">
            <v>42886</v>
          </cell>
          <cell r="H1590">
            <v>791983.17</v>
          </cell>
          <cell r="I1590" t="str">
            <v>FIN Submission</v>
          </cell>
          <cell r="J1590">
            <v>42937</v>
          </cell>
        </row>
        <row r="1591">
          <cell r="A1591" t="str">
            <v>46615-D611</v>
          </cell>
          <cell r="B1591" t="str">
            <v>613V-211 Bear River Voltage Convers</v>
          </cell>
          <cell r="C1591" t="str">
            <v>FIN Approval - Internal</v>
          </cell>
          <cell r="D1591">
            <v>50</v>
          </cell>
          <cell r="E1591" t="str">
            <v>APPROVED</v>
          </cell>
          <cell r="F1591">
            <v>42338</v>
          </cell>
          <cell r="G1591">
            <v>42886</v>
          </cell>
          <cell r="H1591">
            <v>163778.32999999999</v>
          </cell>
          <cell r="I1591" t="str">
            <v>FIN Submission</v>
          </cell>
          <cell r="J1591">
            <v>42937</v>
          </cell>
        </row>
        <row r="1592">
          <cell r="A1592" t="str">
            <v>46573-P951</v>
          </cell>
          <cell r="B1592" t="str">
            <v>CADD Document Management System</v>
          </cell>
          <cell r="C1592" t="str">
            <v>FIN Approval - Internal</v>
          </cell>
          <cell r="D1592">
            <v>50</v>
          </cell>
          <cell r="E1592" t="str">
            <v>APPROVED</v>
          </cell>
          <cell r="F1592">
            <v>42282</v>
          </cell>
          <cell r="G1592">
            <v>42886</v>
          </cell>
          <cell r="H1592">
            <v>237138.76</v>
          </cell>
          <cell r="I1592" t="str">
            <v>FIN Submission</v>
          </cell>
          <cell r="J1592">
            <v>42937</v>
          </cell>
        </row>
        <row r="1593">
          <cell r="A1593" t="str">
            <v>46301-SE13</v>
          </cell>
          <cell r="B1593" t="str">
            <v>TRE6 6A 6B Mills Refurbishment</v>
          </cell>
          <cell r="C1593" t="str">
            <v>FIN Approval - Internal</v>
          </cell>
          <cell r="D1593">
            <v>50</v>
          </cell>
          <cell r="E1593" t="str">
            <v>APPROVED</v>
          </cell>
          <cell r="F1593">
            <v>42200</v>
          </cell>
          <cell r="G1593">
            <v>42781</v>
          </cell>
          <cell r="H1593">
            <v>796756.96</v>
          </cell>
          <cell r="I1593" t="str">
            <v>FIN Submission</v>
          </cell>
          <cell r="J1593">
            <v>42937</v>
          </cell>
        </row>
        <row r="1594">
          <cell r="A1594" t="str">
            <v>46292-D625</v>
          </cell>
          <cell r="B1594" t="str">
            <v>2015 Padmount Replacement Program</v>
          </cell>
          <cell r="C1594" t="str">
            <v>FIN Approval - Internal</v>
          </cell>
          <cell r="D1594">
            <v>51</v>
          </cell>
          <cell r="E1594" t="str">
            <v>APPROVED</v>
          </cell>
          <cell r="F1594">
            <v>42070</v>
          </cell>
          <cell r="G1594">
            <v>42886</v>
          </cell>
          <cell r="H1594">
            <v>1461142.63</v>
          </cell>
          <cell r="I1594" t="str">
            <v>FIN Submission</v>
          </cell>
          <cell r="J1594">
            <v>42937</v>
          </cell>
        </row>
        <row r="1595">
          <cell r="A1595" t="str">
            <v>46457-D639</v>
          </cell>
          <cell r="B1595" t="str">
            <v>79V-401 Cameron Lake Voltage Conver</v>
          </cell>
          <cell r="C1595" t="str">
            <v>FIN Approval - Internal</v>
          </cell>
          <cell r="D1595">
            <v>51</v>
          </cell>
          <cell r="E1595" t="str">
            <v>APPROVED</v>
          </cell>
          <cell r="F1595">
            <v>42308</v>
          </cell>
          <cell r="G1595">
            <v>42916</v>
          </cell>
          <cell r="H1595">
            <v>575570.69999999995</v>
          </cell>
          <cell r="I1595" t="str">
            <v>FIN Submission</v>
          </cell>
          <cell r="J1595">
            <v>42937</v>
          </cell>
        </row>
        <row r="1596">
          <cell r="A1596" t="str">
            <v>46213-D591</v>
          </cell>
          <cell r="B1596" t="str">
            <v>MicMac Mall Vault Upgrades</v>
          </cell>
          <cell r="C1596" t="str">
            <v>FIN Approval - Internal</v>
          </cell>
          <cell r="D1596">
            <v>52</v>
          </cell>
          <cell r="E1596" t="str">
            <v>APPROVED</v>
          </cell>
          <cell r="F1596">
            <v>42674</v>
          </cell>
          <cell r="G1596">
            <v>42886</v>
          </cell>
          <cell r="H1596">
            <v>141567.78</v>
          </cell>
          <cell r="I1596" t="str">
            <v>FIN Submission</v>
          </cell>
          <cell r="J1596">
            <v>42937</v>
          </cell>
        </row>
        <row r="1597">
          <cell r="A1597" t="str">
            <v>45450-P925</v>
          </cell>
          <cell r="B1597" t="str">
            <v xml:space="preserve">Remote Control and Telemetry </v>
          </cell>
          <cell r="C1597" t="str">
            <v>FIN Approval - Internal</v>
          </cell>
          <cell r="D1597">
            <v>53</v>
          </cell>
          <cell r="E1597" t="str">
            <v>APPROVED</v>
          </cell>
          <cell r="F1597">
            <v>41639</v>
          </cell>
          <cell r="G1597">
            <v>42734</v>
          </cell>
          <cell r="H1597">
            <v>43440.39</v>
          </cell>
          <cell r="I1597" t="str">
            <v>FIN Submission</v>
          </cell>
          <cell r="J1597">
            <v>42937</v>
          </cell>
        </row>
        <row r="1598">
          <cell r="A1598" t="str">
            <v>45820-D567</v>
          </cell>
          <cell r="B1598" t="str">
            <v>Albany New Rebuild</v>
          </cell>
          <cell r="C1598" t="str">
            <v>FIN Approval - Internal</v>
          </cell>
          <cell r="D1598">
            <v>55</v>
          </cell>
          <cell r="E1598" t="str">
            <v>APPROVED</v>
          </cell>
          <cell r="F1598">
            <v>42035</v>
          </cell>
          <cell r="G1598">
            <v>42643</v>
          </cell>
          <cell r="H1598">
            <v>151246.98000000001</v>
          </cell>
          <cell r="I1598" t="str">
            <v>FIN Submission</v>
          </cell>
          <cell r="J1598">
            <v>42937</v>
          </cell>
        </row>
        <row r="1599">
          <cell r="A1599" t="str">
            <v>45851-SC91</v>
          </cell>
          <cell r="B1599" t="str">
            <v>POT - Stack Repairs</v>
          </cell>
          <cell r="C1599" t="str">
            <v>FIN Approval - Internal</v>
          </cell>
          <cell r="D1599">
            <v>55</v>
          </cell>
          <cell r="E1599" t="str">
            <v>APPROVED</v>
          </cell>
          <cell r="F1599">
            <v>42252</v>
          </cell>
          <cell r="G1599">
            <v>42734</v>
          </cell>
          <cell r="H1599">
            <v>438400.91</v>
          </cell>
          <cell r="I1599" t="str">
            <v>FIN Submission</v>
          </cell>
          <cell r="J1599">
            <v>42937</v>
          </cell>
        </row>
        <row r="1600">
          <cell r="A1600" t="str">
            <v>45326-SC97</v>
          </cell>
          <cell r="B1600" t="str">
            <v>LIN1 PAC System Improvements</v>
          </cell>
          <cell r="C1600" t="str">
            <v>FIN Approval - Internal</v>
          </cell>
          <cell r="D1600">
            <v>57</v>
          </cell>
          <cell r="E1600" t="str">
            <v>APPROVED</v>
          </cell>
          <cell r="F1600">
            <v>41943</v>
          </cell>
          <cell r="G1600">
            <v>42856</v>
          </cell>
          <cell r="H1600">
            <v>48695.71</v>
          </cell>
          <cell r="I1600" t="str">
            <v>FIN Submission</v>
          </cell>
          <cell r="J1600">
            <v>42937</v>
          </cell>
        </row>
        <row r="1601">
          <cell r="A1601" t="str">
            <v>44358-SC51</v>
          </cell>
          <cell r="B1601" t="str">
            <v xml:space="preserve">LIN3 Replace Low Load  </v>
          </cell>
          <cell r="C1601" t="str">
            <v>FIN Approval - Internal</v>
          </cell>
          <cell r="D1601">
            <v>60</v>
          </cell>
          <cell r="E1601" t="str">
            <v>APPROVED</v>
          </cell>
          <cell r="F1601">
            <v>41877</v>
          </cell>
          <cell r="G1601">
            <v>43095</v>
          </cell>
          <cell r="H1601">
            <v>50278.64</v>
          </cell>
          <cell r="I1601" t="str">
            <v>FIN Submission</v>
          </cell>
          <cell r="J1601">
            <v>42937</v>
          </cell>
        </row>
        <row r="1602">
          <cell r="A1602" t="str">
            <v>41532-SA64</v>
          </cell>
          <cell r="B1602" t="str">
            <v>TRE6 - 4kV Motor Refurbishments</v>
          </cell>
          <cell r="C1602" t="str">
            <v>FIN Approval - Internal</v>
          </cell>
          <cell r="D1602">
            <v>60</v>
          </cell>
          <cell r="E1602" t="str">
            <v>APPROVED</v>
          </cell>
          <cell r="F1602">
            <v>41532</v>
          </cell>
          <cell r="G1602">
            <v>41593</v>
          </cell>
          <cell r="H1602">
            <v>160971.66</v>
          </cell>
          <cell r="I1602" t="str">
            <v>FIN Submission</v>
          </cell>
          <cell r="J1602">
            <v>42937</v>
          </cell>
        </row>
        <row r="1603">
          <cell r="A1603" t="str">
            <v>41527-SA75</v>
          </cell>
          <cell r="B1603" t="str">
            <v>TRE6 4kV Cable Room Fire Protecti</v>
          </cell>
          <cell r="C1603" t="str">
            <v>FIN Approval - Internal</v>
          </cell>
          <cell r="D1603">
            <v>60</v>
          </cell>
          <cell r="E1603" t="str">
            <v>APPROVED</v>
          </cell>
          <cell r="F1603">
            <v>41379</v>
          </cell>
          <cell r="G1603">
            <v>41440</v>
          </cell>
          <cell r="H1603">
            <v>59693.57</v>
          </cell>
          <cell r="I1603" t="str">
            <v>FIN Submission</v>
          </cell>
          <cell r="J1603">
            <v>42937</v>
          </cell>
        </row>
        <row r="1604">
          <cell r="A1604" t="str">
            <v>41524-SA34</v>
          </cell>
          <cell r="B1604" t="str">
            <v>TRE6 600V Cable Room Fire Protect</v>
          </cell>
          <cell r="C1604" t="str">
            <v>FIN Approval - Internal</v>
          </cell>
          <cell r="D1604">
            <v>61</v>
          </cell>
          <cell r="E1604" t="str">
            <v>APPROVED</v>
          </cell>
          <cell r="F1604">
            <v>41320</v>
          </cell>
          <cell r="G1604">
            <v>41470</v>
          </cell>
          <cell r="H1604">
            <v>79091.45</v>
          </cell>
          <cell r="I1604" t="str">
            <v>FIN Submission</v>
          </cell>
          <cell r="J1604">
            <v>42937</v>
          </cell>
        </row>
        <row r="1605">
          <cell r="A1605" t="str">
            <v>44353-SC93</v>
          </cell>
          <cell r="B1605" t="str">
            <v>LIN 4160 and 600V Breaker Refurb</v>
          </cell>
          <cell r="C1605" t="str">
            <v>FIN Approval - Internal</v>
          </cell>
          <cell r="D1605">
            <v>62</v>
          </cell>
          <cell r="E1605" t="str">
            <v>APPROVED</v>
          </cell>
          <cell r="F1605">
            <v>42028</v>
          </cell>
          <cell r="G1605">
            <v>42940</v>
          </cell>
          <cell r="H1605">
            <v>31533.82</v>
          </cell>
          <cell r="I1605" t="str">
            <v>FIN Submission</v>
          </cell>
          <cell r="J1605">
            <v>42937</v>
          </cell>
        </row>
        <row r="1606">
          <cell r="A1606" t="str">
            <v>45327-SC98</v>
          </cell>
          <cell r="B1606" t="str">
            <v>LIN2 PAC System Improvements</v>
          </cell>
          <cell r="C1606" t="str">
            <v>FIN Approval - Internal</v>
          </cell>
          <cell r="D1606">
            <v>62</v>
          </cell>
          <cell r="E1606" t="str">
            <v>APPROVED</v>
          </cell>
          <cell r="F1606">
            <v>42292</v>
          </cell>
          <cell r="G1606">
            <v>43070</v>
          </cell>
          <cell r="H1606">
            <v>41225.18</v>
          </cell>
          <cell r="I1606" t="str">
            <v>FIN Submission</v>
          </cell>
          <cell r="J1606">
            <v>42937</v>
          </cell>
        </row>
        <row r="1607">
          <cell r="A1607" t="str">
            <v>45126-SC40</v>
          </cell>
          <cell r="B1607" t="str">
            <v>TRE5 Mercury CEMS</v>
          </cell>
          <cell r="C1607" t="str">
            <v>FIN Approval - Internal</v>
          </cell>
          <cell r="D1607">
            <v>62</v>
          </cell>
          <cell r="E1607" t="str">
            <v>APPROVED</v>
          </cell>
          <cell r="F1607">
            <v>42170</v>
          </cell>
          <cell r="G1607">
            <v>42781</v>
          </cell>
          <cell r="H1607">
            <v>705799.61</v>
          </cell>
          <cell r="I1607" t="str">
            <v>FIN Submission</v>
          </cell>
          <cell r="J1607">
            <v>42937</v>
          </cell>
        </row>
        <row r="1608">
          <cell r="A1608" t="str">
            <v>45328-SC99</v>
          </cell>
          <cell r="B1608" t="str">
            <v>LIN3 PAC System Improvements</v>
          </cell>
          <cell r="C1608" t="str">
            <v>FIN Approval - Internal</v>
          </cell>
          <cell r="D1608">
            <v>63</v>
          </cell>
          <cell r="E1608" t="str">
            <v>APPROVED</v>
          </cell>
          <cell r="F1608">
            <v>42231</v>
          </cell>
          <cell r="G1608">
            <v>43070</v>
          </cell>
          <cell r="H1608">
            <v>230765.12</v>
          </cell>
          <cell r="I1608" t="str">
            <v>FIN Submission</v>
          </cell>
          <cell r="J1608">
            <v>42937</v>
          </cell>
        </row>
        <row r="1609">
          <cell r="A1609" t="str">
            <v>45046-D561</v>
          </cell>
          <cell r="B1609" t="str">
            <v>2014 PCB Phase-out for Pole Top</v>
          </cell>
          <cell r="C1609" t="str">
            <v>FIN Approval - Internal</v>
          </cell>
          <cell r="D1609">
            <v>64</v>
          </cell>
          <cell r="E1609" t="str">
            <v>APPROVED</v>
          </cell>
          <cell r="F1609">
            <v>41726</v>
          </cell>
          <cell r="G1609">
            <v>42886</v>
          </cell>
          <cell r="H1609">
            <v>644155.15</v>
          </cell>
          <cell r="I1609" t="str">
            <v>FIN Submission</v>
          </cell>
          <cell r="J1609">
            <v>42937</v>
          </cell>
        </row>
        <row r="1610">
          <cell r="A1610" t="str">
            <v>45802-SC78</v>
          </cell>
          <cell r="B1610" t="str">
            <v>LIN E-Gallery Floor Replace U&amp;U</v>
          </cell>
          <cell r="C1610" t="str">
            <v>FIN Approval - Internal</v>
          </cell>
          <cell r="D1610">
            <v>64</v>
          </cell>
          <cell r="E1610" t="str">
            <v>APPROVED</v>
          </cell>
          <cell r="F1610">
            <v>42019</v>
          </cell>
          <cell r="G1610">
            <v>42947</v>
          </cell>
          <cell r="H1610">
            <v>2586008.6800000002</v>
          </cell>
          <cell r="I1610" t="str">
            <v>FIN Submission</v>
          </cell>
          <cell r="J1610">
            <v>42937</v>
          </cell>
        </row>
        <row r="1611">
          <cell r="A1611" t="str">
            <v>44722-SD11</v>
          </cell>
          <cell r="B1611" t="str">
            <v>TRE5 Low Load Valve Replacement</v>
          </cell>
          <cell r="C1611" t="str">
            <v>FIN Approval - Internal</v>
          </cell>
          <cell r="D1611">
            <v>65</v>
          </cell>
          <cell r="E1611" t="str">
            <v>APPROVED</v>
          </cell>
          <cell r="F1611">
            <v>42262</v>
          </cell>
          <cell r="G1611">
            <v>42319</v>
          </cell>
          <cell r="H1611">
            <v>72170.289999999994</v>
          </cell>
          <cell r="I1611" t="str">
            <v>FIN Submission</v>
          </cell>
          <cell r="J1611">
            <v>42937</v>
          </cell>
        </row>
        <row r="1612">
          <cell r="A1612" t="str">
            <v>44833-D580</v>
          </cell>
          <cell r="B1612" t="str">
            <v>99V-312 - Highbury New Feeder</v>
          </cell>
          <cell r="C1612" t="str">
            <v>FIN Approval - Internal</v>
          </cell>
          <cell r="D1612">
            <v>66</v>
          </cell>
          <cell r="E1612" t="str">
            <v>APPROVED</v>
          </cell>
          <cell r="F1612">
            <v>42338</v>
          </cell>
          <cell r="G1612">
            <v>42916</v>
          </cell>
          <cell r="H1612">
            <v>397976.41</v>
          </cell>
          <cell r="I1612" t="str">
            <v>FIN Submission</v>
          </cell>
          <cell r="J1612">
            <v>42937</v>
          </cell>
        </row>
        <row r="1613">
          <cell r="A1613" t="str">
            <v>45611-SC36</v>
          </cell>
          <cell r="B1613" t="str">
            <v>LIN UU Heavy Oil Recirc Line  Refur</v>
          </cell>
          <cell r="C1613" t="str">
            <v>FIN Approval - Internal</v>
          </cell>
          <cell r="D1613">
            <v>66</v>
          </cell>
          <cell r="E1613" t="str">
            <v>APPROVED</v>
          </cell>
          <cell r="F1613">
            <v>41888</v>
          </cell>
          <cell r="G1613">
            <v>42886</v>
          </cell>
          <cell r="H1613">
            <v>1404444.28</v>
          </cell>
          <cell r="I1613" t="str">
            <v>FIN Submission</v>
          </cell>
          <cell r="J1613">
            <v>42937</v>
          </cell>
        </row>
        <row r="1614">
          <cell r="A1614" t="str">
            <v>44731-SC67</v>
          </cell>
          <cell r="B1614" t="str">
            <v>TRE5 Coal System Upgrades 2014</v>
          </cell>
          <cell r="C1614" t="str">
            <v>FIN Approval - Internal</v>
          </cell>
          <cell r="D1614">
            <v>67</v>
          </cell>
          <cell r="E1614" t="str">
            <v>APPROVED</v>
          </cell>
          <cell r="F1614">
            <v>42139</v>
          </cell>
          <cell r="G1614">
            <v>42840</v>
          </cell>
          <cell r="H1614">
            <v>588577.59</v>
          </cell>
          <cell r="I1614" t="str">
            <v>FIN Submission</v>
          </cell>
          <cell r="J1614">
            <v>42937</v>
          </cell>
        </row>
        <row r="1615">
          <cell r="A1615" t="str">
            <v>44746-P938</v>
          </cell>
          <cell r="B1615" t="str">
            <v>AMO - PP CBT and Procedure Mgmnt</v>
          </cell>
          <cell r="C1615" t="str">
            <v>FIN Approval - Internal</v>
          </cell>
          <cell r="D1615">
            <v>70</v>
          </cell>
          <cell r="E1615" t="str">
            <v>APPROVED</v>
          </cell>
          <cell r="F1615">
            <v>42186</v>
          </cell>
          <cell r="G1615">
            <v>42842</v>
          </cell>
          <cell r="H1615">
            <v>201959.61</v>
          </cell>
          <cell r="I1615" t="str">
            <v>FIN Submission</v>
          </cell>
          <cell r="J1615">
            <v>42937</v>
          </cell>
        </row>
        <row r="1616">
          <cell r="A1616" t="str">
            <v>40271-S771</v>
          </cell>
          <cell r="B1616" t="str">
            <v>LIN2 Boiler Refurbishment</v>
          </cell>
          <cell r="C1616" t="str">
            <v>FIN Approval - Internal</v>
          </cell>
          <cell r="D1616">
            <v>73</v>
          </cell>
          <cell r="E1616" t="str">
            <v>APPROVED</v>
          </cell>
          <cell r="F1616">
            <v>40851</v>
          </cell>
          <cell r="G1616">
            <v>42885</v>
          </cell>
          <cell r="H1616">
            <v>505247.22</v>
          </cell>
          <cell r="I1616" t="str">
            <v>FIN Submission</v>
          </cell>
          <cell r="J1616">
            <v>42937</v>
          </cell>
        </row>
        <row r="1617">
          <cell r="A1617" t="str">
            <v>42949-SC08</v>
          </cell>
          <cell r="B1617" t="str">
            <v>TRE Asbestos Abatement 2013</v>
          </cell>
          <cell r="C1617" t="str">
            <v>FIN Approval - Internal</v>
          </cell>
          <cell r="D1617">
            <v>74</v>
          </cell>
          <cell r="E1617" t="str">
            <v>APPROVED</v>
          </cell>
          <cell r="F1617">
            <v>41805</v>
          </cell>
          <cell r="G1617">
            <v>41835</v>
          </cell>
          <cell r="H1617">
            <v>79325.02</v>
          </cell>
          <cell r="I1617" t="str">
            <v>FIN Submission</v>
          </cell>
          <cell r="J1617">
            <v>42937</v>
          </cell>
        </row>
        <row r="1618">
          <cell r="A1618" t="str">
            <v>43258-D495</v>
          </cell>
          <cell r="B1618" t="str">
            <v>2013 Offroad-to-Roadside</v>
          </cell>
          <cell r="C1618" t="str">
            <v>FIN Approval - Internal</v>
          </cell>
          <cell r="D1618">
            <v>82</v>
          </cell>
          <cell r="E1618" t="str">
            <v>APPROVED</v>
          </cell>
          <cell r="F1618">
            <v>41609</v>
          </cell>
          <cell r="G1618">
            <v>42215</v>
          </cell>
          <cell r="H1618">
            <v>1291498.17</v>
          </cell>
          <cell r="I1618" t="str">
            <v>FIN Submission</v>
          </cell>
          <cell r="J1618">
            <v>42937</v>
          </cell>
        </row>
        <row r="1619">
          <cell r="A1619" t="str">
            <v>43159-G188</v>
          </cell>
          <cell r="B1619" t="str">
            <v>CT Annunciation Unit Upgrade to DAS</v>
          </cell>
          <cell r="C1619" t="str">
            <v>FIN Approval - Internal</v>
          </cell>
          <cell r="D1619">
            <v>82</v>
          </cell>
          <cell r="E1619" t="str">
            <v>APPROVED</v>
          </cell>
          <cell r="F1619">
            <v>42399</v>
          </cell>
          <cell r="G1619">
            <v>42459</v>
          </cell>
          <cell r="H1619">
            <v>113273.37</v>
          </cell>
          <cell r="I1619" t="str">
            <v>FIN Submission</v>
          </cell>
          <cell r="J1619">
            <v>42937</v>
          </cell>
        </row>
        <row r="1620">
          <cell r="A1620" t="str">
            <v>43170-SE64</v>
          </cell>
          <cell r="B1620" t="str">
            <v xml:space="preserve">LIN4 AVR Replacement </v>
          </cell>
          <cell r="C1620" t="str">
            <v>FIN Approval - Internal</v>
          </cell>
          <cell r="D1620">
            <v>82</v>
          </cell>
          <cell r="E1620" t="str">
            <v>APPROVED</v>
          </cell>
          <cell r="F1620">
            <v>42539</v>
          </cell>
          <cell r="G1620">
            <v>43097</v>
          </cell>
          <cell r="H1620">
            <v>774937.56</v>
          </cell>
          <cell r="I1620" t="str">
            <v>FIN Submission</v>
          </cell>
          <cell r="J1620">
            <v>42937</v>
          </cell>
        </row>
        <row r="1621">
          <cell r="A1621" t="str">
            <v>40060-SA19</v>
          </cell>
          <cell r="B1621" t="str">
            <v>TRE5 - 4kV Motor Refurbishment 2012</v>
          </cell>
          <cell r="C1621" t="str">
            <v>FIN Approval - Internal</v>
          </cell>
          <cell r="D1621">
            <v>85</v>
          </cell>
          <cell r="E1621" t="str">
            <v>APPROVED</v>
          </cell>
          <cell r="F1621">
            <v>41258</v>
          </cell>
          <cell r="G1621">
            <v>41409</v>
          </cell>
          <cell r="H1621">
            <v>64658.76</v>
          </cell>
          <cell r="I1621" t="str">
            <v>FIN Submission</v>
          </cell>
          <cell r="J1621">
            <v>42937</v>
          </cell>
        </row>
        <row r="1622">
          <cell r="A1622" t="str">
            <v>43067-H659</v>
          </cell>
          <cell r="B1622" t="str">
            <v>HYD - Cheticamp Dam D-1 Refurb</v>
          </cell>
          <cell r="C1622" t="str">
            <v>FIN Approval - Internal</v>
          </cell>
          <cell r="D1622">
            <v>86</v>
          </cell>
          <cell r="E1622" t="str">
            <v>APPROVED</v>
          </cell>
          <cell r="F1622">
            <v>42262</v>
          </cell>
          <cell r="G1622">
            <v>43069</v>
          </cell>
          <cell r="H1622">
            <v>5899122.4400000004</v>
          </cell>
          <cell r="I1622" t="str">
            <v>FIN Submission</v>
          </cell>
          <cell r="J1622">
            <v>42937</v>
          </cell>
        </row>
        <row r="1623">
          <cell r="A1623" t="str">
            <v>39937-S745</v>
          </cell>
          <cell r="B1623" t="str">
            <v>TRE - Fall Protection (Phase 3)</v>
          </cell>
          <cell r="C1623" t="str">
            <v>FIN Approval - Internal</v>
          </cell>
          <cell r="D1623">
            <v>86</v>
          </cell>
          <cell r="E1623" t="str">
            <v>APPROVED</v>
          </cell>
          <cell r="F1623">
            <v>41197</v>
          </cell>
          <cell r="G1623">
            <v>41593</v>
          </cell>
          <cell r="H1623">
            <v>318404.56</v>
          </cell>
          <cell r="I1623" t="str">
            <v>FIN Submission</v>
          </cell>
          <cell r="J1623">
            <v>42937</v>
          </cell>
        </row>
        <row r="1624">
          <cell r="A1624" t="str">
            <v>42806-SA38</v>
          </cell>
          <cell r="B1624" t="str">
            <v>LIN3 L-0 Blades Replacement</v>
          </cell>
          <cell r="C1624" t="str">
            <v>FIN Approval - Internal</v>
          </cell>
          <cell r="D1624">
            <v>90</v>
          </cell>
          <cell r="E1624" t="str">
            <v>APPROVED</v>
          </cell>
          <cell r="F1624">
            <v>42136</v>
          </cell>
          <cell r="G1624">
            <v>42886</v>
          </cell>
          <cell r="H1624">
            <v>4280589.07</v>
          </cell>
          <cell r="I1624" t="str">
            <v>FIN Submission</v>
          </cell>
          <cell r="J1624">
            <v>42937</v>
          </cell>
        </row>
        <row r="1625">
          <cell r="A1625" t="str">
            <v>40027-S702</v>
          </cell>
          <cell r="B1625" t="str">
            <v>POA-Arrowhead Replacement Program</v>
          </cell>
          <cell r="C1625" t="str">
            <v>FIN Approval - Internal</v>
          </cell>
          <cell r="D1625">
            <v>91</v>
          </cell>
          <cell r="E1625" t="str">
            <v>APPROVED</v>
          </cell>
          <cell r="F1625">
            <v>40694</v>
          </cell>
          <cell r="G1625">
            <v>42886</v>
          </cell>
          <cell r="H1625">
            <v>124782.07</v>
          </cell>
          <cell r="I1625" t="str">
            <v>FIN Submission</v>
          </cell>
          <cell r="J1625">
            <v>42937</v>
          </cell>
        </row>
        <row r="1626">
          <cell r="A1626" t="str">
            <v>41142-H630</v>
          </cell>
          <cell r="B1626" t="str">
            <v>HYD- Sandy Lake Fish Passage</v>
          </cell>
          <cell r="C1626" t="str">
            <v>FIN Approval - External</v>
          </cell>
          <cell r="D1626">
            <v>103</v>
          </cell>
          <cell r="E1626" t="str">
            <v>APPROVED</v>
          </cell>
          <cell r="F1626">
            <v>42353</v>
          </cell>
          <cell r="G1626">
            <v>43099</v>
          </cell>
          <cell r="H1626">
            <v>2610979.65</v>
          </cell>
          <cell r="I1626" t="str">
            <v>FIN Submission</v>
          </cell>
          <cell r="J1626">
            <v>42937</v>
          </cell>
        </row>
        <row r="1627">
          <cell r="A1627" t="str">
            <v>41227-SD52</v>
          </cell>
          <cell r="B1627" t="str">
            <v>LIN3 Cond Large Bore Pipe and Valve</v>
          </cell>
          <cell r="C1627" t="str">
            <v>FIN Approval - Internal</v>
          </cell>
          <cell r="D1627">
            <v>107</v>
          </cell>
          <cell r="E1627" t="str">
            <v>APPROVED</v>
          </cell>
          <cell r="F1627">
            <v>42163</v>
          </cell>
          <cell r="G1627">
            <v>42947</v>
          </cell>
          <cell r="H1627">
            <v>1521588.25</v>
          </cell>
          <cell r="I1627" t="str">
            <v>FIN Submission</v>
          </cell>
          <cell r="J1627">
            <v>42937</v>
          </cell>
        </row>
        <row r="1628">
          <cell r="A1628" t="str">
            <v>41645-SB25</v>
          </cell>
          <cell r="B1628" t="str">
            <v>TRE6 Bottom Ash Seal Replacement</v>
          </cell>
          <cell r="C1628" t="str">
            <v>FIN Approval - Internal</v>
          </cell>
          <cell r="D1628">
            <v>109</v>
          </cell>
          <cell r="E1628" t="str">
            <v>APPROVED</v>
          </cell>
          <cell r="F1628">
            <v>42200</v>
          </cell>
          <cell r="G1628">
            <v>42338</v>
          </cell>
          <cell r="H1628">
            <v>406180.59</v>
          </cell>
          <cell r="I1628" t="str">
            <v>FIN Submission</v>
          </cell>
          <cell r="J1628">
            <v>42937</v>
          </cell>
        </row>
        <row r="1629">
          <cell r="A1629" t="str">
            <v>41339-D440</v>
          </cell>
          <cell r="B1629" t="str">
            <v>2012 Distribution Feeder Ties</v>
          </cell>
          <cell r="C1629" t="str">
            <v>FIN Approval - Internal</v>
          </cell>
          <cell r="D1629">
            <v>111</v>
          </cell>
          <cell r="E1629" t="str">
            <v>APPROVED</v>
          </cell>
          <cell r="F1629">
            <v>41200</v>
          </cell>
          <cell r="G1629">
            <v>42886</v>
          </cell>
          <cell r="H1629">
            <v>736612</v>
          </cell>
          <cell r="I1629" t="str">
            <v>FIN Submission</v>
          </cell>
          <cell r="J1629">
            <v>42937</v>
          </cell>
        </row>
        <row r="1630">
          <cell r="A1630" t="str">
            <v>27410-S945</v>
          </cell>
          <cell r="B1630" t="str">
            <v xml:space="preserve">LIN - MUNICIPAL WATER CONSERVATION </v>
          </cell>
          <cell r="C1630" t="str">
            <v>FIN Approval - Internal</v>
          </cell>
          <cell r="D1630">
            <v>122</v>
          </cell>
          <cell r="E1630" t="str">
            <v>APPROVED</v>
          </cell>
          <cell r="F1630">
            <v>39101</v>
          </cell>
          <cell r="G1630">
            <v>40024</v>
          </cell>
          <cell r="H1630">
            <v>376417.34</v>
          </cell>
          <cell r="I1630" t="str">
            <v>FIN Submission</v>
          </cell>
          <cell r="J1630">
            <v>42937</v>
          </cell>
        </row>
        <row r="1631">
          <cell r="A1631" t="str">
            <v>28900-S303</v>
          </cell>
          <cell r="B1631" t="str">
            <v>LIN-ELEVATOR SAFETY AND CONTROL UPG</v>
          </cell>
          <cell r="C1631" t="str">
            <v>FIN Approval - Internal</v>
          </cell>
          <cell r="D1631">
            <v>123</v>
          </cell>
          <cell r="E1631" t="str">
            <v>APPROVED</v>
          </cell>
          <cell r="F1631">
            <v>39629</v>
          </cell>
          <cell r="G1631">
            <v>40481</v>
          </cell>
          <cell r="H1631">
            <v>297770.26</v>
          </cell>
          <cell r="I1631" t="str">
            <v>FIN Submission</v>
          </cell>
          <cell r="J1631">
            <v>42937</v>
          </cell>
        </row>
        <row r="1632">
          <cell r="A1632" t="str">
            <v>26540-P675</v>
          </cell>
          <cell r="B1632" t="str">
            <v>CONSTRUCT EOC AT RAGGED LAKE FACILI</v>
          </cell>
          <cell r="C1632" t="str">
            <v>FIN Approval - Internal</v>
          </cell>
          <cell r="D1632">
            <v>131</v>
          </cell>
          <cell r="E1632" t="str">
            <v>APPROVED</v>
          </cell>
          <cell r="F1632">
            <v>38469</v>
          </cell>
          <cell r="G1632">
            <v>40360</v>
          </cell>
          <cell r="H1632">
            <v>160659.06</v>
          </cell>
          <cell r="I1632" t="str">
            <v>FIN Submission</v>
          </cell>
          <cell r="J1632">
            <v>42937</v>
          </cell>
        </row>
        <row r="1633">
          <cell r="A1633" t="str">
            <v>40363-SD62</v>
          </cell>
          <cell r="B1633" t="str">
            <v>LIN3 High Voltage Bushing Refurbish</v>
          </cell>
          <cell r="C1633" t="str">
            <v>FIN Approval - Internal</v>
          </cell>
          <cell r="D1633">
            <v>132</v>
          </cell>
          <cell r="E1633" t="str">
            <v>APPROVED</v>
          </cell>
          <cell r="F1633">
            <v>42185</v>
          </cell>
          <cell r="G1633">
            <v>42794</v>
          </cell>
          <cell r="H1633">
            <v>821037.62</v>
          </cell>
          <cell r="I1633" t="str">
            <v>FIN Submission</v>
          </cell>
          <cell r="J1633">
            <v>42937</v>
          </cell>
        </row>
        <row r="1634">
          <cell r="A1634" t="str">
            <v>25119-P767</v>
          </cell>
          <cell r="B1634" t="str">
            <v>FIRE SUPPRESSION - REPLACE HALON GA</v>
          </cell>
          <cell r="C1634" t="str">
            <v>FIN Approval - Internal</v>
          </cell>
          <cell r="D1634">
            <v>136</v>
          </cell>
          <cell r="E1634" t="str">
            <v>APPROVED</v>
          </cell>
          <cell r="F1634">
            <v>39815</v>
          </cell>
          <cell r="G1634">
            <v>40360</v>
          </cell>
          <cell r="H1634">
            <v>345300.56</v>
          </cell>
          <cell r="I1634" t="str">
            <v>FIN Submission</v>
          </cell>
          <cell r="J1634">
            <v>42937</v>
          </cell>
        </row>
        <row r="1635">
          <cell r="A1635" t="str">
            <v>28703-P749</v>
          </cell>
          <cell r="B1635" t="str">
            <v>RAGGED LAKE SECURITY IMPROVEMENTS U</v>
          </cell>
          <cell r="C1635" t="str">
            <v>FIN Approval - Internal</v>
          </cell>
          <cell r="D1635">
            <v>137</v>
          </cell>
          <cell r="E1635" t="str">
            <v>APPROVED</v>
          </cell>
          <cell r="F1635">
            <v>39447</v>
          </cell>
          <cell r="G1635">
            <v>40268</v>
          </cell>
          <cell r="H1635">
            <v>246213.88</v>
          </cell>
          <cell r="I1635" t="str">
            <v>FIN Submission</v>
          </cell>
          <cell r="J1635">
            <v>42937</v>
          </cell>
        </row>
        <row r="1636">
          <cell r="A1636" t="str">
            <v>26472-S842</v>
          </cell>
          <cell r="B1636" t="str">
            <v>TRE - 6A CW Pump Refurbishment</v>
          </cell>
          <cell r="C1636" t="str">
            <v>FIN Approval - Internal</v>
          </cell>
          <cell r="D1636">
            <v>139</v>
          </cell>
          <cell r="E1636" t="str">
            <v>APPROVED</v>
          </cell>
          <cell r="F1636">
            <v>41044</v>
          </cell>
          <cell r="G1636">
            <v>42870</v>
          </cell>
          <cell r="H1636">
            <v>163649.49</v>
          </cell>
          <cell r="I1636" t="str">
            <v>FIN Submission</v>
          </cell>
          <cell r="J1636">
            <v>42937</v>
          </cell>
        </row>
        <row r="1637">
          <cell r="A1637" t="str">
            <v>22374-G137</v>
          </cell>
          <cell r="B1637" t="str">
            <v>CT'S Fuel Controller Replacement</v>
          </cell>
          <cell r="C1637" t="str">
            <v>FIN Approval - Internal</v>
          </cell>
          <cell r="D1637">
            <v>187</v>
          </cell>
          <cell r="E1637" t="str">
            <v>APPROVED</v>
          </cell>
          <cell r="F1637">
            <v>42353</v>
          </cell>
          <cell r="G1637">
            <v>42490</v>
          </cell>
          <cell r="H1637">
            <v>402425.19</v>
          </cell>
          <cell r="I1637" t="str">
            <v>FIN Submission</v>
          </cell>
          <cell r="J1637">
            <v>42937</v>
          </cell>
        </row>
        <row r="1638">
          <cell r="A1638" t="str">
            <v>27185-P712</v>
          </cell>
          <cell r="B1638" t="str">
            <v>NSPI PURCHASE OF SEIS-EM APPLICATIO</v>
          </cell>
          <cell r="C1638" t="str">
            <v>FIN Approval - Internal</v>
          </cell>
          <cell r="D1638">
            <v>5</v>
          </cell>
          <cell r="E1638" t="str">
            <v>APPROVED</v>
          </cell>
          <cell r="F1638">
            <v>39042</v>
          </cell>
          <cell r="G1638">
            <v>39113</v>
          </cell>
          <cell r="H1638">
            <v>278275</v>
          </cell>
          <cell r="I1638" t="str">
            <v>FIN Submission</v>
          </cell>
          <cell r="J1638">
            <v>42915</v>
          </cell>
        </row>
        <row r="1639">
          <cell r="A1639" t="str">
            <v>25422-S940</v>
          </cell>
          <cell r="B1639" t="str">
            <v>LIN- REFURBISH HYDRATED LIME SYSTEM</v>
          </cell>
          <cell r="C1639" t="str">
            <v>FIN Approval - Internal</v>
          </cell>
          <cell r="D1639">
            <v>6</v>
          </cell>
          <cell r="E1639" t="str">
            <v>APPROVED</v>
          </cell>
          <cell r="F1639">
            <v>39101</v>
          </cell>
          <cell r="G1639">
            <v>42825</v>
          </cell>
          <cell r="H1639">
            <v>174272.32</v>
          </cell>
          <cell r="I1639" t="str">
            <v>FIN Submission</v>
          </cell>
          <cell r="J1639">
            <v>42915</v>
          </cell>
        </row>
        <row r="1640">
          <cell r="A1640" t="str">
            <v>26604-P696</v>
          </cell>
          <cell r="B1640" t="str">
            <v>U &amp; U FOR UPS PURCHASE FOR NSPI-CGI</v>
          </cell>
          <cell r="C1640" t="str">
            <v>FIN Approval - Internal</v>
          </cell>
          <cell r="D1640">
            <v>6</v>
          </cell>
          <cell r="E1640" t="str">
            <v>APPROVED</v>
          </cell>
          <cell r="F1640">
            <v>38853</v>
          </cell>
          <cell r="G1640">
            <v>39113</v>
          </cell>
          <cell r="H1640">
            <v>357571.79</v>
          </cell>
          <cell r="I1640" t="str">
            <v>FIN Submission</v>
          </cell>
          <cell r="J1640">
            <v>42915</v>
          </cell>
        </row>
        <row r="1641">
          <cell r="A1641" t="str">
            <v>18135-S423</v>
          </cell>
          <cell r="B1641" t="str">
            <v>SITE STABILIZATION - GLACE BAY GENE</v>
          </cell>
          <cell r="C1641" t="str">
            <v>FIN Approval - Internal</v>
          </cell>
          <cell r="D1641">
            <v>7</v>
          </cell>
          <cell r="E1641" t="str">
            <v>APPROVED</v>
          </cell>
          <cell r="F1641">
            <v>38313</v>
          </cell>
          <cell r="G1641">
            <v>38684</v>
          </cell>
          <cell r="H1641">
            <v>6295229.9900000002</v>
          </cell>
          <cell r="I1641" t="str">
            <v>FIN Submission</v>
          </cell>
          <cell r="J1641">
            <v>42915</v>
          </cell>
        </row>
        <row r="1642">
          <cell r="A1642" t="str">
            <v>27405-S948</v>
          </cell>
          <cell r="B1642" t="str">
            <v>LIN-SOLID FUEL SYSTEM REFURBISHMENT</v>
          </cell>
          <cell r="C1642" t="str">
            <v>FIN Approval - Internal</v>
          </cell>
          <cell r="D1642">
            <v>8</v>
          </cell>
          <cell r="E1642" t="str">
            <v>APPROVED</v>
          </cell>
          <cell r="F1642">
            <v>38973</v>
          </cell>
          <cell r="G1642">
            <v>42824</v>
          </cell>
          <cell r="H1642">
            <v>596041.56999999995</v>
          </cell>
          <cell r="I1642" t="str">
            <v>FIN Submission</v>
          </cell>
          <cell r="J1642">
            <v>42915</v>
          </cell>
        </row>
        <row r="1643">
          <cell r="A1643" t="str">
            <v>49837-G216</v>
          </cell>
          <cell r="B1643" t="str">
            <v>LM6000 TUC5 Fuel Nozzle Refurbish</v>
          </cell>
          <cell r="C1643" t="str">
            <v>FIN Approval - Internal</v>
          </cell>
          <cell r="D1643">
            <v>17</v>
          </cell>
          <cell r="E1643" t="str">
            <v>APPROVED</v>
          </cell>
          <cell r="F1643">
            <v>42612</v>
          </cell>
          <cell r="G1643">
            <v>42766</v>
          </cell>
          <cell r="H1643">
            <v>73543.850000000006</v>
          </cell>
          <cell r="I1643" t="str">
            <v>FIN Submission</v>
          </cell>
          <cell r="J1643">
            <v>42915</v>
          </cell>
        </row>
        <row r="1644">
          <cell r="A1644" t="str">
            <v>48391-G193</v>
          </cell>
          <cell r="B1644" t="str">
            <v>CT-BGT3 DAS Upgrade</v>
          </cell>
          <cell r="C1644" t="str">
            <v>FIN Approval - Internal</v>
          </cell>
          <cell r="D1644">
            <v>28</v>
          </cell>
          <cell r="E1644" t="str">
            <v>APPROVED</v>
          </cell>
          <cell r="F1644">
            <v>42475</v>
          </cell>
          <cell r="G1644">
            <v>42735</v>
          </cell>
          <cell r="H1644">
            <v>112345.53</v>
          </cell>
          <cell r="I1644" t="str">
            <v>FIN Submission</v>
          </cell>
          <cell r="J1644">
            <v>42915</v>
          </cell>
        </row>
        <row r="1645">
          <cell r="A1645" t="str">
            <v>47941-G212</v>
          </cell>
          <cell r="B1645" t="str">
            <v>TUC4 LM6000 Enclosure Painting</v>
          </cell>
          <cell r="C1645" t="str">
            <v>FIN Approval - Internal</v>
          </cell>
          <cell r="D1645">
            <v>33</v>
          </cell>
          <cell r="E1645" t="str">
            <v>APPROVED</v>
          </cell>
          <cell r="F1645">
            <v>42643</v>
          </cell>
          <cell r="G1645">
            <v>42704</v>
          </cell>
          <cell r="H1645">
            <v>76835.899999999994</v>
          </cell>
          <cell r="I1645" t="str">
            <v>FIN Submission</v>
          </cell>
          <cell r="J1645">
            <v>42915</v>
          </cell>
        </row>
        <row r="1646">
          <cell r="A1646" t="str">
            <v>47331-G184</v>
          </cell>
          <cell r="B1646" t="str">
            <v>LM6000 - 191-253 Refurbishment</v>
          </cell>
          <cell r="C1646" t="str">
            <v>FIN Approval - Internal</v>
          </cell>
          <cell r="D1646">
            <v>41</v>
          </cell>
          <cell r="E1646" t="str">
            <v>APPROVED</v>
          </cell>
          <cell r="F1646">
            <v>42307</v>
          </cell>
          <cell r="G1646">
            <v>42704</v>
          </cell>
          <cell r="H1646">
            <v>1023342.63</v>
          </cell>
          <cell r="I1646" t="str">
            <v>FIN Submission</v>
          </cell>
          <cell r="J1646">
            <v>42915</v>
          </cell>
        </row>
        <row r="1647">
          <cell r="A1647" t="str">
            <v>46066-G178</v>
          </cell>
          <cell r="B1647" t="str">
            <v>LM6000 Engine Oil Conditioner</v>
          </cell>
          <cell r="C1647" t="str">
            <v>FIN Approval - Internal</v>
          </cell>
          <cell r="D1647">
            <v>51</v>
          </cell>
          <cell r="E1647" t="str">
            <v>APPROVED</v>
          </cell>
          <cell r="F1647">
            <v>42429</v>
          </cell>
          <cell r="G1647">
            <v>42735</v>
          </cell>
          <cell r="H1647">
            <v>103779.5</v>
          </cell>
          <cell r="I1647" t="str">
            <v>FIN Submission</v>
          </cell>
          <cell r="J1647">
            <v>42915</v>
          </cell>
        </row>
        <row r="1648">
          <cell r="A1648" t="str">
            <v>44248-H687</v>
          </cell>
          <cell r="B1648" t="str">
            <v>HYD-MacMillan Dam D-7 Refurb</v>
          </cell>
          <cell r="C1648" t="str">
            <v>FIN Approval - Internal</v>
          </cell>
          <cell r="D1648">
            <v>70</v>
          </cell>
          <cell r="E1648" t="str">
            <v>APPROVED</v>
          </cell>
          <cell r="F1648">
            <v>41943</v>
          </cell>
          <cell r="G1648">
            <v>43100</v>
          </cell>
          <cell r="H1648">
            <v>3455152.69</v>
          </cell>
          <cell r="I1648" t="str">
            <v>FIN Submission</v>
          </cell>
          <cell r="J1648">
            <v>42915</v>
          </cell>
        </row>
        <row r="1649">
          <cell r="A1649" t="str">
            <v>43674-T793</v>
          </cell>
          <cell r="B1649" t="str">
            <v>Sable Wind Network Upgrades</v>
          </cell>
          <cell r="C1649" t="str">
            <v>FIN Approval - Internal</v>
          </cell>
          <cell r="D1649">
            <v>78</v>
          </cell>
          <cell r="E1649" t="str">
            <v>APPROVED</v>
          </cell>
          <cell r="F1649">
            <v>41973</v>
          </cell>
          <cell r="G1649">
            <v>42551</v>
          </cell>
          <cell r="H1649">
            <v>835040.36</v>
          </cell>
          <cell r="I1649" t="str">
            <v>FIN Submission</v>
          </cell>
          <cell r="J1649">
            <v>42915</v>
          </cell>
        </row>
        <row r="1650">
          <cell r="A1650" t="str">
            <v>43676-T795</v>
          </cell>
          <cell r="B1650" t="str">
            <v>Interconnection Substation Sable</v>
          </cell>
          <cell r="C1650" t="str">
            <v>FIN Approval - Internal</v>
          </cell>
          <cell r="D1650">
            <v>79</v>
          </cell>
          <cell r="E1650" t="str">
            <v>APPROVED</v>
          </cell>
          <cell r="F1650">
            <v>41973</v>
          </cell>
          <cell r="G1650">
            <v>42460</v>
          </cell>
          <cell r="H1650">
            <v>1208366.32</v>
          </cell>
          <cell r="I1650" t="str">
            <v>FIN Submission</v>
          </cell>
          <cell r="J1650">
            <v>42915</v>
          </cell>
        </row>
        <row r="1651">
          <cell r="A1651" t="str">
            <v>43205-T808</v>
          </cell>
          <cell r="B1651" t="str">
            <v>L5510 Insulator Replacements</v>
          </cell>
          <cell r="C1651" t="str">
            <v>FIN Approval - External</v>
          </cell>
          <cell r="D1651">
            <v>79</v>
          </cell>
          <cell r="E1651" t="str">
            <v>APPROVED</v>
          </cell>
          <cell r="F1651">
            <v>41820</v>
          </cell>
          <cell r="G1651">
            <v>42886</v>
          </cell>
          <cell r="H1651">
            <v>2908944.23</v>
          </cell>
          <cell r="I1651" t="str">
            <v>FIN Submission</v>
          </cell>
          <cell r="J1651">
            <v>42915</v>
          </cell>
        </row>
        <row r="1652">
          <cell r="A1652" t="str">
            <v>43675-T794</v>
          </cell>
          <cell r="B1652" t="str">
            <v xml:space="preserve">Transmission Interconnection Sable </v>
          </cell>
          <cell r="C1652" t="str">
            <v>FIN Approval - Internal</v>
          </cell>
          <cell r="D1652">
            <v>79</v>
          </cell>
          <cell r="E1652" t="str">
            <v>APPROVED</v>
          </cell>
          <cell r="F1652">
            <v>41973</v>
          </cell>
          <cell r="G1652">
            <v>42460</v>
          </cell>
          <cell r="H1652">
            <v>478660.11</v>
          </cell>
          <cell r="I1652" t="str">
            <v>FIN Submission</v>
          </cell>
          <cell r="J1652">
            <v>42915</v>
          </cell>
        </row>
        <row r="1653">
          <cell r="A1653" t="str">
            <v>43906-G161</v>
          </cell>
          <cell r="B1653" t="str">
            <v xml:space="preserve">TUC4 U&amp;U LM6000 Engine Refurb </v>
          </cell>
          <cell r="C1653" t="str">
            <v>FIN Approval - Internal</v>
          </cell>
          <cell r="D1653">
            <v>81</v>
          </cell>
          <cell r="E1653" t="str">
            <v>APPROVED</v>
          </cell>
          <cell r="F1653">
            <v>42094</v>
          </cell>
          <cell r="G1653">
            <v>42460</v>
          </cell>
          <cell r="H1653">
            <v>4377667.1900000004</v>
          </cell>
          <cell r="I1653" t="str">
            <v>FIN Submission</v>
          </cell>
          <cell r="J1653">
            <v>42915</v>
          </cell>
        </row>
        <row r="1654">
          <cell r="A1654" t="str">
            <v>42686-P887</v>
          </cell>
          <cell r="B1654" t="str">
            <v>LWS Non-regulated</v>
          </cell>
          <cell r="C1654" t="str">
            <v>FIN Approval - Internal</v>
          </cell>
          <cell r="D1654">
            <v>82</v>
          </cell>
          <cell r="E1654" t="str">
            <v>APPROVED</v>
          </cell>
          <cell r="F1654">
            <v>41029</v>
          </cell>
          <cell r="G1654">
            <v>43100</v>
          </cell>
          <cell r="H1654">
            <v>5008403.51</v>
          </cell>
          <cell r="I1654" t="str">
            <v>FIN Submission</v>
          </cell>
          <cell r="J1654">
            <v>42915</v>
          </cell>
        </row>
        <row r="1655">
          <cell r="A1655" t="str">
            <v>39084-W112</v>
          </cell>
          <cell r="B1655" t="str">
            <v>Point Tupper Wind Project</v>
          </cell>
          <cell r="C1655" t="str">
            <v>FIN Approval - Internal</v>
          </cell>
          <cell r="D1655">
            <v>97</v>
          </cell>
          <cell r="E1655" t="str">
            <v>APPROVED</v>
          </cell>
          <cell r="F1655">
            <v>40451</v>
          </cell>
          <cell r="G1655">
            <v>41486</v>
          </cell>
          <cell r="H1655">
            <v>25674968.66</v>
          </cell>
          <cell r="I1655" t="str">
            <v>FIN Submission</v>
          </cell>
          <cell r="J1655">
            <v>42915</v>
          </cell>
        </row>
        <row r="1656">
          <cell r="A1656" t="str">
            <v>38900-P813</v>
          </cell>
          <cell r="B1656" t="str">
            <v>Opsym</v>
          </cell>
          <cell r="C1656" t="str">
            <v>FIN Approval - Internal</v>
          </cell>
          <cell r="D1656">
            <v>105</v>
          </cell>
          <cell r="E1656" t="str">
            <v>APPROVED</v>
          </cell>
          <cell r="F1656">
            <v>40558</v>
          </cell>
          <cell r="G1656">
            <v>40693</v>
          </cell>
          <cell r="H1656">
            <v>800566.54</v>
          </cell>
          <cell r="I1656" t="str">
            <v>FIN Submission</v>
          </cell>
          <cell r="J1656">
            <v>42915</v>
          </cell>
        </row>
        <row r="1657">
          <cell r="A1657" t="str">
            <v>40544-P835</v>
          </cell>
          <cell r="B1657" t="str">
            <v>LWS Block C Non Reg</v>
          </cell>
          <cell r="C1657" t="str">
            <v>FIN Approval - Internal</v>
          </cell>
          <cell r="D1657">
            <v>112</v>
          </cell>
          <cell r="E1657" t="str">
            <v>APPROVED</v>
          </cell>
          <cell r="F1657">
            <v>40847</v>
          </cell>
          <cell r="G1657">
            <v>42003</v>
          </cell>
          <cell r="H1657">
            <v>7182882.6200000001</v>
          </cell>
          <cell r="I1657" t="str">
            <v>FIN Submission</v>
          </cell>
          <cell r="J1657">
            <v>42915</v>
          </cell>
        </row>
        <row r="1658">
          <cell r="A1658" t="str">
            <v>39926-S865</v>
          </cell>
          <cell r="B1658" t="str">
            <v>TUC3 Replace Excitation&amp;AVR System</v>
          </cell>
          <cell r="C1658" t="str">
            <v>FIN Approval - Internal</v>
          </cell>
          <cell r="D1658">
            <v>122</v>
          </cell>
          <cell r="E1658" t="str">
            <v>APPROVED</v>
          </cell>
          <cell r="F1658">
            <v>41213</v>
          </cell>
          <cell r="G1658">
            <v>41852</v>
          </cell>
          <cell r="H1658">
            <v>698012.1</v>
          </cell>
          <cell r="I1658" t="str">
            <v>FIN Submission</v>
          </cell>
          <cell r="J1658">
            <v>42915</v>
          </cell>
        </row>
        <row r="1659">
          <cell r="A1659" t="str">
            <v>40317-T703</v>
          </cell>
          <cell r="B1659" t="str">
            <v>1H Transformer &amp; Breaker Addition</v>
          </cell>
          <cell r="C1659" t="str">
            <v>FIN Approval - Internal</v>
          </cell>
          <cell r="D1659">
            <v>132</v>
          </cell>
          <cell r="E1659" t="str">
            <v>APPROVED</v>
          </cell>
          <cell r="F1659">
            <v>41916</v>
          </cell>
          <cell r="G1659">
            <v>42613</v>
          </cell>
          <cell r="H1659">
            <v>4330201</v>
          </cell>
          <cell r="I1659" t="str">
            <v>FIN Submission</v>
          </cell>
          <cell r="J1659">
            <v>42915</v>
          </cell>
        </row>
        <row r="1660">
          <cell r="A1660" t="str">
            <v>28433-P733</v>
          </cell>
          <cell r="B1660" t="str">
            <v>MI52-109 IT GENERAL CONTROLS PROJEC</v>
          </cell>
          <cell r="C1660" t="str">
            <v>FIN Approval - Internal</v>
          </cell>
          <cell r="D1660">
            <v>133</v>
          </cell>
          <cell r="E1660" t="str">
            <v>APPROVED</v>
          </cell>
          <cell r="F1660">
            <v>39378</v>
          </cell>
          <cell r="G1660">
            <v>40634</v>
          </cell>
          <cell r="H1660">
            <v>342655.16</v>
          </cell>
          <cell r="I1660" t="str">
            <v>FIN Submission</v>
          </cell>
          <cell r="J1660">
            <v>42915</v>
          </cell>
        </row>
        <row r="1661">
          <cell r="A1661" t="str">
            <v>28788-P740</v>
          </cell>
          <cell r="B1661" t="str">
            <v>3RD PARTY HIGH VOLUME CALL ANSWER S</v>
          </cell>
          <cell r="C1661" t="str">
            <v>FIN Approval - Internal</v>
          </cell>
          <cell r="D1661">
            <v>137</v>
          </cell>
          <cell r="E1661" t="str">
            <v>APPROVED</v>
          </cell>
          <cell r="F1661">
            <v>40208</v>
          </cell>
          <cell r="G1661">
            <v>40421</v>
          </cell>
          <cell r="H1661">
            <v>1336626.73</v>
          </cell>
          <cell r="I1661" t="str">
            <v>FIN Submission</v>
          </cell>
          <cell r="J1661">
            <v>42915</v>
          </cell>
        </row>
        <row r="1662">
          <cell r="A1662" t="str">
            <v>28475-P727</v>
          </cell>
          <cell r="B1662" t="str">
            <v>BURNSIDE EAST LAND ACQUISITION</v>
          </cell>
          <cell r="C1662" t="str">
            <v>FIN Approval - Internal</v>
          </cell>
          <cell r="D1662">
            <v>138</v>
          </cell>
          <cell r="E1662" t="str">
            <v>APPROVED</v>
          </cell>
          <cell r="F1662">
            <v>40056</v>
          </cell>
          <cell r="G1662">
            <v>43078</v>
          </cell>
          <cell r="H1662">
            <v>462630.41</v>
          </cell>
          <cell r="I1662" t="str">
            <v>FIN Submission</v>
          </cell>
          <cell r="J1662">
            <v>42915</v>
          </cell>
        </row>
        <row r="1663">
          <cell r="A1663" t="str">
            <v>41550-T704</v>
          </cell>
          <cell r="B1663" t="str">
            <v>Spare 30MVA 69KV 25/12KV Trans.</v>
          </cell>
          <cell r="C1663" t="str">
            <v>FIN Approval - Internal</v>
          </cell>
          <cell r="D1663">
            <v>62</v>
          </cell>
          <cell r="E1663" t="str">
            <v>APPROVED</v>
          </cell>
          <cell r="F1663">
            <v>41292</v>
          </cell>
          <cell r="G1663">
            <v>42824</v>
          </cell>
          <cell r="H1663">
            <v>523868.4</v>
          </cell>
          <cell r="I1663" t="str">
            <v>FIN Submission</v>
          </cell>
          <cell r="J1663">
            <v>42913</v>
          </cell>
        </row>
        <row r="1664">
          <cell r="A1664" t="str">
            <v>41005-T691</v>
          </cell>
          <cell r="B1664" t="str">
            <v>Parrsboro Tidal Interconnection</v>
          </cell>
          <cell r="C1664" t="str">
            <v>FIN Approval - Internal</v>
          </cell>
          <cell r="D1664">
            <v>64</v>
          </cell>
          <cell r="E1664" t="str">
            <v>APPROVED</v>
          </cell>
          <cell r="F1664">
            <v>41046</v>
          </cell>
          <cell r="G1664">
            <v>41638</v>
          </cell>
          <cell r="H1664">
            <v>1728098.86</v>
          </cell>
          <cell r="I1664" t="str">
            <v>FIN Submission</v>
          </cell>
          <cell r="J1664">
            <v>42913</v>
          </cell>
        </row>
        <row r="1665">
          <cell r="A1665" t="str">
            <v>38442-S651</v>
          </cell>
          <cell r="B1665" t="str">
            <v>LIN-U&amp;U Unit#2 ESP Flow Modif</v>
          </cell>
          <cell r="C1665" t="str">
            <v>FIN Approval - Internal</v>
          </cell>
          <cell r="D1665">
            <v>72</v>
          </cell>
          <cell r="E1665" t="str">
            <v>APPROVED</v>
          </cell>
          <cell r="F1665">
            <v>40148</v>
          </cell>
          <cell r="G1665">
            <v>42867</v>
          </cell>
          <cell r="H1665">
            <v>1691228.03</v>
          </cell>
          <cell r="I1665" t="str">
            <v>FIN Submission</v>
          </cell>
          <cell r="J1665">
            <v>42913</v>
          </cell>
        </row>
        <row r="1666">
          <cell r="A1666" t="str">
            <v>41355-D435</v>
          </cell>
          <cell r="B1666" t="str">
            <v>2012 Remote Communication on Reclos</v>
          </cell>
          <cell r="C1666" t="str">
            <v>FIN Approval - Internal</v>
          </cell>
          <cell r="D1666">
            <v>84</v>
          </cell>
          <cell r="E1666" t="str">
            <v>APPROVED</v>
          </cell>
          <cell r="F1666">
            <v>41669</v>
          </cell>
          <cell r="G1666">
            <v>42824</v>
          </cell>
          <cell r="H1666">
            <v>232409.26</v>
          </cell>
          <cell r="I1666" t="str">
            <v>FIN Submission</v>
          </cell>
          <cell r="J1666">
            <v>42913</v>
          </cell>
        </row>
        <row r="1667">
          <cell r="A1667" t="str">
            <v>39626-T692</v>
          </cell>
          <cell r="B1667" t="str">
            <v xml:space="preserve">Digby Wind Project Substation </v>
          </cell>
          <cell r="C1667" t="str">
            <v>FIN Approval - Internal</v>
          </cell>
          <cell r="D1667">
            <v>88</v>
          </cell>
          <cell r="E1667" t="str">
            <v>APPROVED</v>
          </cell>
          <cell r="F1667">
            <v>40542</v>
          </cell>
          <cell r="G1667">
            <v>41486</v>
          </cell>
          <cell r="H1667">
            <v>4332406.3</v>
          </cell>
          <cell r="I1667" t="str">
            <v>FIN Submission</v>
          </cell>
          <cell r="J1667">
            <v>42913</v>
          </cell>
        </row>
        <row r="1668">
          <cell r="A1668" t="str">
            <v>38851-S644</v>
          </cell>
          <cell r="B1668" t="str">
            <v>LIN - Coal Belt Sampler</v>
          </cell>
          <cell r="C1668" t="str">
            <v>FIN Approval - Internal</v>
          </cell>
          <cell r="D1668">
            <v>89</v>
          </cell>
          <cell r="E1668" t="str">
            <v>APPROVED</v>
          </cell>
          <cell r="F1668">
            <v>40573</v>
          </cell>
          <cell r="G1668">
            <v>40846</v>
          </cell>
          <cell r="H1668">
            <v>951039.24</v>
          </cell>
          <cell r="I1668" t="str">
            <v>FIN Submission</v>
          </cell>
          <cell r="J1668">
            <v>42913</v>
          </cell>
        </row>
        <row r="1669">
          <cell r="A1669" t="str">
            <v>38702-D255</v>
          </cell>
          <cell r="B1669" t="str">
            <v>PE Construct 2 New Feeders Elmsdale</v>
          </cell>
          <cell r="C1669" t="str">
            <v>FIN Approval - Internal</v>
          </cell>
          <cell r="D1669">
            <v>104</v>
          </cell>
          <cell r="E1669" t="str">
            <v>APPROVED</v>
          </cell>
          <cell r="F1669">
            <v>40238</v>
          </cell>
          <cell r="G1669">
            <v>42853</v>
          </cell>
          <cell r="H1669">
            <v>54.37</v>
          </cell>
          <cell r="I1669" t="str">
            <v>FIN Submission</v>
          </cell>
          <cell r="J1669">
            <v>42913</v>
          </cell>
        </row>
        <row r="1670">
          <cell r="A1670" t="str">
            <v>41433-P897</v>
          </cell>
          <cell r="B1670" t="str">
            <v>2012 New RTU Deployment</v>
          </cell>
          <cell r="C1670" t="str">
            <v>FIN Approval - Internal</v>
          </cell>
          <cell r="D1670">
            <v>108</v>
          </cell>
          <cell r="E1670" t="str">
            <v>APPROVED</v>
          </cell>
          <cell r="F1670">
            <v>41608</v>
          </cell>
          <cell r="G1670">
            <v>42855</v>
          </cell>
          <cell r="H1670">
            <v>913075.58</v>
          </cell>
          <cell r="I1670" t="str">
            <v>FIN Submission</v>
          </cell>
          <cell r="J1670">
            <v>42913</v>
          </cell>
        </row>
        <row r="1671">
          <cell r="A1671" t="str">
            <v>41551-T748</v>
          </cell>
          <cell r="B1671" t="str">
            <v>Glentosh Subst. Footing Remediation</v>
          </cell>
          <cell r="C1671" t="str">
            <v>FIN Approval - Internal</v>
          </cell>
          <cell r="D1671">
            <v>109</v>
          </cell>
          <cell r="E1671" t="str">
            <v>APPROVED</v>
          </cell>
          <cell r="F1671">
            <v>41942</v>
          </cell>
          <cell r="G1671">
            <v>42824</v>
          </cell>
          <cell r="H1671">
            <v>455177.83</v>
          </cell>
          <cell r="I1671" t="str">
            <v>FIN Submission</v>
          </cell>
          <cell r="J1671">
            <v>42913</v>
          </cell>
        </row>
        <row r="1672">
          <cell r="A1672" t="str">
            <v>35882-D250</v>
          </cell>
          <cell r="B1672" t="str">
            <v>2009 Cutout Replacements</v>
          </cell>
          <cell r="C1672" t="str">
            <v>FIN Approval - Internal</v>
          </cell>
          <cell r="D1672">
            <v>112</v>
          </cell>
          <cell r="E1672" t="str">
            <v>APPROVED</v>
          </cell>
          <cell r="F1672">
            <v>40117</v>
          </cell>
          <cell r="G1672">
            <v>42825</v>
          </cell>
          <cell r="H1672">
            <v>1639835.61</v>
          </cell>
          <cell r="I1672" t="str">
            <v>FIN Submission</v>
          </cell>
          <cell r="J1672">
            <v>42913</v>
          </cell>
        </row>
        <row r="1673">
          <cell r="A1673" t="str">
            <v>38266-T682</v>
          </cell>
          <cell r="B1673" t="str">
            <v>2010 Protection Upgrades</v>
          </cell>
          <cell r="C1673" t="str">
            <v>FIN Approval - Internal</v>
          </cell>
          <cell r="D1673">
            <v>112</v>
          </cell>
          <cell r="E1673" t="str">
            <v>APPROVED</v>
          </cell>
          <cell r="F1673">
            <v>40663</v>
          </cell>
          <cell r="G1673">
            <v>41090</v>
          </cell>
          <cell r="H1673">
            <v>419577.29</v>
          </cell>
          <cell r="I1673" t="str">
            <v>FIN Submission</v>
          </cell>
          <cell r="J1673">
            <v>42913</v>
          </cell>
        </row>
        <row r="1674">
          <cell r="A1674" t="str">
            <v>40105-P861</v>
          </cell>
          <cell r="B1674" t="str">
            <v>AMO Boiler Cond &amp; Data Track Soft.</v>
          </cell>
          <cell r="C1674" t="str">
            <v>FIN Approval - Internal</v>
          </cell>
          <cell r="D1674">
            <v>134</v>
          </cell>
          <cell r="E1674" t="str">
            <v>APPROVED</v>
          </cell>
          <cell r="F1674">
            <v>41639</v>
          </cell>
          <cell r="G1674">
            <v>42794</v>
          </cell>
          <cell r="H1674">
            <v>637460.43999999994</v>
          </cell>
          <cell r="I1674" t="str">
            <v>FIN Submission</v>
          </cell>
          <cell r="J1674">
            <v>42913</v>
          </cell>
        </row>
        <row r="1675">
          <cell r="A1675" t="str">
            <v>27549-S936</v>
          </cell>
          <cell r="B1675" t="str">
            <v>LIN-PURCHASE INDUSTRIAL WET/DRY VAC</v>
          </cell>
          <cell r="C1675" t="str">
            <v>FIN Approval - Internal</v>
          </cell>
          <cell r="D1675">
            <v>6</v>
          </cell>
          <cell r="E1675" t="str">
            <v>APPROVED</v>
          </cell>
          <cell r="F1675">
            <v>39101</v>
          </cell>
          <cell r="G1675">
            <v>42824</v>
          </cell>
          <cell r="H1675">
            <v>160535.6</v>
          </cell>
          <cell r="I1675" t="str">
            <v>FIN Submission</v>
          </cell>
          <cell r="J1675">
            <v>42912</v>
          </cell>
        </row>
        <row r="1676">
          <cell r="A1676" t="str">
            <v>27681-S941</v>
          </cell>
          <cell r="B1676" t="str">
            <v>LIN-UNIT 4 ASH CONVEYOR ENCLOSURE</v>
          </cell>
          <cell r="C1676" t="str">
            <v>FIN Approval - Internal</v>
          </cell>
          <cell r="D1676">
            <v>6</v>
          </cell>
          <cell r="E1676" t="str">
            <v>APPROVED</v>
          </cell>
          <cell r="F1676">
            <v>39101</v>
          </cell>
          <cell r="G1676">
            <v>42825</v>
          </cell>
          <cell r="H1676">
            <v>92273.73</v>
          </cell>
          <cell r="I1676" t="str">
            <v>FIN Submission</v>
          </cell>
          <cell r="J1676">
            <v>42912</v>
          </cell>
        </row>
        <row r="1677">
          <cell r="A1677" t="str">
            <v>27593-S996</v>
          </cell>
          <cell r="B1677" t="str">
            <v>POA - ASH SITE CAPPING CELL 2 A</v>
          </cell>
          <cell r="C1677" t="str">
            <v>FIN Approval - Internal</v>
          </cell>
          <cell r="D1677">
            <v>6</v>
          </cell>
          <cell r="E1677" t="str">
            <v>APPROVED</v>
          </cell>
          <cell r="F1677">
            <v>39353</v>
          </cell>
          <cell r="G1677">
            <v>43008</v>
          </cell>
          <cell r="H1677">
            <v>186111.45</v>
          </cell>
          <cell r="I1677" t="str">
            <v/>
          </cell>
          <cell r="J1677">
            <v>42912</v>
          </cell>
        </row>
        <row r="1678">
          <cell r="A1678" t="str">
            <v>45630-G171</v>
          </cell>
          <cell r="B1678" t="str">
            <v>TUC4 U&amp;U Rotable Engine Purchase</v>
          </cell>
          <cell r="C1678" t="str">
            <v>FIN Approval - Internal</v>
          </cell>
          <cell r="D1678">
            <v>9</v>
          </cell>
          <cell r="E1678" t="str">
            <v>APPROVED</v>
          </cell>
          <cell r="F1678">
            <v>41639</v>
          </cell>
          <cell r="G1678">
            <v>41729</v>
          </cell>
          <cell r="H1678">
            <v>6321180.25</v>
          </cell>
          <cell r="I1678" t="str">
            <v>FIN Submission</v>
          </cell>
          <cell r="J1678">
            <v>42912</v>
          </cell>
        </row>
        <row r="1679">
          <cell r="A1679" t="str">
            <v>48476-SF60</v>
          </cell>
          <cell r="B1679" t="str">
            <v>LIN UU Turbine Dehumidifier</v>
          </cell>
          <cell r="C1679" t="str">
            <v>FIN Approval - Internal</v>
          </cell>
          <cell r="D1679">
            <v>28</v>
          </cell>
          <cell r="E1679" t="str">
            <v>APPROVED</v>
          </cell>
          <cell r="F1679">
            <v>42368</v>
          </cell>
          <cell r="G1679">
            <v>42819</v>
          </cell>
          <cell r="H1679">
            <v>148783.85</v>
          </cell>
          <cell r="I1679" t="str">
            <v>FIN Submission</v>
          </cell>
          <cell r="J1679">
            <v>42912</v>
          </cell>
        </row>
        <row r="1680">
          <cell r="A1680" t="str">
            <v>47879-P971</v>
          </cell>
          <cell r="B1680" t="str">
            <v>CKF LIIR Project</v>
          </cell>
          <cell r="C1680" t="str">
            <v>FIN Approval - Internal</v>
          </cell>
          <cell r="D1680">
            <v>32</v>
          </cell>
          <cell r="E1680" t="str">
            <v>APPROVED</v>
          </cell>
          <cell r="F1680">
            <v>42719</v>
          </cell>
          <cell r="G1680">
            <v>42794</v>
          </cell>
          <cell r="H1680">
            <v>-0.92</v>
          </cell>
          <cell r="I1680" t="str">
            <v>FIN Submission</v>
          </cell>
          <cell r="J1680">
            <v>42912</v>
          </cell>
        </row>
        <row r="1681">
          <cell r="A1681" t="str">
            <v>46911-T830</v>
          </cell>
          <cell r="B1681" t="str">
            <v>IR 461 Ellerhouse Interconnection</v>
          </cell>
          <cell r="C1681" t="str">
            <v>FIN Approval - Internal</v>
          </cell>
          <cell r="D1681">
            <v>40</v>
          </cell>
          <cell r="E1681" t="str">
            <v>APPROVED</v>
          </cell>
          <cell r="F1681">
            <v>42308</v>
          </cell>
          <cell r="G1681">
            <v>42855</v>
          </cell>
          <cell r="H1681">
            <v>0</v>
          </cell>
          <cell r="I1681" t="str">
            <v>FIN Submission</v>
          </cell>
          <cell r="J1681">
            <v>42912</v>
          </cell>
        </row>
        <row r="1682">
          <cell r="A1682" t="str">
            <v>46673-SD46</v>
          </cell>
          <cell r="B1682" t="str">
            <v>LIN - Plant Noise Mitigation</v>
          </cell>
          <cell r="C1682" t="str">
            <v>FIN Approval - Internal</v>
          </cell>
          <cell r="D1682">
            <v>47</v>
          </cell>
          <cell r="E1682" t="str">
            <v>APPROVED</v>
          </cell>
          <cell r="F1682">
            <v>42277</v>
          </cell>
          <cell r="G1682">
            <v>42886</v>
          </cell>
          <cell r="H1682">
            <v>249690.29</v>
          </cell>
          <cell r="I1682" t="str">
            <v>FIN Submission</v>
          </cell>
          <cell r="J1682">
            <v>42912</v>
          </cell>
        </row>
        <row r="1683">
          <cell r="A1683" t="str">
            <v>46507-G183</v>
          </cell>
          <cell r="B1683" t="str">
            <v>LM6000 - Fuel Nozzle Rotable Kit</v>
          </cell>
          <cell r="C1683" t="str">
            <v>FIN Approval - Internal</v>
          </cell>
          <cell r="D1683">
            <v>49</v>
          </cell>
          <cell r="E1683" t="str">
            <v>APPROVED</v>
          </cell>
          <cell r="F1683">
            <v>42270</v>
          </cell>
          <cell r="G1683">
            <v>42368</v>
          </cell>
          <cell r="H1683">
            <v>282023.59999999998</v>
          </cell>
          <cell r="I1683" t="str">
            <v>FIN Submission</v>
          </cell>
          <cell r="J1683">
            <v>42912</v>
          </cell>
        </row>
        <row r="1684">
          <cell r="A1684" t="str">
            <v>45801-SC55</v>
          </cell>
          <cell r="B1684" t="str">
            <v>TRE5 Coal Pile Reclaim Markers</v>
          </cell>
          <cell r="C1684" t="str">
            <v>FIN Approval - Internal</v>
          </cell>
          <cell r="D1684">
            <v>54</v>
          </cell>
          <cell r="E1684" t="str">
            <v>APPROVED</v>
          </cell>
          <cell r="F1684">
            <v>42566</v>
          </cell>
          <cell r="G1684">
            <v>42781</v>
          </cell>
          <cell r="H1684">
            <v>216786.34</v>
          </cell>
          <cell r="I1684" t="str">
            <v>FIN Submission</v>
          </cell>
          <cell r="J1684">
            <v>42912</v>
          </cell>
        </row>
        <row r="1685">
          <cell r="A1685" t="str">
            <v>43276-D472</v>
          </cell>
          <cell r="B1685" t="str">
            <v>2013 Distribution Reliability Tech</v>
          </cell>
          <cell r="C1685" t="str">
            <v>FIN Approval - Internal</v>
          </cell>
          <cell r="D1685">
            <v>70</v>
          </cell>
          <cell r="E1685" t="str">
            <v>APPROVED</v>
          </cell>
          <cell r="F1685">
            <v>41639</v>
          </cell>
          <cell r="G1685">
            <v>42824</v>
          </cell>
          <cell r="H1685">
            <v>118887.52</v>
          </cell>
          <cell r="I1685" t="str">
            <v>FIN Submission</v>
          </cell>
          <cell r="J1685">
            <v>42912</v>
          </cell>
        </row>
        <row r="1686">
          <cell r="A1686" t="str">
            <v>43786-T768</v>
          </cell>
          <cell r="B1686" t="str">
            <v>2013 L8002 Tower Refurbishments</v>
          </cell>
          <cell r="C1686" t="str">
            <v>FIN Approval - Internal</v>
          </cell>
          <cell r="D1686">
            <v>79</v>
          </cell>
          <cell r="E1686" t="str">
            <v>APPROVED</v>
          </cell>
          <cell r="F1686">
            <v>41516</v>
          </cell>
          <cell r="G1686">
            <v>42824</v>
          </cell>
          <cell r="H1686">
            <v>2480929.31</v>
          </cell>
          <cell r="I1686" t="str">
            <v/>
          </cell>
          <cell r="J1686">
            <v>42912</v>
          </cell>
        </row>
        <row r="1687">
          <cell r="A1687" t="str">
            <v>28160-D945</v>
          </cell>
          <cell r="B1687" t="str">
            <v>Bear Head Lng 3 Phase Distr Constru</v>
          </cell>
          <cell r="C1687" t="str">
            <v>FIN Approval - Internal</v>
          </cell>
          <cell r="D1687">
            <v>107</v>
          </cell>
          <cell r="E1687" t="str">
            <v>APPROVED</v>
          </cell>
          <cell r="F1687">
            <v>39072</v>
          </cell>
          <cell r="G1687">
            <v>40907</v>
          </cell>
          <cell r="H1687">
            <v>-79308.33</v>
          </cell>
          <cell r="I1687" t="str">
            <v>FIN Submission</v>
          </cell>
          <cell r="J1687">
            <v>42912</v>
          </cell>
        </row>
        <row r="1688">
          <cell r="A1688" t="str">
            <v>34203-S428</v>
          </cell>
          <cell r="B1688" t="str">
            <v>LIN Unit #3 Mercury Abatement</v>
          </cell>
          <cell r="C1688" t="str">
            <v>FIN Approval - Internal</v>
          </cell>
          <cell r="D1688">
            <v>124</v>
          </cell>
          <cell r="E1688" t="str">
            <v>APPROVED</v>
          </cell>
          <cell r="F1688">
            <v>40178</v>
          </cell>
          <cell r="G1688">
            <v>42825</v>
          </cell>
          <cell r="H1688">
            <v>4803921.99</v>
          </cell>
          <cell r="I1688" t="str">
            <v>FIN Submission</v>
          </cell>
          <cell r="J1688">
            <v>42912</v>
          </cell>
        </row>
        <row r="1689">
          <cell r="A1689" t="str">
            <v>31822-P764</v>
          </cell>
          <cell r="B1689" t="str">
            <v>MFD Implementation Project U&amp;U</v>
          </cell>
          <cell r="C1689" t="str">
            <v>FIN Approval - Internal</v>
          </cell>
          <cell r="D1689">
            <v>125</v>
          </cell>
          <cell r="E1689" t="str">
            <v>APPROVED</v>
          </cell>
          <cell r="F1689">
            <v>39630</v>
          </cell>
          <cell r="G1689">
            <v>41274</v>
          </cell>
          <cell r="H1689">
            <v>448326.71</v>
          </cell>
          <cell r="I1689" t="str">
            <v>FIN Submission</v>
          </cell>
          <cell r="J1689">
            <v>42912</v>
          </cell>
        </row>
        <row r="1690">
          <cell r="A1690" t="str">
            <v>28753-G141</v>
          </cell>
          <cell r="B1690" t="str">
            <v>CT'S - Tusket Fuel Storage Remote M</v>
          </cell>
          <cell r="C1690" t="str">
            <v>FIN Approval - Internal</v>
          </cell>
          <cell r="D1690">
            <v>136</v>
          </cell>
          <cell r="E1690" t="str">
            <v>APPROVED</v>
          </cell>
          <cell r="F1690">
            <v>40238</v>
          </cell>
          <cell r="G1690">
            <v>40482</v>
          </cell>
          <cell r="H1690">
            <v>33969.839999999997</v>
          </cell>
          <cell r="I1690" t="str">
            <v>FIN Submission</v>
          </cell>
          <cell r="J1690">
            <v>42912</v>
          </cell>
        </row>
        <row r="1691">
          <cell r="A1691" t="str">
            <v>16339-S395</v>
          </cell>
          <cell r="B1691" t="str">
            <v>POA - REHEATER II INLET TUBING REPL</v>
          </cell>
          <cell r="C1691" t="str">
            <v>FIN Approval - Internal</v>
          </cell>
          <cell r="D1691">
            <v>6</v>
          </cell>
          <cell r="E1691" t="str">
            <v>APPROVED</v>
          </cell>
          <cell r="F1691">
            <v>36950</v>
          </cell>
          <cell r="G1691">
            <v>42886</v>
          </cell>
          <cell r="H1691">
            <v>905537.97</v>
          </cell>
          <cell r="I1691" t="str">
            <v>FIN Submission</v>
          </cell>
          <cell r="J1691">
            <v>42909</v>
          </cell>
        </row>
        <row r="1692">
          <cell r="A1692" t="str">
            <v>20509-G130</v>
          </cell>
          <cell r="B1692" t="str">
            <v>CT'S - BURNSIDE # 2 FREE TURBINE RE</v>
          </cell>
          <cell r="C1692" t="str">
            <v>FIN Approval - Internal</v>
          </cell>
          <cell r="D1692">
            <v>7</v>
          </cell>
          <cell r="E1692" t="str">
            <v>APPROVED</v>
          </cell>
          <cell r="F1692">
            <v>38674</v>
          </cell>
          <cell r="G1692">
            <v>38776</v>
          </cell>
          <cell r="H1692">
            <v>82415.3</v>
          </cell>
          <cell r="I1692" t="str">
            <v>FIN Submission</v>
          </cell>
          <cell r="J1692">
            <v>42909</v>
          </cell>
        </row>
        <row r="1693">
          <cell r="A1693" t="str">
            <v>24741-S769</v>
          </cell>
          <cell r="B1693" t="str">
            <v>LIN-2004 UNIT 3 WATERWALL REPLACEME</v>
          </cell>
          <cell r="C1693" t="str">
            <v>FIN Approval - Internal</v>
          </cell>
          <cell r="D1693">
            <v>7</v>
          </cell>
          <cell r="E1693" t="str">
            <v>APPROVED</v>
          </cell>
          <cell r="F1693">
            <v>38244</v>
          </cell>
          <cell r="G1693">
            <v>39263</v>
          </cell>
          <cell r="H1693">
            <v>233066.79</v>
          </cell>
          <cell r="I1693" t="str">
            <v>FIN Submission</v>
          </cell>
          <cell r="J1693">
            <v>42909</v>
          </cell>
        </row>
        <row r="1694">
          <cell r="A1694" t="str">
            <v>27866-S918</v>
          </cell>
          <cell r="B1694" t="str">
            <v>LIN2 - REPLACE SSH HANGER TUBES</v>
          </cell>
          <cell r="C1694" t="str">
            <v>FIN Approval - Internal</v>
          </cell>
          <cell r="D1694">
            <v>7</v>
          </cell>
          <cell r="E1694" t="str">
            <v>APPROVED</v>
          </cell>
          <cell r="F1694">
            <v>38896</v>
          </cell>
          <cell r="G1694">
            <v>39447</v>
          </cell>
          <cell r="H1694">
            <v>489382.72</v>
          </cell>
          <cell r="I1694" t="str">
            <v>FIN Submission</v>
          </cell>
          <cell r="J1694">
            <v>42909</v>
          </cell>
        </row>
        <row r="1695">
          <cell r="A1695" t="str">
            <v>16006-S450</v>
          </cell>
          <cell r="B1695" t="str">
            <v>LINGAN - UNIT 1-2 2001 WATERWALL PR</v>
          </cell>
          <cell r="C1695" t="str">
            <v>FIN Approval - Internal</v>
          </cell>
          <cell r="D1695">
            <v>7</v>
          </cell>
          <cell r="E1695" t="str">
            <v>APPROVED</v>
          </cell>
          <cell r="F1695">
            <v>37195</v>
          </cell>
          <cell r="G1695">
            <v>42825</v>
          </cell>
          <cell r="H1695">
            <v>485923.61</v>
          </cell>
          <cell r="I1695" t="str">
            <v>FIN Submission</v>
          </cell>
          <cell r="J1695">
            <v>42909</v>
          </cell>
        </row>
        <row r="1696">
          <cell r="A1696" t="str">
            <v>24822-S829</v>
          </cell>
          <cell r="B1696" t="str">
            <v>LIN - REPLACE INSTRUMENT AIR COMPRE</v>
          </cell>
          <cell r="C1696" t="str">
            <v>FIN Approval - Internal</v>
          </cell>
          <cell r="D1696">
            <v>8</v>
          </cell>
          <cell r="E1696" t="str">
            <v>APPROVED</v>
          </cell>
          <cell r="F1696">
            <v>38929</v>
          </cell>
          <cell r="G1696">
            <v>42825</v>
          </cell>
          <cell r="H1696">
            <v>489315.02</v>
          </cell>
          <cell r="I1696" t="str">
            <v>FIN Submission</v>
          </cell>
          <cell r="J1696">
            <v>42909</v>
          </cell>
        </row>
        <row r="1697">
          <cell r="A1697" t="str">
            <v>28346-S241</v>
          </cell>
          <cell r="B1697" t="str">
            <v>LIN4 - REPLACE #5 HP HEATER</v>
          </cell>
          <cell r="C1697" t="str">
            <v>FIN Approval - Internal</v>
          </cell>
          <cell r="D1697">
            <v>9</v>
          </cell>
          <cell r="E1697" t="str">
            <v>APPROVED</v>
          </cell>
          <cell r="F1697">
            <v>39353</v>
          </cell>
          <cell r="G1697">
            <v>42825</v>
          </cell>
          <cell r="H1697">
            <v>519738.63</v>
          </cell>
          <cell r="I1697" t="str">
            <v>FIN Submission</v>
          </cell>
          <cell r="J1697">
            <v>42909</v>
          </cell>
        </row>
        <row r="1698">
          <cell r="A1698" t="str">
            <v>50335-SH18</v>
          </cell>
          <cell r="B1698" t="str">
            <v>TRE5 UU Condenser Tubesheet Coating</v>
          </cell>
          <cell r="C1698" t="str">
            <v>FIN Approval - Internal</v>
          </cell>
          <cell r="D1698">
            <v>11</v>
          </cell>
          <cell r="E1698" t="str">
            <v>APPROVED</v>
          </cell>
          <cell r="F1698">
            <v>42719</v>
          </cell>
          <cell r="G1698">
            <v>42719</v>
          </cell>
          <cell r="H1698">
            <v>70160.41</v>
          </cell>
          <cell r="I1698" t="str">
            <v>FIN Submission</v>
          </cell>
          <cell r="J1698">
            <v>42909</v>
          </cell>
        </row>
        <row r="1699">
          <cell r="A1699" t="str">
            <v>50375-SH20</v>
          </cell>
          <cell r="B1699" t="str">
            <v>TRE6 UU 6B ID Fan Motor</v>
          </cell>
          <cell r="C1699" t="str">
            <v>FIN Approval - Internal</v>
          </cell>
          <cell r="D1699">
            <v>11</v>
          </cell>
          <cell r="E1699" t="str">
            <v>APPROVED</v>
          </cell>
          <cell r="F1699">
            <v>42719</v>
          </cell>
          <cell r="G1699">
            <v>42781</v>
          </cell>
          <cell r="H1699">
            <v>125078.2</v>
          </cell>
          <cell r="I1699" t="str">
            <v>FIN Submission</v>
          </cell>
          <cell r="J1699">
            <v>42909</v>
          </cell>
        </row>
        <row r="1700">
          <cell r="A1700" t="str">
            <v>50276-SH15</v>
          </cell>
          <cell r="B1700" t="str">
            <v>TRE6 UU HEP &amp; FAC Refurbishment</v>
          </cell>
          <cell r="C1700" t="str">
            <v>FIN Approval - Internal</v>
          </cell>
          <cell r="D1700">
            <v>11</v>
          </cell>
          <cell r="E1700" t="str">
            <v>APPROVED</v>
          </cell>
          <cell r="F1700">
            <v>42689</v>
          </cell>
          <cell r="G1700">
            <v>42719</v>
          </cell>
          <cell r="H1700">
            <v>230368.86</v>
          </cell>
          <cell r="I1700" t="str">
            <v>FIN Submission</v>
          </cell>
          <cell r="J1700">
            <v>42909</v>
          </cell>
        </row>
        <row r="1701">
          <cell r="A1701" t="str">
            <v>50351-SH19</v>
          </cell>
          <cell r="B1701" t="str">
            <v>TRE6 UU Main FW Valve</v>
          </cell>
          <cell r="C1701" t="str">
            <v>FIN Approval - Internal</v>
          </cell>
          <cell r="D1701">
            <v>11</v>
          </cell>
          <cell r="E1701" t="str">
            <v>APPROVED</v>
          </cell>
          <cell r="F1701">
            <v>42719</v>
          </cell>
          <cell r="G1701">
            <v>42719</v>
          </cell>
          <cell r="H1701">
            <v>34567.08</v>
          </cell>
          <cell r="I1701" t="str">
            <v>FIN Submission</v>
          </cell>
          <cell r="J1701">
            <v>42909</v>
          </cell>
        </row>
        <row r="1702">
          <cell r="A1702" t="str">
            <v>50293-SH16</v>
          </cell>
          <cell r="B1702" t="str">
            <v>TRE6 UU Sootblower Isolation Valve</v>
          </cell>
          <cell r="C1702" t="str">
            <v>FIN Approval - Internal</v>
          </cell>
          <cell r="D1702">
            <v>12</v>
          </cell>
          <cell r="E1702" t="str">
            <v>APPROVED</v>
          </cell>
          <cell r="F1702">
            <v>42719</v>
          </cell>
          <cell r="G1702">
            <v>42719</v>
          </cell>
          <cell r="H1702">
            <v>63781.36</v>
          </cell>
          <cell r="I1702" t="str">
            <v>FIN Submission</v>
          </cell>
          <cell r="J1702">
            <v>42909</v>
          </cell>
        </row>
        <row r="1703">
          <cell r="A1703" t="str">
            <v>45056-SC09</v>
          </cell>
          <cell r="B1703" t="str">
            <v>LIN - UU Seaweed Picker Refurb</v>
          </cell>
          <cell r="C1703" t="str">
            <v>FIN Approval - Internal</v>
          </cell>
          <cell r="D1703">
            <v>16</v>
          </cell>
          <cell r="E1703" t="str">
            <v>APPROVED</v>
          </cell>
          <cell r="F1703">
            <v>41577</v>
          </cell>
          <cell r="G1703">
            <v>42885</v>
          </cell>
          <cell r="H1703">
            <v>130109.78</v>
          </cell>
          <cell r="I1703" t="str">
            <v>FIN Submission</v>
          </cell>
          <cell r="J1703">
            <v>42909</v>
          </cell>
        </row>
        <row r="1704">
          <cell r="A1704" t="str">
            <v>49559-SG93</v>
          </cell>
          <cell r="B1704" t="str">
            <v>TRE6 UU Burner Refurbishments</v>
          </cell>
          <cell r="C1704" t="str">
            <v>FIN Approval - Internal</v>
          </cell>
          <cell r="D1704">
            <v>20</v>
          </cell>
          <cell r="E1704" t="str">
            <v>APPROVED</v>
          </cell>
          <cell r="F1704">
            <v>42597</v>
          </cell>
          <cell r="G1704">
            <v>42781</v>
          </cell>
          <cell r="H1704">
            <v>38346.82</v>
          </cell>
          <cell r="I1704" t="str">
            <v>FIN Submission</v>
          </cell>
          <cell r="J1704">
            <v>42909</v>
          </cell>
        </row>
        <row r="1705">
          <cell r="A1705" t="str">
            <v>49531-D759</v>
          </cell>
          <cell r="B1705" t="str">
            <v>Jan 29, 2016 Level 3 Storm Response</v>
          </cell>
          <cell r="C1705" t="str">
            <v>FIN Approval - Internal</v>
          </cell>
          <cell r="D1705">
            <v>21</v>
          </cell>
          <cell r="E1705" t="str">
            <v>APPROVED</v>
          </cell>
          <cell r="F1705">
            <v>42552</v>
          </cell>
          <cell r="G1705">
            <v>42886</v>
          </cell>
          <cell r="H1705">
            <v>1512468.45</v>
          </cell>
          <cell r="I1705" t="str">
            <v>FIN Submission</v>
          </cell>
          <cell r="J1705">
            <v>42909</v>
          </cell>
        </row>
        <row r="1706">
          <cell r="A1706" t="str">
            <v>49063-SG46</v>
          </cell>
          <cell r="B1706" t="str">
            <v>POA UU Ash System Refurbishmnt 2016</v>
          </cell>
          <cell r="C1706" t="str">
            <v>FIN Approval - Internal</v>
          </cell>
          <cell r="D1706">
            <v>21</v>
          </cell>
          <cell r="E1706" t="str">
            <v>APPROVED</v>
          </cell>
          <cell r="F1706">
            <v>42660</v>
          </cell>
          <cell r="G1706">
            <v>43086</v>
          </cell>
          <cell r="H1706">
            <v>293422.92</v>
          </cell>
          <cell r="I1706" t="str">
            <v>FIN Submission</v>
          </cell>
          <cell r="J1706">
            <v>42909</v>
          </cell>
        </row>
        <row r="1707">
          <cell r="A1707" t="str">
            <v>49227-SG49</v>
          </cell>
          <cell r="B1707" t="str">
            <v>POA UU LS System Refurbishment</v>
          </cell>
          <cell r="C1707" t="str">
            <v>FIN Approval - Internal</v>
          </cell>
          <cell r="D1707">
            <v>23</v>
          </cell>
          <cell r="E1707" t="str">
            <v>APPROVED</v>
          </cell>
          <cell r="F1707">
            <v>42656</v>
          </cell>
          <cell r="G1707">
            <v>42717</v>
          </cell>
          <cell r="H1707">
            <v>141477.81</v>
          </cell>
          <cell r="I1707" t="str">
            <v>FIN Submission</v>
          </cell>
          <cell r="J1707">
            <v>42909</v>
          </cell>
        </row>
        <row r="1708">
          <cell r="A1708" t="str">
            <v>48971-SG17</v>
          </cell>
          <cell r="B1708" t="str">
            <v>POA UU Condenser Refurbishment</v>
          </cell>
          <cell r="C1708" t="str">
            <v>FIN Approval - Internal</v>
          </cell>
          <cell r="D1708">
            <v>24</v>
          </cell>
          <cell r="E1708" t="str">
            <v>APPROVED</v>
          </cell>
          <cell r="F1708">
            <v>42635</v>
          </cell>
          <cell r="G1708">
            <v>42825</v>
          </cell>
          <cell r="H1708">
            <v>115383.07</v>
          </cell>
          <cell r="I1708" t="str">
            <v>FIN Submission</v>
          </cell>
          <cell r="J1708">
            <v>42909</v>
          </cell>
        </row>
        <row r="1709">
          <cell r="A1709" t="str">
            <v>48752-D725</v>
          </cell>
          <cell r="B1709" t="str">
            <v xml:space="preserve">16N-302-Windham Hill-Deteriorated </v>
          </cell>
          <cell r="C1709" t="str">
            <v>FIN Approval - Internal</v>
          </cell>
          <cell r="D1709">
            <v>26</v>
          </cell>
          <cell r="E1709" t="str">
            <v>APPROVED</v>
          </cell>
          <cell r="F1709">
            <v>42520</v>
          </cell>
          <cell r="G1709">
            <v>42886</v>
          </cell>
          <cell r="H1709">
            <v>147328.94</v>
          </cell>
          <cell r="I1709" t="str">
            <v>FIN Submission</v>
          </cell>
          <cell r="J1709">
            <v>42909</v>
          </cell>
        </row>
        <row r="1710">
          <cell r="A1710" t="str">
            <v>48912-D729</v>
          </cell>
          <cell r="B1710" t="str">
            <v>88W-312G Wyman Rd Reconductor</v>
          </cell>
          <cell r="C1710" t="str">
            <v>FIN Approval - Internal</v>
          </cell>
          <cell r="D1710">
            <v>26</v>
          </cell>
          <cell r="E1710" t="str">
            <v>APPROVED</v>
          </cell>
          <cell r="F1710">
            <v>42520</v>
          </cell>
          <cell r="G1710">
            <v>42886</v>
          </cell>
          <cell r="H1710">
            <v>50424.38</v>
          </cell>
          <cell r="I1710" t="str">
            <v>FIN Submission</v>
          </cell>
          <cell r="J1710">
            <v>42909</v>
          </cell>
        </row>
        <row r="1711">
          <cell r="A1711" t="str">
            <v>48331-G192</v>
          </cell>
          <cell r="B1711" t="str">
            <v>BGT2 Annunciation Upgrade to DAS</v>
          </cell>
          <cell r="C1711" t="str">
            <v>FIN Approval - Internal</v>
          </cell>
          <cell r="D1711">
            <v>27</v>
          </cell>
          <cell r="E1711" t="str">
            <v>APPROVED</v>
          </cell>
          <cell r="F1711">
            <v>42400</v>
          </cell>
          <cell r="G1711">
            <v>42459</v>
          </cell>
          <cell r="H1711">
            <v>90598.54</v>
          </cell>
          <cell r="I1711" t="str">
            <v>FIN Submission</v>
          </cell>
          <cell r="J1711">
            <v>42909</v>
          </cell>
        </row>
        <row r="1712">
          <cell r="A1712" t="str">
            <v>48472-SF32</v>
          </cell>
          <cell r="B1712" t="str">
            <v>LIN UU Ash Conditioner Refurb.</v>
          </cell>
          <cell r="C1712" t="str">
            <v>FIN Approval - Internal</v>
          </cell>
          <cell r="D1712">
            <v>27</v>
          </cell>
          <cell r="E1712" t="str">
            <v>APPROVED</v>
          </cell>
          <cell r="F1712">
            <v>42361</v>
          </cell>
          <cell r="G1712">
            <v>43092</v>
          </cell>
          <cell r="H1712">
            <v>112666.12</v>
          </cell>
          <cell r="I1712" t="str">
            <v>FIN Submission</v>
          </cell>
          <cell r="J1712">
            <v>42909</v>
          </cell>
        </row>
        <row r="1713">
          <cell r="A1713" t="str">
            <v>44066-SB47</v>
          </cell>
          <cell r="B1713" t="str">
            <v>LIN4 - U&amp;U - BREACH REPAIRS</v>
          </cell>
          <cell r="C1713" t="str">
            <v>FIN Approval - Internal</v>
          </cell>
          <cell r="D1713">
            <v>27</v>
          </cell>
          <cell r="E1713" t="str">
            <v>APPROVED</v>
          </cell>
          <cell r="F1713">
            <v>41372</v>
          </cell>
          <cell r="G1713">
            <v>41639</v>
          </cell>
          <cell r="H1713">
            <v>304276.69</v>
          </cell>
          <cell r="I1713" t="str">
            <v>FIN Submission</v>
          </cell>
          <cell r="J1713">
            <v>42909</v>
          </cell>
        </row>
        <row r="1714">
          <cell r="A1714" t="str">
            <v>43847-SB26</v>
          </cell>
          <cell r="B1714" t="str">
            <v>POA - U&amp;U Boiler Main Stop Valve Re</v>
          </cell>
          <cell r="C1714" t="str">
            <v>FIN Approval - Internal</v>
          </cell>
          <cell r="D1714">
            <v>27</v>
          </cell>
          <cell r="E1714" t="str">
            <v>APPROVED</v>
          </cell>
          <cell r="F1714">
            <v>41213</v>
          </cell>
          <cell r="G1714">
            <v>42795</v>
          </cell>
          <cell r="H1714">
            <v>158544.54999999999</v>
          </cell>
          <cell r="I1714" t="str">
            <v>FIN Submission</v>
          </cell>
          <cell r="J1714">
            <v>42909</v>
          </cell>
        </row>
        <row r="1715">
          <cell r="A1715" t="str">
            <v>48673-D721</v>
          </cell>
          <cell r="B1715" t="str">
            <v>3S-307 Epoxy Arm Changeout Sydney M</v>
          </cell>
          <cell r="C1715" t="str">
            <v>FIN Approval - Internal</v>
          </cell>
          <cell r="D1715">
            <v>28</v>
          </cell>
          <cell r="E1715" t="str">
            <v>APPROVED</v>
          </cell>
          <cell r="F1715">
            <v>42551</v>
          </cell>
          <cell r="G1715">
            <v>42886</v>
          </cell>
          <cell r="H1715">
            <v>102362.88</v>
          </cell>
          <cell r="I1715" t="str">
            <v>FIN Submission</v>
          </cell>
          <cell r="J1715">
            <v>42909</v>
          </cell>
        </row>
        <row r="1716">
          <cell r="A1716" t="str">
            <v>48594-P985</v>
          </cell>
          <cell r="B1716" t="str">
            <v>LIN UU Utility Tractor Replacement</v>
          </cell>
          <cell r="C1716" t="str">
            <v>FIN Approval - Internal</v>
          </cell>
          <cell r="D1716">
            <v>28</v>
          </cell>
          <cell r="E1716" t="str">
            <v>APPROVED</v>
          </cell>
          <cell r="F1716">
            <v>42369</v>
          </cell>
          <cell r="G1716">
            <v>42825</v>
          </cell>
          <cell r="H1716">
            <v>46868.92</v>
          </cell>
          <cell r="I1716" t="str">
            <v>FIN Submission</v>
          </cell>
          <cell r="J1716">
            <v>42909</v>
          </cell>
        </row>
        <row r="1717">
          <cell r="A1717" t="str">
            <v>48636-D714</v>
          </cell>
          <cell r="B1717" t="str">
            <v>Overloaded Stepdown 524C Cape Jack</v>
          </cell>
          <cell r="C1717" t="str">
            <v>FIN Approval - Internal</v>
          </cell>
          <cell r="D1717">
            <v>28</v>
          </cell>
          <cell r="E1717" t="str">
            <v>APPROVED</v>
          </cell>
          <cell r="F1717">
            <v>42423</v>
          </cell>
          <cell r="G1717">
            <v>42886</v>
          </cell>
          <cell r="H1717">
            <v>25833.15</v>
          </cell>
          <cell r="I1717" t="str">
            <v>FIN Submission</v>
          </cell>
          <cell r="J1717">
            <v>42909</v>
          </cell>
        </row>
        <row r="1718">
          <cell r="A1718" t="str">
            <v>48355-SF12</v>
          </cell>
          <cell r="B1718" t="str">
            <v>LIN1 PA Bottom Ash Refurbishment</v>
          </cell>
          <cell r="C1718" t="str">
            <v>FIN Approval - Internal</v>
          </cell>
          <cell r="D1718">
            <v>29</v>
          </cell>
          <cell r="E1718" t="str">
            <v>APPROVED</v>
          </cell>
          <cell r="F1718">
            <v>42338</v>
          </cell>
          <cell r="G1718">
            <v>43100</v>
          </cell>
          <cell r="H1718">
            <v>248781.81</v>
          </cell>
          <cell r="I1718" t="str">
            <v>FIN Submission</v>
          </cell>
          <cell r="J1718">
            <v>42909</v>
          </cell>
        </row>
        <row r="1719">
          <cell r="A1719" t="str">
            <v>48361-SF15</v>
          </cell>
          <cell r="B1719" t="str">
            <v>LIN1 UU Misc. Valve Refurbishment</v>
          </cell>
          <cell r="C1719" t="str">
            <v>FIN Approval - Internal</v>
          </cell>
          <cell r="D1719">
            <v>30</v>
          </cell>
          <cell r="E1719" t="str">
            <v>APPROVED</v>
          </cell>
          <cell r="F1719">
            <v>42338</v>
          </cell>
          <cell r="G1719">
            <v>42825</v>
          </cell>
          <cell r="H1719">
            <v>239543.03</v>
          </cell>
          <cell r="I1719" t="str">
            <v>FIN Submission</v>
          </cell>
          <cell r="J1719">
            <v>42909</v>
          </cell>
        </row>
        <row r="1720">
          <cell r="A1720" t="str">
            <v>48015-SE81</v>
          </cell>
          <cell r="B1720" t="str">
            <v>TRE5 PA Coal Reclaim Hopper Upgrade</v>
          </cell>
          <cell r="C1720" t="str">
            <v>FIN Approval - Internal</v>
          </cell>
          <cell r="D1720">
            <v>30</v>
          </cell>
          <cell r="E1720" t="str">
            <v>APPROVED</v>
          </cell>
          <cell r="F1720">
            <v>42415</v>
          </cell>
          <cell r="G1720">
            <v>42735</v>
          </cell>
          <cell r="H1720">
            <v>171410.45</v>
          </cell>
          <cell r="I1720" t="str">
            <v>FIN Submission</v>
          </cell>
          <cell r="J1720">
            <v>42909</v>
          </cell>
        </row>
        <row r="1721">
          <cell r="A1721" t="str">
            <v>43086-SA72</v>
          </cell>
          <cell r="B1721" t="str">
            <v>TRE5 UU CW Pumps Discharge Piping</v>
          </cell>
          <cell r="C1721" t="str">
            <v>FIN Approval - Internal</v>
          </cell>
          <cell r="D1721">
            <v>32</v>
          </cell>
          <cell r="E1721" t="str">
            <v>APPROVED</v>
          </cell>
          <cell r="F1721">
            <v>41197</v>
          </cell>
          <cell r="G1721">
            <v>41562</v>
          </cell>
          <cell r="H1721">
            <v>235463.74</v>
          </cell>
          <cell r="I1721" t="str">
            <v>FIN Submission</v>
          </cell>
          <cell r="J1721">
            <v>42909</v>
          </cell>
        </row>
        <row r="1722">
          <cell r="A1722" t="str">
            <v>48354-SF11</v>
          </cell>
          <cell r="B1722" t="str">
            <v>LIN1 UU Burner Front Refurbishment</v>
          </cell>
          <cell r="C1722" t="str">
            <v>FIN Approval - Internal</v>
          </cell>
          <cell r="D1722">
            <v>33</v>
          </cell>
          <cell r="E1722" t="str">
            <v>APPROVED</v>
          </cell>
          <cell r="F1722">
            <v>42369</v>
          </cell>
          <cell r="G1722">
            <v>42915</v>
          </cell>
          <cell r="H1722">
            <v>398989.53</v>
          </cell>
          <cell r="I1722" t="str">
            <v>FIN Submission</v>
          </cell>
          <cell r="J1722">
            <v>42909</v>
          </cell>
        </row>
        <row r="1723">
          <cell r="A1723" t="str">
            <v>47849-SG11</v>
          </cell>
          <cell r="B1723" t="str">
            <v>POA Expansion Joint Replacemnt 2016</v>
          </cell>
          <cell r="C1723" t="str">
            <v>FIN Approval - Internal</v>
          </cell>
          <cell r="D1723">
            <v>33</v>
          </cell>
          <cell r="E1723" t="str">
            <v>APPROVED</v>
          </cell>
          <cell r="F1723">
            <v>42674</v>
          </cell>
          <cell r="G1723">
            <v>42825</v>
          </cell>
          <cell r="H1723">
            <v>94197.92</v>
          </cell>
          <cell r="I1723" t="str">
            <v>FIN Submission</v>
          </cell>
          <cell r="J1723">
            <v>42909</v>
          </cell>
        </row>
        <row r="1724">
          <cell r="A1724" t="str">
            <v>47598-SE99</v>
          </cell>
          <cell r="B1724" t="str">
            <v>TRE5 5-2 Mill Refurbishments</v>
          </cell>
          <cell r="C1724" t="str">
            <v>FIN Approval - Internal</v>
          </cell>
          <cell r="D1724">
            <v>33</v>
          </cell>
          <cell r="E1724" t="str">
            <v>APPROVED</v>
          </cell>
          <cell r="F1724">
            <v>42384</v>
          </cell>
          <cell r="G1724">
            <v>42735</v>
          </cell>
          <cell r="H1724">
            <v>213329.47</v>
          </cell>
          <cell r="I1724" t="str">
            <v>FIN Submission</v>
          </cell>
          <cell r="J1724">
            <v>42909</v>
          </cell>
        </row>
        <row r="1725">
          <cell r="A1725" t="str">
            <v>47555-SF16</v>
          </cell>
          <cell r="B1725" t="str">
            <v>TRE5 Coal System Upgrades 2016</v>
          </cell>
          <cell r="C1725" t="str">
            <v>FIN Approval - Internal</v>
          </cell>
          <cell r="D1725">
            <v>33</v>
          </cell>
          <cell r="E1725" t="str">
            <v>APPROVED</v>
          </cell>
          <cell r="F1725">
            <v>42566</v>
          </cell>
          <cell r="G1725">
            <v>42781</v>
          </cell>
          <cell r="H1725">
            <v>566514.13</v>
          </cell>
          <cell r="I1725" t="str">
            <v>FIN Submission</v>
          </cell>
          <cell r="J1725">
            <v>42909</v>
          </cell>
        </row>
        <row r="1726">
          <cell r="A1726" t="str">
            <v>47699-SE73</v>
          </cell>
          <cell r="B1726" t="str">
            <v>LIN UU B Conveyor Belt Replacement</v>
          </cell>
          <cell r="C1726" t="str">
            <v>FIN Approval - Internal</v>
          </cell>
          <cell r="D1726">
            <v>35</v>
          </cell>
          <cell r="E1726" t="str">
            <v>APPROVED</v>
          </cell>
          <cell r="F1726">
            <v>42345</v>
          </cell>
          <cell r="G1726">
            <v>42797</v>
          </cell>
          <cell r="H1726">
            <v>123997.75</v>
          </cell>
          <cell r="I1726" t="str">
            <v>FIN Submission</v>
          </cell>
          <cell r="J1726">
            <v>42909</v>
          </cell>
        </row>
        <row r="1727">
          <cell r="A1727" t="str">
            <v>47645-SG37</v>
          </cell>
          <cell r="B1727" t="str">
            <v>TRE6 6A Instr Air Compressor Replac</v>
          </cell>
          <cell r="C1727" t="str">
            <v>FIN Approval - Internal</v>
          </cell>
          <cell r="D1727">
            <v>35</v>
          </cell>
          <cell r="E1727" t="str">
            <v>APPROVED</v>
          </cell>
          <cell r="F1727">
            <v>42597</v>
          </cell>
          <cell r="G1727">
            <v>42658</v>
          </cell>
          <cell r="H1727">
            <v>64390.27</v>
          </cell>
          <cell r="I1727" t="str">
            <v>FIN Submission</v>
          </cell>
          <cell r="J1727">
            <v>42909</v>
          </cell>
        </row>
        <row r="1728">
          <cell r="A1728" t="str">
            <v>47596-SF99</v>
          </cell>
          <cell r="B1728" t="str">
            <v>TRE6 ID Fan Damper Upgrades</v>
          </cell>
          <cell r="C1728" t="str">
            <v>FIN Approval - Internal</v>
          </cell>
          <cell r="D1728">
            <v>35</v>
          </cell>
          <cell r="E1728" t="str">
            <v>APPROVED</v>
          </cell>
          <cell r="F1728">
            <v>42597</v>
          </cell>
          <cell r="G1728">
            <v>42840</v>
          </cell>
          <cell r="H1728">
            <v>251281.74</v>
          </cell>
          <cell r="I1728" t="str">
            <v>FIN Submission</v>
          </cell>
          <cell r="J1728">
            <v>42909</v>
          </cell>
        </row>
        <row r="1729">
          <cell r="A1729" t="str">
            <v>47411-SE47</v>
          </cell>
          <cell r="B1729" t="str">
            <v>TRE6 PA Bottom Ash Conveyor Refurb</v>
          </cell>
          <cell r="C1729" t="str">
            <v>FIN Approval - Internal</v>
          </cell>
          <cell r="D1729">
            <v>35</v>
          </cell>
          <cell r="E1729" t="str">
            <v>APPROVED</v>
          </cell>
          <cell r="F1729">
            <v>42200</v>
          </cell>
          <cell r="G1729">
            <v>42825</v>
          </cell>
          <cell r="H1729">
            <v>172747.06</v>
          </cell>
          <cell r="I1729" t="str">
            <v>FIN Submission</v>
          </cell>
          <cell r="J1729">
            <v>42909</v>
          </cell>
        </row>
        <row r="1730">
          <cell r="A1730" t="str">
            <v>47816-D678</v>
          </cell>
          <cell r="B1730" t="str">
            <v>660V-201 Duncan Ave Rebuild</v>
          </cell>
          <cell r="C1730" t="str">
            <v>FIN Approval - Internal</v>
          </cell>
          <cell r="D1730">
            <v>37</v>
          </cell>
          <cell r="E1730" t="str">
            <v>APPROVED</v>
          </cell>
          <cell r="F1730">
            <v>42552</v>
          </cell>
          <cell r="G1730">
            <v>42886</v>
          </cell>
          <cell r="H1730">
            <v>142796.67000000001</v>
          </cell>
          <cell r="I1730" t="str">
            <v>FIN Submission</v>
          </cell>
          <cell r="J1730">
            <v>42909</v>
          </cell>
        </row>
        <row r="1731">
          <cell r="A1731" t="str">
            <v>47512-G185</v>
          </cell>
          <cell r="B1731" t="str">
            <v>LM6000 Rotable SPRINT manifold</v>
          </cell>
          <cell r="C1731" t="str">
            <v>FIN Approval - Internal</v>
          </cell>
          <cell r="D1731">
            <v>37</v>
          </cell>
          <cell r="E1731" t="str">
            <v>APPROVED</v>
          </cell>
          <cell r="F1731">
            <v>42231</v>
          </cell>
          <cell r="G1731">
            <v>42369</v>
          </cell>
          <cell r="H1731">
            <v>210234.29</v>
          </cell>
          <cell r="I1731" t="str">
            <v>FIN Submission</v>
          </cell>
          <cell r="J1731">
            <v>42909</v>
          </cell>
        </row>
        <row r="1732">
          <cell r="A1732" t="str">
            <v>47352-SE36</v>
          </cell>
          <cell r="B1732" t="str">
            <v>POA PE Vortex Finder Repl. 2016</v>
          </cell>
          <cell r="C1732" t="str">
            <v>FIN Approval - Internal</v>
          </cell>
          <cell r="D1732">
            <v>37</v>
          </cell>
          <cell r="E1732" t="str">
            <v>APPROVED</v>
          </cell>
          <cell r="F1732">
            <v>42659</v>
          </cell>
          <cell r="G1732">
            <v>42825</v>
          </cell>
          <cell r="H1732">
            <v>528500.93999999994</v>
          </cell>
          <cell r="I1732" t="str">
            <v>FIN Submission</v>
          </cell>
          <cell r="J1732">
            <v>42909</v>
          </cell>
        </row>
        <row r="1733">
          <cell r="A1733" t="str">
            <v>47293-D656</v>
          </cell>
          <cell r="B1733" t="str">
            <v>22W-311 - Barrington Causeway to Ca</v>
          </cell>
          <cell r="C1733" t="str">
            <v>FIN Approval - Internal</v>
          </cell>
          <cell r="D1733">
            <v>38</v>
          </cell>
          <cell r="E1733" t="str">
            <v>APPROVED</v>
          </cell>
          <cell r="F1733">
            <v>42338</v>
          </cell>
          <cell r="G1733">
            <v>42886</v>
          </cell>
          <cell r="H1733">
            <v>61387.95</v>
          </cell>
          <cell r="I1733" t="str">
            <v>FIN Submission</v>
          </cell>
          <cell r="J1733">
            <v>42909</v>
          </cell>
        </row>
        <row r="1734">
          <cell r="A1734" t="str">
            <v>47275-D653</v>
          </cell>
          <cell r="B1734" t="str">
            <v xml:space="preserve">36V-302 Longspell Rd- Add 2 Phases </v>
          </cell>
          <cell r="C1734" t="str">
            <v>FIN Approval - Internal</v>
          </cell>
          <cell r="D1734">
            <v>39</v>
          </cell>
          <cell r="E1734" t="str">
            <v>APPROVED</v>
          </cell>
          <cell r="F1734">
            <v>42283</v>
          </cell>
          <cell r="G1734">
            <v>42886</v>
          </cell>
          <cell r="H1734">
            <v>186981.66</v>
          </cell>
          <cell r="I1734" t="str">
            <v>FIN Submission</v>
          </cell>
          <cell r="J1734">
            <v>42909</v>
          </cell>
        </row>
        <row r="1735">
          <cell r="A1735" t="str">
            <v>46951-SE43</v>
          </cell>
          <cell r="B1735" t="str">
            <v>TRE6 PA 6B Service Air Compressor</v>
          </cell>
          <cell r="C1735" t="str">
            <v>FIN Approval - Internal</v>
          </cell>
          <cell r="D1735">
            <v>40</v>
          </cell>
          <cell r="E1735" t="str">
            <v>APPROVED</v>
          </cell>
          <cell r="F1735">
            <v>42597</v>
          </cell>
          <cell r="G1735">
            <v>42658</v>
          </cell>
          <cell r="H1735">
            <v>92926.18</v>
          </cell>
          <cell r="I1735" t="str">
            <v>FIN Submission</v>
          </cell>
          <cell r="J1735">
            <v>42909</v>
          </cell>
        </row>
        <row r="1736">
          <cell r="A1736" t="str">
            <v>47223-D649</v>
          </cell>
          <cell r="B1736" t="str">
            <v>1N-403/405 Meeting House Rd Rebuild</v>
          </cell>
          <cell r="C1736" t="str">
            <v>FIN Approval - Internal</v>
          </cell>
          <cell r="D1736">
            <v>41</v>
          </cell>
          <cell r="E1736" t="str">
            <v>APPROVED</v>
          </cell>
          <cell r="F1736">
            <v>42277</v>
          </cell>
          <cell r="G1736">
            <v>42886</v>
          </cell>
          <cell r="H1736">
            <v>96883.33</v>
          </cell>
          <cell r="I1736" t="str">
            <v>FIN Submission</v>
          </cell>
          <cell r="J1736">
            <v>42909</v>
          </cell>
        </row>
        <row r="1737">
          <cell r="A1737" t="str">
            <v>47071-D634</v>
          </cell>
          <cell r="B1737" t="str">
            <v xml:space="preserve">99V-313 Olympic Ave- Add 2nd Phase </v>
          </cell>
          <cell r="C1737" t="str">
            <v>FIN Approval - Internal</v>
          </cell>
          <cell r="D1737">
            <v>41</v>
          </cell>
          <cell r="E1737" t="str">
            <v>APPROVED</v>
          </cell>
          <cell r="F1737">
            <v>42154</v>
          </cell>
          <cell r="G1737">
            <v>42368</v>
          </cell>
          <cell r="H1737">
            <v>25175.45</v>
          </cell>
          <cell r="I1737" t="str">
            <v>FIN Submission</v>
          </cell>
          <cell r="J1737">
            <v>42909</v>
          </cell>
        </row>
        <row r="1738">
          <cell r="A1738" t="str">
            <v>47231-SE35</v>
          </cell>
          <cell r="B1738" t="str">
            <v>LIN3 UU Governor Refurbishment</v>
          </cell>
          <cell r="C1738" t="str">
            <v>FIN Approval - Internal</v>
          </cell>
          <cell r="D1738">
            <v>41</v>
          </cell>
          <cell r="E1738" t="str">
            <v>APPROVED</v>
          </cell>
          <cell r="F1738">
            <v>42155</v>
          </cell>
          <cell r="G1738">
            <v>42825</v>
          </cell>
          <cell r="H1738">
            <v>238832.17</v>
          </cell>
          <cell r="I1738" t="str">
            <v>FIN Submission</v>
          </cell>
          <cell r="J1738">
            <v>42909</v>
          </cell>
        </row>
        <row r="1739">
          <cell r="A1739" t="str">
            <v>47122-D643</v>
          </cell>
          <cell r="B1739" t="str">
            <v>533N Pictou Landing Conversion</v>
          </cell>
          <cell r="C1739" t="str">
            <v>FIN Approval - Internal</v>
          </cell>
          <cell r="D1739">
            <v>42</v>
          </cell>
          <cell r="E1739" t="str">
            <v>APPROVED</v>
          </cell>
          <cell r="F1739">
            <v>42247</v>
          </cell>
          <cell r="G1739">
            <v>42551</v>
          </cell>
          <cell r="H1739">
            <v>108731.02</v>
          </cell>
          <cell r="I1739" t="str">
            <v>FIN Submission</v>
          </cell>
          <cell r="J1739">
            <v>42909</v>
          </cell>
        </row>
        <row r="1740">
          <cell r="A1740" t="str">
            <v>47158-SE16</v>
          </cell>
          <cell r="B1740" t="str">
            <v>TRE5 HEP &amp; FAC Refurbishment</v>
          </cell>
          <cell r="C1740" t="str">
            <v>FIN Approval - Internal</v>
          </cell>
          <cell r="D1740">
            <v>42</v>
          </cell>
          <cell r="E1740" t="str">
            <v>APPROVED</v>
          </cell>
          <cell r="F1740">
            <v>42384</v>
          </cell>
          <cell r="G1740">
            <v>42781</v>
          </cell>
          <cell r="H1740">
            <v>333289.90000000002</v>
          </cell>
          <cell r="I1740" t="str">
            <v>FIN Submission</v>
          </cell>
          <cell r="J1740">
            <v>42909</v>
          </cell>
        </row>
        <row r="1741">
          <cell r="A1741" t="str">
            <v>47494-D669</v>
          </cell>
          <cell r="B1741" t="str">
            <v>16W-302 Lake George Neutral Replace</v>
          </cell>
          <cell r="C1741" t="str">
            <v>FIN Approval - Internal</v>
          </cell>
          <cell r="D1741">
            <v>44</v>
          </cell>
          <cell r="E1741" t="str">
            <v>APPROVED</v>
          </cell>
          <cell r="F1741">
            <v>42307</v>
          </cell>
          <cell r="G1741">
            <v>42886</v>
          </cell>
          <cell r="H1741">
            <v>264236.09999999998</v>
          </cell>
          <cell r="I1741" t="str">
            <v>FIN Submission</v>
          </cell>
          <cell r="J1741">
            <v>42909</v>
          </cell>
        </row>
        <row r="1742">
          <cell r="A1742" t="str">
            <v>24767-S960</v>
          </cell>
          <cell r="B1742" t="str">
            <v>LIN - UNIT 3 - LARGE BORE CW PIPING</v>
          </cell>
          <cell r="C1742" t="str">
            <v>FIN Approval - Internal</v>
          </cell>
          <cell r="D1742">
            <v>44</v>
          </cell>
          <cell r="E1742" t="str">
            <v>APPROVED</v>
          </cell>
          <cell r="F1742">
            <v>39001</v>
          </cell>
          <cell r="G1742">
            <v>42825</v>
          </cell>
          <cell r="H1742">
            <v>401046.81</v>
          </cell>
          <cell r="I1742" t="str">
            <v>FIN Submission</v>
          </cell>
          <cell r="J1742">
            <v>42909</v>
          </cell>
        </row>
        <row r="1743">
          <cell r="A1743" t="str">
            <v>46619-D605</v>
          </cell>
          <cell r="B1743" t="str">
            <v>514C Lochaber Substation Impr.</v>
          </cell>
          <cell r="C1743" t="str">
            <v>FIN Approval - Internal</v>
          </cell>
          <cell r="D1743">
            <v>48</v>
          </cell>
          <cell r="E1743" t="str">
            <v>APPROVED</v>
          </cell>
          <cell r="F1743">
            <v>42338</v>
          </cell>
          <cell r="G1743">
            <v>42886</v>
          </cell>
          <cell r="H1743">
            <v>91649.16</v>
          </cell>
          <cell r="I1743" t="str">
            <v>FIN Submission</v>
          </cell>
          <cell r="J1743">
            <v>42909</v>
          </cell>
        </row>
        <row r="1744">
          <cell r="A1744" t="str">
            <v>46618-D679</v>
          </cell>
          <cell r="B1744" t="str">
            <v>555W-301 Waterloo Overloaded Reclos</v>
          </cell>
          <cell r="C1744" t="str">
            <v>FIN Approval - Internal</v>
          </cell>
          <cell r="D1744">
            <v>48</v>
          </cell>
          <cell r="E1744" t="str">
            <v>APPROVED</v>
          </cell>
          <cell r="F1744">
            <v>42551</v>
          </cell>
          <cell r="G1744">
            <v>42886</v>
          </cell>
          <cell r="H1744">
            <v>24679</v>
          </cell>
          <cell r="I1744" t="str">
            <v>FIN Submission</v>
          </cell>
          <cell r="J1744">
            <v>42909</v>
          </cell>
        </row>
        <row r="1745">
          <cell r="A1745" t="str">
            <v>45690-D594</v>
          </cell>
          <cell r="B1745" t="str">
            <v>647N-312 West Linden Rd Reconductor</v>
          </cell>
          <cell r="C1745" t="str">
            <v>FIN Approval - Internal</v>
          </cell>
          <cell r="D1745">
            <v>48</v>
          </cell>
          <cell r="E1745" t="str">
            <v>APPROVED</v>
          </cell>
          <cell r="F1745">
            <v>42003</v>
          </cell>
          <cell r="G1745">
            <v>42824</v>
          </cell>
          <cell r="H1745">
            <v>21753.53</v>
          </cell>
          <cell r="I1745" t="str">
            <v>FIN Submission</v>
          </cell>
          <cell r="J1745">
            <v>42909</v>
          </cell>
        </row>
        <row r="1746">
          <cell r="A1746" t="str">
            <v>46481-SE01</v>
          </cell>
          <cell r="B1746" t="str">
            <v>LIN3 Turbine Valve Refurbishment</v>
          </cell>
          <cell r="C1746" t="str">
            <v>FIN Approval - Internal</v>
          </cell>
          <cell r="D1746">
            <v>48</v>
          </cell>
          <cell r="E1746" t="str">
            <v>APPROVED</v>
          </cell>
          <cell r="F1746">
            <v>42174</v>
          </cell>
          <cell r="G1746">
            <v>42825</v>
          </cell>
          <cell r="H1746">
            <v>233215.65</v>
          </cell>
          <cell r="I1746" t="str">
            <v>FIN Submission</v>
          </cell>
          <cell r="J1746">
            <v>42909</v>
          </cell>
        </row>
        <row r="1747">
          <cell r="A1747" t="str">
            <v>46469-SD88</v>
          </cell>
          <cell r="B1747" t="str">
            <v>LIN4 - Boiler Refurbishment 2015</v>
          </cell>
          <cell r="C1747" t="str">
            <v>FIN Approval - Internal</v>
          </cell>
          <cell r="D1747">
            <v>48</v>
          </cell>
          <cell r="E1747" t="str">
            <v>APPROVED</v>
          </cell>
          <cell r="F1747">
            <v>42216</v>
          </cell>
          <cell r="G1747">
            <v>43100</v>
          </cell>
          <cell r="H1747">
            <v>593892.61</v>
          </cell>
          <cell r="I1747" t="str">
            <v>FIN Submission</v>
          </cell>
          <cell r="J1747">
            <v>42909</v>
          </cell>
        </row>
        <row r="1748">
          <cell r="A1748" t="str">
            <v>46293-SD74</v>
          </cell>
          <cell r="B1748" t="str">
            <v>LIN Bunker Chute Refurbishment</v>
          </cell>
          <cell r="C1748" t="str">
            <v>FIN Approval - Internal</v>
          </cell>
          <cell r="D1748">
            <v>49</v>
          </cell>
          <cell r="E1748" t="str">
            <v>APPROVED</v>
          </cell>
          <cell r="F1748">
            <v>42216</v>
          </cell>
          <cell r="G1748">
            <v>43100</v>
          </cell>
          <cell r="H1748">
            <v>248483.24</v>
          </cell>
          <cell r="I1748" t="str">
            <v>FIN Submission</v>
          </cell>
          <cell r="J1748">
            <v>42909</v>
          </cell>
        </row>
        <row r="1749">
          <cell r="A1749" t="str">
            <v>41085-S800</v>
          </cell>
          <cell r="B1749" t="str">
            <v>LIN4 Bottom Ash Refurbishment 2011</v>
          </cell>
          <cell r="C1749" t="str">
            <v>FIN Approval - Internal</v>
          </cell>
          <cell r="D1749">
            <v>49</v>
          </cell>
          <cell r="E1749" t="str">
            <v>APPROVED</v>
          </cell>
          <cell r="F1749">
            <v>40770</v>
          </cell>
          <cell r="G1749">
            <v>42885</v>
          </cell>
          <cell r="H1749">
            <v>161093.35</v>
          </cell>
          <cell r="I1749" t="str">
            <v>FIN Submission</v>
          </cell>
          <cell r="J1749">
            <v>42909</v>
          </cell>
        </row>
        <row r="1750">
          <cell r="A1750" t="str">
            <v>46531-SE55</v>
          </cell>
          <cell r="B1750" t="str">
            <v>TRE WWTP Discharge Pump Replacement</v>
          </cell>
          <cell r="C1750" t="str">
            <v>FIN Approval - Internal</v>
          </cell>
          <cell r="D1750">
            <v>49</v>
          </cell>
          <cell r="E1750" t="str">
            <v>APPROVED</v>
          </cell>
          <cell r="F1750">
            <v>42658</v>
          </cell>
          <cell r="G1750">
            <v>42840</v>
          </cell>
          <cell r="H1750">
            <v>147576.4</v>
          </cell>
          <cell r="I1750" t="str">
            <v>FIN Submission</v>
          </cell>
          <cell r="J1750">
            <v>42909</v>
          </cell>
        </row>
        <row r="1751">
          <cell r="A1751" t="str">
            <v>46063-SD94</v>
          </cell>
          <cell r="B1751" t="str">
            <v>LIN Coal System Guard Upgrade</v>
          </cell>
          <cell r="C1751" t="str">
            <v>FIN Approval - Internal</v>
          </cell>
          <cell r="D1751">
            <v>50</v>
          </cell>
          <cell r="E1751" t="str">
            <v>APPROVED</v>
          </cell>
          <cell r="F1751">
            <v>42124</v>
          </cell>
          <cell r="G1751">
            <v>43100</v>
          </cell>
          <cell r="H1751">
            <v>130878</v>
          </cell>
          <cell r="I1751" t="str">
            <v>FIN Submission</v>
          </cell>
          <cell r="J1751">
            <v>42909</v>
          </cell>
        </row>
        <row r="1752">
          <cell r="A1752" t="str">
            <v>46593-D664</v>
          </cell>
          <cell r="B1752" t="str">
            <v>70V Bridgetown Voltage Conversion</v>
          </cell>
          <cell r="C1752" t="str">
            <v>FIN Approval - Internal</v>
          </cell>
          <cell r="D1752">
            <v>51</v>
          </cell>
          <cell r="E1752" t="str">
            <v>APPROVED</v>
          </cell>
          <cell r="F1752">
            <v>42460</v>
          </cell>
          <cell r="G1752">
            <v>42886</v>
          </cell>
          <cell r="H1752">
            <v>617195.65</v>
          </cell>
          <cell r="I1752" t="str">
            <v>FIN Submission</v>
          </cell>
          <cell r="J1752">
            <v>42909</v>
          </cell>
        </row>
        <row r="1753">
          <cell r="A1753" t="str">
            <v>46059-SE29</v>
          </cell>
          <cell r="B1753" t="str">
            <v>LIN- 4KV and 600V Breaker Refurb.</v>
          </cell>
          <cell r="C1753" t="str">
            <v>FIN Approval - Internal</v>
          </cell>
          <cell r="D1753">
            <v>51</v>
          </cell>
          <cell r="E1753" t="str">
            <v>APPROVED</v>
          </cell>
          <cell r="F1753">
            <v>42308</v>
          </cell>
          <cell r="G1753">
            <v>42825</v>
          </cell>
          <cell r="H1753">
            <v>84523.11</v>
          </cell>
          <cell r="I1753" t="str">
            <v>FIN Submission</v>
          </cell>
          <cell r="J1753">
            <v>42909</v>
          </cell>
        </row>
        <row r="1754">
          <cell r="A1754" t="str">
            <v>46058-SD81</v>
          </cell>
          <cell r="B1754" t="str">
            <v>LIN-Coal Plant Struc. Refurb. Pro.</v>
          </cell>
          <cell r="C1754" t="str">
            <v>FIN Approval - Internal</v>
          </cell>
          <cell r="D1754">
            <v>51</v>
          </cell>
          <cell r="E1754" t="str">
            <v>APPROVED</v>
          </cell>
          <cell r="F1754">
            <v>42308</v>
          </cell>
          <cell r="G1754">
            <v>42885</v>
          </cell>
          <cell r="H1754">
            <v>611327.91</v>
          </cell>
          <cell r="I1754" t="str">
            <v>FIN Submission</v>
          </cell>
          <cell r="J1754">
            <v>42909</v>
          </cell>
        </row>
        <row r="1755">
          <cell r="A1755" t="str">
            <v>45877-D572</v>
          </cell>
          <cell r="B1755" t="str">
            <v>25N-201 Harrison Settlement Rebuild</v>
          </cell>
          <cell r="C1755" t="str">
            <v>FIN Approval - Internal</v>
          </cell>
          <cell r="D1755">
            <v>52</v>
          </cell>
          <cell r="E1755" t="str">
            <v>APPROVED</v>
          </cell>
          <cell r="F1755">
            <v>42003</v>
          </cell>
          <cell r="G1755">
            <v>42824</v>
          </cell>
          <cell r="H1755">
            <v>155397.64000000001</v>
          </cell>
          <cell r="I1755" t="str">
            <v>FIN Submission</v>
          </cell>
          <cell r="J1755">
            <v>42909</v>
          </cell>
        </row>
        <row r="1756">
          <cell r="A1756" t="str">
            <v>46031-D584</v>
          </cell>
          <cell r="B1756" t="str">
            <v>16V-315 Weymouth Add Regulators</v>
          </cell>
          <cell r="C1756" t="str">
            <v>FIN Approval - Internal</v>
          </cell>
          <cell r="D1756">
            <v>53</v>
          </cell>
          <cell r="E1756" t="str">
            <v>APPROVED</v>
          </cell>
          <cell r="F1756">
            <v>42124</v>
          </cell>
          <cell r="G1756">
            <v>42369</v>
          </cell>
          <cell r="H1756">
            <v>77740.31</v>
          </cell>
          <cell r="I1756" t="str">
            <v>FIN Submission</v>
          </cell>
          <cell r="J1756">
            <v>42909</v>
          </cell>
        </row>
        <row r="1757">
          <cell r="A1757" t="str">
            <v>45797-T817</v>
          </cell>
          <cell r="B1757" t="str">
            <v>L7004 Upgrade</v>
          </cell>
          <cell r="C1757" t="str">
            <v>FIN Approval - Internal</v>
          </cell>
          <cell r="D1757">
            <v>53</v>
          </cell>
          <cell r="E1757" t="str">
            <v>APPROVED</v>
          </cell>
          <cell r="F1757">
            <v>41912</v>
          </cell>
          <cell r="G1757">
            <v>42825</v>
          </cell>
          <cell r="H1757">
            <v>523137.52</v>
          </cell>
          <cell r="I1757" t="str">
            <v>FIN Submission</v>
          </cell>
          <cell r="J1757">
            <v>42909</v>
          </cell>
        </row>
        <row r="1758">
          <cell r="A1758" t="str">
            <v>45739-D558</v>
          </cell>
          <cell r="B1758" t="str">
            <v>2014 Padmount Transformer Replace</v>
          </cell>
          <cell r="C1758" t="str">
            <v>FIN Approval - Internal</v>
          </cell>
          <cell r="D1758">
            <v>54</v>
          </cell>
          <cell r="E1758" t="str">
            <v>APPROVED</v>
          </cell>
          <cell r="F1758">
            <v>42004</v>
          </cell>
          <cell r="G1758">
            <v>42824</v>
          </cell>
          <cell r="H1758">
            <v>681996.1</v>
          </cell>
          <cell r="I1758" t="str">
            <v>FIN Submission</v>
          </cell>
          <cell r="J1758">
            <v>42909</v>
          </cell>
        </row>
        <row r="1759">
          <cell r="A1759" t="str">
            <v>45576-D555</v>
          </cell>
          <cell r="B1759" t="str">
            <v>103H-432 - Maplewood Dr. Phase Ext</v>
          </cell>
          <cell r="C1759" t="str">
            <v>FIN Approval - Internal</v>
          </cell>
          <cell r="D1759">
            <v>55</v>
          </cell>
          <cell r="E1759" t="str">
            <v>APPROVED</v>
          </cell>
          <cell r="F1759">
            <v>42004</v>
          </cell>
          <cell r="G1759">
            <v>42825</v>
          </cell>
          <cell r="H1759">
            <v>52594.52</v>
          </cell>
          <cell r="I1759" t="str">
            <v>FIN Submission</v>
          </cell>
          <cell r="J1759">
            <v>42909</v>
          </cell>
        </row>
        <row r="1760">
          <cell r="A1760" t="str">
            <v>45793-T811</v>
          </cell>
          <cell r="B1760" t="str">
            <v>L5028 Upgrade 2014</v>
          </cell>
          <cell r="C1760" t="str">
            <v>FIN Approval - Internal</v>
          </cell>
          <cell r="D1760">
            <v>55</v>
          </cell>
          <cell r="E1760" t="str">
            <v>APPROVED</v>
          </cell>
          <cell r="F1760">
            <v>42034</v>
          </cell>
          <cell r="G1760">
            <v>42460</v>
          </cell>
          <cell r="H1760">
            <v>195188.76</v>
          </cell>
          <cell r="I1760" t="str">
            <v>FIN Submission</v>
          </cell>
          <cell r="J1760">
            <v>42909</v>
          </cell>
        </row>
        <row r="1761">
          <cell r="A1761" t="str">
            <v>45950-SD01</v>
          </cell>
          <cell r="B1761" t="str">
            <v>LIN3 - 3B Boiler Feed Pump Rebuild</v>
          </cell>
          <cell r="C1761" t="str">
            <v>FIN Approval - Internal</v>
          </cell>
          <cell r="D1761">
            <v>55</v>
          </cell>
          <cell r="E1761" t="str">
            <v>APPROVED</v>
          </cell>
          <cell r="F1761">
            <v>42019</v>
          </cell>
          <cell r="G1761">
            <v>42460</v>
          </cell>
          <cell r="H1761">
            <v>249674.91</v>
          </cell>
          <cell r="I1761" t="str">
            <v>FIN Submission</v>
          </cell>
          <cell r="J1761">
            <v>42909</v>
          </cell>
        </row>
        <row r="1762">
          <cell r="A1762" t="str">
            <v>45970-SD02</v>
          </cell>
          <cell r="B1762" t="str">
            <v>LIN4 UU 4B Boiler Feed Pump Rebuild</v>
          </cell>
          <cell r="C1762" t="str">
            <v>FIN Approval - Internal</v>
          </cell>
          <cell r="D1762">
            <v>55</v>
          </cell>
          <cell r="E1762" t="str">
            <v>APPROVED</v>
          </cell>
          <cell r="F1762">
            <v>41882</v>
          </cell>
          <cell r="G1762">
            <v>42460</v>
          </cell>
          <cell r="H1762">
            <v>248556.76</v>
          </cell>
          <cell r="I1762" t="str">
            <v>FIN Submission</v>
          </cell>
          <cell r="J1762">
            <v>42909</v>
          </cell>
        </row>
        <row r="1763">
          <cell r="A1763" t="str">
            <v>18170-H489</v>
          </cell>
          <cell r="B1763" t="str">
            <v>AVO - SURGE TANK UNIT 2</v>
          </cell>
          <cell r="C1763" t="str">
            <v>FIN Approval - Internal</v>
          </cell>
          <cell r="D1763">
            <v>60</v>
          </cell>
          <cell r="E1763" t="str">
            <v>APPROVED</v>
          </cell>
          <cell r="F1763">
            <v>39051</v>
          </cell>
          <cell r="G1763">
            <v>43100</v>
          </cell>
          <cell r="H1763">
            <v>539894.04</v>
          </cell>
          <cell r="I1763" t="str">
            <v>FIN Submission</v>
          </cell>
          <cell r="J1763">
            <v>42909</v>
          </cell>
        </row>
        <row r="1764">
          <cell r="A1764" t="str">
            <v>41325-D434</v>
          </cell>
          <cell r="B1764" t="str">
            <v>Replacmnt of 3H &amp; 6H Reclosers 2012</v>
          </cell>
          <cell r="C1764" t="str">
            <v>FIN Approval - Internal</v>
          </cell>
          <cell r="D1764">
            <v>60</v>
          </cell>
          <cell r="E1764" t="str">
            <v>APPROVED</v>
          </cell>
          <cell r="F1764">
            <v>41262</v>
          </cell>
          <cell r="G1764">
            <v>42824</v>
          </cell>
          <cell r="H1764">
            <v>346783.22</v>
          </cell>
          <cell r="I1764" t="str">
            <v>FIN Submission</v>
          </cell>
          <cell r="J1764">
            <v>42909</v>
          </cell>
        </row>
        <row r="1765">
          <cell r="A1765" t="str">
            <v>41399-T729</v>
          </cell>
          <cell r="B1765" t="str">
            <v>2012 Subst Insulator &amp; Cutout Repla</v>
          </cell>
          <cell r="C1765" t="str">
            <v>FIN Approval - Internal</v>
          </cell>
          <cell r="D1765">
            <v>61</v>
          </cell>
          <cell r="E1765" t="str">
            <v>APPROVED</v>
          </cell>
          <cell r="F1765">
            <v>41176</v>
          </cell>
          <cell r="G1765">
            <v>42824</v>
          </cell>
          <cell r="H1765">
            <v>431154.1</v>
          </cell>
          <cell r="I1765" t="str">
            <v>FIN Submission</v>
          </cell>
          <cell r="J1765">
            <v>42909</v>
          </cell>
        </row>
        <row r="1766">
          <cell r="A1766" t="str">
            <v>44974-T799</v>
          </cell>
          <cell r="B1766" t="str">
            <v>2014 PCB Equipment Removals</v>
          </cell>
          <cell r="C1766" t="str">
            <v>FIN Approval - Internal</v>
          </cell>
          <cell r="D1766">
            <v>62</v>
          </cell>
          <cell r="E1766" t="str">
            <v>APPROVED</v>
          </cell>
          <cell r="F1766">
            <v>41671</v>
          </cell>
          <cell r="G1766">
            <v>42855</v>
          </cell>
          <cell r="H1766">
            <v>1262145.8600000001</v>
          </cell>
          <cell r="I1766" t="str">
            <v>FIN Submission</v>
          </cell>
          <cell r="J1766">
            <v>42909</v>
          </cell>
        </row>
        <row r="1767">
          <cell r="A1767" t="str">
            <v>44980-T798</v>
          </cell>
          <cell r="B1767" t="str">
            <v>2014 Trans. Switch &amp; Breaker Rplcmn</v>
          </cell>
          <cell r="C1767" t="str">
            <v>FIN Approval - Internal</v>
          </cell>
          <cell r="D1767">
            <v>62</v>
          </cell>
          <cell r="E1767" t="str">
            <v>APPROVED</v>
          </cell>
          <cell r="F1767">
            <v>41671</v>
          </cell>
          <cell r="G1767">
            <v>42885</v>
          </cell>
          <cell r="H1767">
            <v>1322173.32</v>
          </cell>
          <cell r="I1767" t="str">
            <v>FIN Submission</v>
          </cell>
          <cell r="J1767">
            <v>42909</v>
          </cell>
        </row>
        <row r="1768">
          <cell r="A1768" t="str">
            <v>45246-SD09</v>
          </cell>
          <cell r="B1768" t="str">
            <v>LIN - CW MCC Refurbishment</v>
          </cell>
          <cell r="C1768" t="str">
            <v>FIN Approval - Internal</v>
          </cell>
          <cell r="D1768">
            <v>62</v>
          </cell>
          <cell r="E1768" t="str">
            <v>APPROVED</v>
          </cell>
          <cell r="F1768">
            <v>42185</v>
          </cell>
          <cell r="G1768">
            <v>43099</v>
          </cell>
          <cell r="H1768">
            <v>333406.57</v>
          </cell>
          <cell r="I1768" t="str">
            <v>FIN Submission</v>
          </cell>
          <cell r="J1768">
            <v>42909</v>
          </cell>
        </row>
        <row r="1769">
          <cell r="A1769" t="str">
            <v>44973-T803</v>
          </cell>
          <cell r="B1769" t="str">
            <v>2014 Subst Recloser Replacement</v>
          </cell>
          <cell r="C1769" t="str">
            <v>FIN Approval - Internal</v>
          </cell>
          <cell r="D1769">
            <v>63</v>
          </cell>
          <cell r="E1769" t="str">
            <v>APPROVED</v>
          </cell>
          <cell r="F1769">
            <v>41711</v>
          </cell>
          <cell r="G1769">
            <v>42855</v>
          </cell>
          <cell r="H1769">
            <v>442020.17</v>
          </cell>
          <cell r="I1769" t="str">
            <v>FIN Submission</v>
          </cell>
          <cell r="J1769">
            <v>42909</v>
          </cell>
        </row>
        <row r="1770">
          <cell r="A1770" t="str">
            <v>44733-SD57</v>
          </cell>
          <cell r="B1770" t="str">
            <v>TRE6 Coal System Upgrades</v>
          </cell>
          <cell r="C1770" t="str">
            <v>FIN Approval - Internal</v>
          </cell>
          <cell r="D1770">
            <v>64</v>
          </cell>
          <cell r="E1770" t="str">
            <v>APPROVED</v>
          </cell>
          <cell r="F1770">
            <v>42139</v>
          </cell>
          <cell r="G1770">
            <v>42825</v>
          </cell>
          <cell r="H1770">
            <v>181993.12</v>
          </cell>
          <cell r="I1770" t="str">
            <v>FIN Submission</v>
          </cell>
          <cell r="J1770">
            <v>42909</v>
          </cell>
        </row>
        <row r="1771">
          <cell r="A1771" t="str">
            <v>44227-D516</v>
          </cell>
          <cell r="B1771" t="str">
            <v>113H Dartmouth East Contingency U&amp;U</v>
          </cell>
          <cell r="C1771" t="str">
            <v>FIN Approval - Internal</v>
          </cell>
          <cell r="D1771">
            <v>66</v>
          </cell>
          <cell r="E1771" t="str">
            <v>APPROVED</v>
          </cell>
          <cell r="F1771">
            <v>41608</v>
          </cell>
          <cell r="G1771">
            <v>42824</v>
          </cell>
          <cell r="H1771">
            <v>46231.76</v>
          </cell>
          <cell r="I1771" t="str">
            <v>FIN Submission</v>
          </cell>
          <cell r="J1771">
            <v>42909</v>
          </cell>
        </row>
        <row r="1772">
          <cell r="A1772" t="str">
            <v>45392-SC89</v>
          </cell>
          <cell r="B1772" t="str">
            <v>TRE Bunker C System Refurbishments</v>
          </cell>
          <cell r="C1772" t="str">
            <v>FIN Approval - Internal</v>
          </cell>
          <cell r="D1772">
            <v>66</v>
          </cell>
          <cell r="E1772" t="str">
            <v>APPROVED</v>
          </cell>
          <cell r="F1772">
            <v>42384</v>
          </cell>
          <cell r="G1772">
            <v>42781</v>
          </cell>
          <cell r="H1772">
            <v>888125.33</v>
          </cell>
          <cell r="I1772" t="str">
            <v>FIN Submission</v>
          </cell>
          <cell r="J1772">
            <v>42909</v>
          </cell>
        </row>
        <row r="1773">
          <cell r="A1773" t="str">
            <v>44206-T766</v>
          </cell>
          <cell r="B1773" t="str">
            <v>L5535 Upgrade - Part Of T011</v>
          </cell>
          <cell r="C1773" t="str">
            <v>FIN Approval - Internal</v>
          </cell>
          <cell r="D1773">
            <v>68</v>
          </cell>
          <cell r="E1773" t="str">
            <v>APPROVED</v>
          </cell>
          <cell r="F1773">
            <v>41575</v>
          </cell>
          <cell r="G1773">
            <v>42824</v>
          </cell>
          <cell r="H1773">
            <v>182612.01</v>
          </cell>
          <cell r="I1773" t="str">
            <v>FIN Submission</v>
          </cell>
          <cell r="J1773">
            <v>42909</v>
          </cell>
        </row>
        <row r="1774">
          <cell r="A1774" t="str">
            <v>40243-S817</v>
          </cell>
          <cell r="B1774" t="str">
            <v xml:space="preserve">LIN 3 Batery &amp; Charger Replacement </v>
          </cell>
          <cell r="C1774" t="str">
            <v>FIN Approval - Internal</v>
          </cell>
          <cell r="D1774">
            <v>68</v>
          </cell>
          <cell r="E1774" t="str">
            <v>APPROVED</v>
          </cell>
          <cell r="F1774">
            <v>40903</v>
          </cell>
          <cell r="G1774">
            <v>41147</v>
          </cell>
          <cell r="H1774">
            <v>182160.14</v>
          </cell>
          <cell r="I1774" t="str">
            <v>FIN Submission</v>
          </cell>
          <cell r="J1774">
            <v>42909</v>
          </cell>
        </row>
        <row r="1775">
          <cell r="A1775" t="str">
            <v>40868-T698</v>
          </cell>
          <cell r="B1775" t="str">
            <v>64V-T1 Transformer Replacement</v>
          </cell>
          <cell r="C1775" t="str">
            <v>FIN Approval - External</v>
          </cell>
          <cell r="D1775">
            <v>69</v>
          </cell>
          <cell r="E1775" t="str">
            <v>APPROVED</v>
          </cell>
          <cell r="F1775">
            <v>41201</v>
          </cell>
          <cell r="G1775">
            <v>42794</v>
          </cell>
          <cell r="H1775">
            <v>679938.19</v>
          </cell>
          <cell r="I1775" t="str">
            <v>FIN Submission</v>
          </cell>
          <cell r="J1775">
            <v>42909</v>
          </cell>
        </row>
        <row r="1776">
          <cell r="A1776" t="str">
            <v>44054-D483</v>
          </cell>
          <cell r="B1776" t="str">
            <v>534S-212 Conversion</v>
          </cell>
          <cell r="C1776" t="str">
            <v>FIN Approval - Internal</v>
          </cell>
          <cell r="D1776">
            <v>71</v>
          </cell>
          <cell r="E1776" t="str">
            <v>APPROVED</v>
          </cell>
          <cell r="F1776">
            <v>41669</v>
          </cell>
          <cell r="G1776">
            <v>42824</v>
          </cell>
          <cell r="H1776">
            <v>83851.210000000006</v>
          </cell>
          <cell r="I1776" t="str">
            <v>FIN Submission</v>
          </cell>
          <cell r="J1776">
            <v>42909</v>
          </cell>
        </row>
        <row r="1777">
          <cell r="A1777" t="str">
            <v>43926-T777</v>
          </cell>
          <cell r="B1777" t="str">
            <v>L5530A Relocation Port Joli</v>
          </cell>
          <cell r="C1777" t="str">
            <v>FIN Approval - Internal</v>
          </cell>
          <cell r="D1777">
            <v>73</v>
          </cell>
          <cell r="E1777" t="str">
            <v>APPROVED</v>
          </cell>
          <cell r="F1777">
            <v>41606</v>
          </cell>
          <cell r="G1777">
            <v>42824</v>
          </cell>
          <cell r="H1777">
            <v>0</v>
          </cell>
          <cell r="I1777" t="str">
            <v>FIN Submission</v>
          </cell>
          <cell r="J1777">
            <v>42909</v>
          </cell>
        </row>
        <row r="1778">
          <cell r="A1778" t="str">
            <v>41967-G155</v>
          </cell>
          <cell r="B1778" t="str">
            <v>CT U&amp;U TUSKT REPLACE ALARM MNGT SYS</v>
          </cell>
          <cell r="C1778" t="str">
            <v>FIN Approval - Internal</v>
          </cell>
          <cell r="D1778">
            <v>77</v>
          </cell>
          <cell r="E1778" t="str">
            <v>APPROVED</v>
          </cell>
          <cell r="F1778">
            <v>41638</v>
          </cell>
          <cell r="G1778">
            <v>42155</v>
          </cell>
          <cell r="H1778">
            <v>116099.19</v>
          </cell>
          <cell r="I1778" t="str">
            <v>FIN Submission</v>
          </cell>
          <cell r="J1778">
            <v>42909</v>
          </cell>
        </row>
        <row r="1779">
          <cell r="A1779" t="str">
            <v>43627-SC65</v>
          </cell>
          <cell r="B1779" t="str">
            <v>LIN Hydrazine Replacement</v>
          </cell>
          <cell r="C1779" t="str">
            <v>FIN Approval - Internal</v>
          </cell>
          <cell r="D1779">
            <v>77</v>
          </cell>
          <cell r="E1779" t="str">
            <v>APPROVED</v>
          </cell>
          <cell r="F1779">
            <v>42122</v>
          </cell>
          <cell r="G1779">
            <v>43100</v>
          </cell>
          <cell r="H1779">
            <v>180561.01</v>
          </cell>
          <cell r="I1779" t="str">
            <v>FIN Submission</v>
          </cell>
          <cell r="J1779">
            <v>42909</v>
          </cell>
        </row>
        <row r="1780">
          <cell r="A1780" t="str">
            <v>43006-SB35</v>
          </cell>
          <cell r="B1780" t="str">
            <v>TRE6 PLC Upgrades</v>
          </cell>
          <cell r="C1780" t="str">
            <v>FIN Approval - Internal</v>
          </cell>
          <cell r="D1780">
            <v>78</v>
          </cell>
          <cell r="E1780" t="str">
            <v>APPROVED</v>
          </cell>
          <cell r="F1780">
            <v>42262</v>
          </cell>
          <cell r="G1780">
            <v>42781</v>
          </cell>
          <cell r="H1780">
            <v>675015.02</v>
          </cell>
          <cell r="I1780" t="str">
            <v>FIN Submission</v>
          </cell>
          <cell r="J1780">
            <v>42909</v>
          </cell>
        </row>
        <row r="1781">
          <cell r="A1781" t="str">
            <v>43488-T775</v>
          </cell>
          <cell r="B1781" t="str">
            <v>7H Substation Retirement</v>
          </cell>
          <cell r="C1781" t="str">
            <v>FIN Approval - Internal</v>
          </cell>
          <cell r="D1781">
            <v>79</v>
          </cell>
          <cell r="E1781" t="str">
            <v>APPROVED</v>
          </cell>
          <cell r="F1781">
            <v>41577</v>
          </cell>
          <cell r="G1781">
            <v>42824</v>
          </cell>
          <cell r="H1781">
            <v>73861.56</v>
          </cell>
          <cell r="I1781" t="str">
            <v>FIN Submission</v>
          </cell>
          <cell r="J1781">
            <v>42909</v>
          </cell>
        </row>
        <row r="1782">
          <cell r="A1782" t="str">
            <v>43168-SC39</v>
          </cell>
          <cell r="B1782" t="str">
            <v xml:space="preserve">LIN CW Pump Refurbish </v>
          </cell>
          <cell r="C1782" t="str">
            <v>FIN Approval - Internal</v>
          </cell>
          <cell r="D1782">
            <v>79</v>
          </cell>
          <cell r="E1782" t="str">
            <v>APPROVED</v>
          </cell>
          <cell r="F1782">
            <v>42356</v>
          </cell>
          <cell r="G1782">
            <v>42735</v>
          </cell>
          <cell r="H1782">
            <v>477793.19</v>
          </cell>
          <cell r="I1782" t="str">
            <v>FIN Submission</v>
          </cell>
          <cell r="J1782">
            <v>42909</v>
          </cell>
        </row>
        <row r="1783">
          <cell r="A1783" t="str">
            <v>43231-T758</v>
          </cell>
          <cell r="B1783" t="str">
            <v>2013 Substation PCB Equip Removal</v>
          </cell>
          <cell r="C1783" t="str">
            <v>FIN Approval - External</v>
          </cell>
          <cell r="D1783">
            <v>80</v>
          </cell>
          <cell r="E1783" t="str">
            <v>APPROVED</v>
          </cell>
          <cell r="F1783">
            <v>41639</v>
          </cell>
          <cell r="G1783">
            <v>42855</v>
          </cell>
          <cell r="H1783">
            <v>797063.07</v>
          </cell>
          <cell r="I1783" t="str">
            <v>FIN Submission</v>
          </cell>
          <cell r="J1783">
            <v>42909</v>
          </cell>
        </row>
        <row r="1784">
          <cell r="A1784" t="str">
            <v>43153-G172</v>
          </cell>
          <cell r="B1784" t="str">
            <v>CT - TUC4 Control Upgrade</v>
          </cell>
          <cell r="C1784" t="str">
            <v>FIN Approval - Internal</v>
          </cell>
          <cell r="D1784">
            <v>80</v>
          </cell>
          <cell r="E1784" t="str">
            <v>APPROVED</v>
          </cell>
          <cell r="F1784">
            <v>41958</v>
          </cell>
          <cell r="G1784">
            <v>42460</v>
          </cell>
          <cell r="H1784">
            <v>585262.94999999995</v>
          </cell>
          <cell r="I1784" t="str">
            <v>FIN Submission</v>
          </cell>
          <cell r="J1784">
            <v>42909</v>
          </cell>
        </row>
        <row r="1785">
          <cell r="A1785" t="str">
            <v>43157-G164</v>
          </cell>
          <cell r="B1785" t="str">
            <v>CT - Tusket Fuel Control &amp; AVR</v>
          </cell>
          <cell r="C1785" t="str">
            <v>FIN Approval - Internal</v>
          </cell>
          <cell r="D1785">
            <v>80</v>
          </cell>
          <cell r="E1785" t="str">
            <v>APPROVED</v>
          </cell>
          <cell r="F1785">
            <v>41958</v>
          </cell>
          <cell r="G1785">
            <v>42460</v>
          </cell>
          <cell r="H1785">
            <v>265427.37</v>
          </cell>
          <cell r="I1785" t="str">
            <v>FIN Submission</v>
          </cell>
          <cell r="J1785">
            <v>42909</v>
          </cell>
        </row>
        <row r="1786">
          <cell r="A1786" t="str">
            <v>43222-T761</v>
          </cell>
          <cell r="B1786" t="str">
            <v>2013 Subst. Insulator and Cut-Outs</v>
          </cell>
          <cell r="C1786" t="str">
            <v>FIN Approval - Internal</v>
          </cell>
          <cell r="D1786">
            <v>81</v>
          </cell>
          <cell r="E1786" t="str">
            <v>APPROVED</v>
          </cell>
          <cell r="F1786">
            <v>41719</v>
          </cell>
          <cell r="G1786">
            <v>42855</v>
          </cell>
          <cell r="H1786">
            <v>235583.46</v>
          </cell>
          <cell r="I1786" t="str">
            <v>FIN Submission</v>
          </cell>
          <cell r="J1786">
            <v>42909</v>
          </cell>
        </row>
        <row r="1787">
          <cell r="A1787" t="str">
            <v>43226-T762</v>
          </cell>
          <cell r="B1787" t="str">
            <v>2013 Trans Switch &amp; Breaker Replace</v>
          </cell>
          <cell r="C1787" t="str">
            <v>FIN Approval - Internal</v>
          </cell>
          <cell r="D1787">
            <v>81</v>
          </cell>
          <cell r="E1787" t="str">
            <v>APPROVED</v>
          </cell>
          <cell r="F1787">
            <v>41451</v>
          </cell>
          <cell r="G1787">
            <v>42824</v>
          </cell>
          <cell r="H1787">
            <v>1774354.07</v>
          </cell>
          <cell r="I1787" t="str">
            <v>FIN Submission</v>
          </cell>
          <cell r="J1787">
            <v>42909</v>
          </cell>
        </row>
        <row r="1788">
          <cell r="A1788" t="str">
            <v>42907-G157</v>
          </cell>
          <cell r="B1788" t="str">
            <v>CT- U&amp;U Burnside FT Overhaul</v>
          </cell>
          <cell r="C1788" t="str">
            <v>FIN Approval - Internal</v>
          </cell>
          <cell r="D1788">
            <v>81</v>
          </cell>
          <cell r="E1788" t="str">
            <v>APPROVED</v>
          </cell>
          <cell r="F1788">
            <v>41638</v>
          </cell>
          <cell r="G1788">
            <v>42735</v>
          </cell>
          <cell r="H1788">
            <v>2531112.25</v>
          </cell>
          <cell r="I1788" t="str">
            <v>FIN Submission</v>
          </cell>
          <cell r="J1788">
            <v>42909</v>
          </cell>
        </row>
        <row r="1789">
          <cell r="A1789" t="str">
            <v>43213-SD44</v>
          </cell>
          <cell r="B1789" t="str">
            <v>LIN3 Battery Replacement</v>
          </cell>
          <cell r="C1789" t="str">
            <v>FIN Approval - Internal</v>
          </cell>
          <cell r="D1789">
            <v>81</v>
          </cell>
          <cell r="E1789" t="str">
            <v>APPROVED</v>
          </cell>
          <cell r="F1789">
            <v>42179</v>
          </cell>
          <cell r="G1789">
            <v>42582</v>
          </cell>
          <cell r="H1789">
            <v>170207.52</v>
          </cell>
          <cell r="I1789" t="str">
            <v>FIN Submission</v>
          </cell>
          <cell r="J1789">
            <v>42909</v>
          </cell>
        </row>
        <row r="1790">
          <cell r="A1790" t="str">
            <v>43726-T778</v>
          </cell>
          <cell r="B1790" t="str">
            <v>Replace 3N-T51 Transformer</v>
          </cell>
          <cell r="C1790" t="str">
            <v>FIN Approval - External</v>
          </cell>
          <cell r="D1790">
            <v>81</v>
          </cell>
          <cell r="E1790" t="str">
            <v>APPROVED</v>
          </cell>
          <cell r="F1790">
            <v>41455</v>
          </cell>
          <cell r="G1790">
            <v>42794</v>
          </cell>
          <cell r="H1790">
            <v>825135.97</v>
          </cell>
          <cell r="I1790" t="str">
            <v>FIN Submission</v>
          </cell>
          <cell r="J1790">
            <v>42909</v>
          </cell>
        </row>
        <row r="1791">
          <cell r="A1791" t="str">
            <v>43389-SD64</v>
          </cell>
          <cell r="B1791" t="str">
            <v>LIN3 Bentley Upgrade</v>
          </cell>
          <cell r="C1791" t="str">
            <v>FIN Approval - Internal</v>
          </cell>
          <cell r="D1791">
            <v>82</v>
          </cell>
          <cell r="E1791" t="str">
            <v>APPROVED</v>
          </cell>
          <cell r="F1791">
            <v>42185</v>
          </cell>
          <cell r="G1791">
            <v>42582</v>
          </cell>
          <cell r="H1791">
            <v>300700.53000000003</v>
          </cell>
          <cell r="I1791" t="str">
            <v>FIN Submission</v>
          </cell>
          <cell r="J1791">
            <v>42909</v>
          </cell>
        </row>
        <row r="1792">
          <cell r="A1792" t="str">
            <v>43094-SD79</v>
          </cell>
          <cell r="B1792" t="str">
            <v xml:space="preserve">LIN3 HT Fastener Replacement </v>
          </cell>
          <cell r="C1792" t="str">
            <v>FIN Approval - Internal</v>
          </cell>
          <cell r="D1792">
            <v>82</v>
          </cell>
          <cell r="E1792" t="str">
            <v>APPROVED</v>
          </cell>
          <cell r="F1792">
            <v>42170</v>
          </cell>
          <cell r="G1792">
            <v>42914</v>
          </cell>
          <cell r="H1792">
            <v>927490.52</v>
          </cell>
          <cell r="I1792" t="str">
            <v>FIN Submission</v>
          </cell>
          <cell r="J1792">
            <v>42909</v>
          </cell>
        </row>
        <row r="1793">
          <cell r="A1793" t="str">
            <v>40407-S696</v>
          </cell>
          <cell r="B1793" t="str">
            <v>POA- South LS Main Fan Replacement</v>
          </cell>
          <cell r="C1793" t="str">
            <v>FIN Approval - Internal</v>
          </cell>
          <cell r="D1793">
            <v>84</v>
          </cell>
          <cell r="E1793" t="str">
            <v>APPROVED</v>
          </cell>
          <cell r="F1793">
            <v>40694</v>
          </cell>
          <cell r="G1793">
            <v>43100</v>
          </cell>
          <cell r="H1793">
            <v>107304.67</v>
          </cell>
          <cell r="I1793" t="str">
            <v>FIN Submission</v>
          </cell>
          <cell r="J1793">
            <v>42909</v>
          </cell>
        </row>
        <row r="1794">
          <cell r="A1794" t="str">
            <v>41079-SA22</v>
          </cell>
          <cell r="B1794" t="str">
            <v>POA - Structural Steel Refurbishmen</v>
          </cell>
          <cell r="C1794" t="str">
            <v>FIN Approval - Internal</v>
          </cell>
          <cell r="D1794">
            <v>88</v>
          </cell>
          <cell r="E1794" t="str">
            <v>APPROVED</v>
          </cell>
          <cell r="F1794">
            <v>41182</v>
          </cell>
          <cell r="G1794">
            <v>42885</v>
          </cell>
          <cell r="H1794">
            <v>401168.11</v>
          </cell>
          <cell r="I1794" t="str">
            <v>FIN Submission</v>
          </cell>
          <cell r="J1794">
            <v>42909</v>
          </cell>
        </row>
        <row r="1795">
          <cell r="A1795" t="str">
            <v>41346-D464</v>
          </cell>
          <cell r="B1795" t="str">
            <v xml:space="preserve">82S-304 Whitney Pier Target Feeder </v>
          </cell>
          <cell r="C1795" t="str">
            <v>FIN Approval - Internal</v>
          </cell>
          <cell r="D1795">
            <v>93</v>
          </cell>
          <cell r="E1795" t="str">
            <v>APPROVED</v>
          </cell>
          <cell r="F1795">
            <v>41517</v>
          </cell>
          <cell r="G1795">
            <v>42825</v>
          </cell>
          <cell r="H1795">
            <v>273918.46000000002</v>
          </cell>
          <cell r="I1795" t="str">
            <v>FIN Submission</v>
          </cell>
          <cell r="J1795">
            <v>42909</v>
          </cell>
        </row>
        <row r="1796">
          <cell r="A1796" t="str">
            <v>41426-T733</v>
          </cell>
          <cell r="B1796" t="str">
            <v>2012 Transmission Switch &amp; Breaker</v>
          </cell>
          <cell r="C1796" t="str">
            <v>FIN Approval - Internal</v>
          </cell>
          <cell r="D1796">
            <v>94</v>
          </cell>
          <cell r="E1796" t="str">
            <v>APPROVED</v>
          </cell>
          <cell r="F1796">
            <v>41182</v>
          </cell>
          <cell r="G1796">
            <v>42824</v>
          </cell>
          <cell r="H1796">
            <v>2122459.5699999998</v>
          </cell>
          <cell r="I1796" t="str">
            <v>FIN Submission</v>
          </cell>
          <cell r="J1796">
            <v>42909</v>
          </cell>
        </row>
        <row r="1797">
          <cell r="A1797" t="str">
            <v>41430-T707</v>
          </cell>
          <cell r="B1797" t="str">
            <v>2012 Subst. Recloser Replacement</v>
          </cell>
          <cell r="C1797" t="str">
            <v>FIN Approval - Internal</v>
          </cell>
          <cell r="D1797">
            <v>99</v>
          </cell>
          <cell r="E1797" t="str">
            <v>APPROVED</v>
          </cell>
          <cell r="F1797">
            <v>41181</v>
          </cell>
          <cell r="G1797">
            <v>42824</v>
          </cell>
          <cell r="H1797">
            <v>1913554.62</v>
          </cell>
          <cell r="I1797" t="str">
            <v>FIN Submission</v>
          </cell>
          <cell r="J1797">
            <v>42909</v>
          </cell>
        </row>
        <row r="1798">
          <cell r="A1798" t="str">
            <v>41797-D429</v>
          </cell>
          <cell r="B1798" t="str">
            <v>Brier Island Crossing</v>
          </cell>
          <cell r="C1798" t="str">
            <v>FIN Approval - Internal</v>
          </cell>
          <cell r="D1798">
            <v>102</v>
          </cell>
          <cell r="E1798" t="str">
            <v>APPROVED</v>
          </cell>
          <cell r="F1798">
            <v>41360</v>
          </cell>
          <cell r="G1798">
            <v>42824</v>
          </cell>
          <cell r="H1798">
            <v>2579601.63</v>
          </cell>
          <cell r="I1798" t="str">
            <v>FIN Submission</v>
          </cell>
          <cell r="J1798">
            <v>42909</v>
          </cell>
        </row>
        <row r="1799">
          <cell r="A1799" t="str">
            <v>41431-D431</v>
          </cell>
          <cell r="B1799" t="str">
            <v>1C-411/22C-404 Transfer Scheme</v>
          </cell>
          <cell r="C1799" t="str">
            <v>FIN Approval - Internal</v>
          </cell>
          <cell r="D1799">
            <v>104</v>
          </cell>
          <cell r="E1799" t="str">
            <v>APPROVED</v>
          </cell>
          <cell r="F1799">
            <v>41698</v>
          </cell>
          <cell r="G1799">
            <v>42825</v>
          </cell>
          <cell r="H1799">
            <v>204029.99</v>
          </cell>
          <cell r="I1799" t="str">
            <v>FIN Submission</v>
          </cell>
          <cell r="J1799">
            <v>42909</v>
          </cell>
        </row>
        <row r="1800">
          <cell r="A1800" t="str">
            <v>38856-T681</v>
          </cell>
          <cell r="B1800" t="str">
            <v>L7011 Deteriorated Replacements</v>
          </cell>
          <cell r="C1800" t="str">
            <v>FIN Approval - Internal</v>
          </cell>
          <cell r="D1800">
            <v>105</v>
          </cell>
          <cell r="E1800" t="str">
            <v>APPROVED</v>
          </cell>
          <cell r="F1800">
            <v>40542</v>
          </cell>
          <cell r="G1800">
            <v>42824</v>
          </cell>
          <cell r="H1800">
            <v>1756235.87</v>
          </cell>
          <cell r="I1800" t="str">
            <v>FIN Submission</v>
          </cell>
          <cell r="J1800">
            <v>42909</v>
          </cell>
        </row>
        <row r="1801">
          <cell r="A1801" t="str">
            <v>41437-T739</v>
          </cell>
          <cell r="B1801" t="str">
            <v>104H-T62 Kempt Rd Transf Rewind</v>
          </cell>
          <cell r="C1801" t="str">
            <v>FIN Approval - External</v>
          </cell>
          <cell r="D1801">
            <v>106</v>
          </cell>
          <cell r="E1801" t="str">
            <v>APPROVED</v>
          </cell>
          <cell r="F1801">
            <v>41719</v>
          </cell>
          <cell r="G1801">
            <v>42855</v>
          </cell>
          <cell r="H1801">
            <v>1151315.99</v>
          </cell>
          <cell r="I1801" t="str">
            <v>FIN Submission</v>
          </cell>
          <cell r="J1801">
            <v>42909</v>
          </cell>
        </row>
        <row r="1802">
          <cell r="A1802" t="str">
            <v>38878-T686</v>
          </cell>
          <cell r="B1802" t="str">
            <v>2010 Subs Cutout and Insul. Replace</v>
          </cell>
          <cell r="C1802" t="str">
            <v>FIN Approval - Internal</v>
          </cell>
          <cell r="D1802">
            <v>106</v>
          </cell>
          <cell r="E1802" t="str">
            <v>APPROVED</v>
          </cell>
          <cell r="F1802">
            <v>40709</v>
          </cell>
          <cell r="G1802">
            <v>42824</v>
          </cell>
          <cell r="H1802">
            <v>484669.73</v>
          </cell>
          <cell r="I1802" t="str">
            <v>FIN Submission</v>
          </cell>
          <cell r="J1802">
            <v>42909</v>
          </cell>
        </row>
        <row r="1803">
          <cell r="A1803" t="str">
            <v>41349-D442</v>
          </cell>
          <cell r="B1803" t="str">
            <v>2012 Off Road To Roadside</v>
          </cell>
          <cell r="C1803" t="str">
            <v>FIN Approval - Internal</v>
          </cell>
          <cell r="D1803">
            <v>107</v>
          </cell>
          <cell r="E1803" t="str">
            <v>APPROVED</v>
          </cell>
          <cell r="F1803">
            <v>41360</v>
          </cell>
          <cell r="G1803">
            <v>42824</v>
          </cell>
          <cell r="H1803">
            <v>883413.71</v>
          </cell>
          <cell r="I1803" t="str">
            <v>FIN Submission</v>
          </cell>
          <cell r="J1803">
            <v>42909</v>
          </cell>
        </row>
        <row r="1804">
          <cell r="A1804" t="str">
            <v>41441-SA70</v>
          </cell>
          <cell r="B1804" t="str">
            <v>TRE Siding Replacement</v>
          </cell>
          <cell r="C1804" t="str">
            <v>FIN Approval - Internal</v>
          </cell>
          <cell r="D1804">
            <v>107</v>
          </cell>
          <cell r="E1804" t="str">
            <v>APPROVED</v>
          </cell>
          <cell r="F1804">
            <v>42597</v>
          </cell>
          <cell r="G1804">
            <v>42689</v>
          </cell>
          <cell r="H1804">
            <v>649714.77</v>
          </cell>
          <cell r="I1804" t="str">
            <v>FIN Submission</v>
          </cell>
          <cell r="J1804">
            <v>42909</v>
          </cell>
        </row>
        <row r="1805">
          <cell r="A1805" t="str">
            <v>41540-D423</v>
          </cell>
          <cell r="B1805" t="str">
            <v>99V Highbury Rd New Feeders</v>
          </cell>
          <cell r="C1805" t="str">
            <v>FIN Approval - Internal</v>
          </cell>
          <cell r="D1805">
            <v>108</v>
          </cell>
          <cell r="E1805" t="str">
            <v>APPROVED</v>
          </cell>
          <cell r="F1805">
            <v>41319</v>
          </cell>
          <cell r="G1805">
            <v>42824</v>
          </cell>
          <cell r="H1805">
            <v>1244665.72</v>
          </cell>
          <cell r="I1805" t="str">
            <v>FIN Submission</v>
          </cell>
          <cell r="J1805">
            <v>42909</v>
          </cell>
        </row>
        <row r="1806">
          <cell r="A1806" t="str">
            <v>41358-D489</v>
          </cell>
          <cell r="B1806" t="str">
            <v>624V-311 Scotch Village Ph 3</v>
          </cell>
          <cell r="C1806" t="str">
            <v>FIN Approval - Internal</v>
          </cell>
          <cell r="D1806">
            <v>109</v>
          </cell>
          <cell r="E1806" t="str">
            <v>APPROVED</v>
          </cell>
          <cell r="F1806">
            <v>41719</v>
          </cell>
          <cell r="G1806">
            <v>42824</v>
          </cell>
          <cell r="H1806">
            <v>363013.89</v>
          </cell>
          <cell r="I1806" t="str">
            <v>FIN Submission</v>
          </cell>
          <cell r="J1806">
            <v>42909</v>
          </cell>
        </row>
        <row r="1807">
          <cell r="A1807" t="str">
            <v>38110-T701</v>
          </cell>
          <cell r="B1807" t="str">
            <v>2010 Tx Line Insulator Replacement</v>
          </cell>
          <cell r="C1807" t="str">
            <v>FIN Approval - Internal</v>
          </cell>
          <cell r="D1807">
            <v>110</v>
          </cell>
          <cell r="E1807" t="str">
            <v>APPROVED</v>
          </cell>
          <cell r="F1807">
            <v>40755</v>
          </cell>
          <cell r="G1807">
            <v>42825</v>
          </cell>
          <cell r="H1807">
            <v>1490348.72</v>
          </cell>
          <cell r="I1807" t="str">
            <v>FIN Submission</v>
          </cell>
          <cell r="J1807">
            <v>42909</v>
          </cell>
        </row>
        <row r="1808">
          <cell r="A1808" t="str">
            <v>41535-T745</v>
          </cell>
          <cell r="B1808" t="str">
            <v>2012 Steel Tower Painting</v>
          </cell>
          <cell r="C1808" t="str">
            <v>FIN Approval - Internal</v>
          </cell>
          <cell r="D1808">
            <v>111</v>
          </cell>
          <cell r="E1808" t="str">
            <v>APPROVED</v>
          </cell>
          <cell r="F1808">
            <v>41577</v>
          </cell>
          <cell r="G1808">
            <v>42855</v>
          </cell>
          <cell r="H1808">
            <v>1701690.56</v>
          </cell>
          <cell r="I1808" t="str">
            <v>FIN Submission</v>
          </cell>
          <cell r="J1808">
            <v>42909</v>
          </cell>
        </row>
        <row r="1809">
          <cell r="A1809" t="str">
            <v>41159-SC83</v>
          </cell>
          <cell r="B1809" t="str">
            <v>LIN Reclaim Feeders Replacement</v>
          </cell>
          <cell r="C1809" t="str">
            <v>FIN Approval - Internal</v>
          </cell>
          <cell r="D1809">
            <v>111</v>
          </cell>
          <cell r="E1809" t="str">
            <v>APPROVED</v>
          </cell>
          <cell r="F1809">
            <v>42164</v>
          </cell>
          <cell r="G1809">
            <v>42855</v>
          </cell>
          <cell r="H1809">
            <v>200727.77</v>
          </cell>
          <cell r="I1809" t="str">
            <v>FIN Submission</v>
          </cell>
          <cell r="J1809">
            <v>42909</v>
          </cell>
        </row>
        <row r="1810">
          <cell r="A1810" t="str">
            <v>41125-SA23</v>
          </cell>
          <cell r="B1810" t="str">
            <v>LIN - Common Water (CW) Piping Repl</v>
          </cell>
          <cell r="C1810" t="str">
            <v>FIN Approval - Internal</v>
          </cell>
          <cell r="D1810">
            <v>112</v>
          </cell>
          <cell r="E1810" t="str">
            <v>APPROVED</v>
          </cell>
          <cell r="F1810">
            <v>41568</v>
          </cell>
          <cell r="G1810">
            <v>42885</v>
          </cell>
          <cell r="H1810">
            <v>187704.25</v>
          </cell>
          <cell r="I1810" t="str">
            <v>FIN Submission</v>
          </cell>
          <cell r="J1810">
            <v>42909</v>
          </cell>
        </row>
        <row r="1811">
          <cell r="A1811" t="str">
            <v>36802-S529</v>
          </cell>
          <cell r="B1811" t="str">
            <v>LIN1 - ESP Outlet Duct Expansion J</v>
          </cell>
          <cell r="C1811" t="str">
            <v>FIN Approval - Internal</v>
          </cell>
          <cell r="D1811">
            <v>112</v>
          </cell>
          <cell r="E1811" t="str">
            <v>APPROVED</v>
          </cell>
          <cell r="F1811">
            <v>40389</v>
          </cell>
          <cell r="G1811">
            <v>42825</v>
          </cell>
          <cell r="H1811">
            <v>323781.89</v>
          </cell>
          <cell r="I1811" t="str">
            <v/>
          </cell>
          <cell r="J1811">
            <v>42909</v>
          </cell>
        </row>
        <row r="1812">
          <cell r="A1812" t="str">
            <v>36742-S666</v>
          </cell>
          <cell r="B1812" t="str">
            <v>Replace F1 Belt</v>
          </cell>
          <cell r="C1812" t="str">
            <v>FIN Approval - Internal</v>
          </cell>
          <cell r="D1812">
            <v>113</v>
          </cell>
          <cell r="E1812" t="str">
            <v>APPROVED</v>
          </cell>
          <cell r="F1812">
            <v>40877</v>
          </cell>
          <cell r="G1812">
            <v>42825</v>
          </cell>
          <cell r="H1812">
            <v>162072.67000000001</v>
          </cell>
          <cell r="I1812" t="str">
            <v>FIN Submission</v>
          </cell>
          <cell r="J1812">
            <v>42909</v>
          </cell>
        </row>
        <row r="1813">
          <cell r="A1813" t="str">
            <v>40288-T690</v>
          </cell>
          <cell r="B1813" t="str">
            <v>2011 PCB Equipment Removals</v>
          </cell>
          <cell r="C1813" t="str">
            <v>FIN Approval - Internal</v>
          </cell>
          <cell r="D1813">
            <v>116</v>
          </cell>
          <cell r="E1813" t="str">
            <v>APPROVED</v>
          </cell>
          <cell r="F1813">
            <v>40763</v>
          </cell>
          <cell r="G1813">
            <v>42855</v>
          </cell>
          <cell r="H1813">
            <v>1805617.49</v>
          </cell>
          <cell r="I1813" t="str">
            <v>FIN Submission</v>
          </cell>
          <cell r="J1813">
            <v>42909</v>
          </cell>
        </row>
        <row r="1814">
          <cell r="A1814" t="str">
            <v>28429-S204</v>
          </cell>
          <cell r="B1814" t="str">
            <v>LIN - REPLACE UNITS 2 &amp; 4 MEDIUM PR</v>
          </cell>
          <cell r="C1814" t="str">
            <v>FIN Approval - Internal</v>
          </cell>
          <cell r="D1814">
            <v>117</v>
          </cell>
          <cell r="E1814" t="str">
            <v>APPROVED</v>
          </cell>
          <cell r="F1814">
            <v>39378</v>
          </cell>
          <cell r="G1814">
            <v>39964</v>
          </cell>
          <cell r="H1814">
            <v>72988.75</v>
          </cell>
          <cell r="I1814" t="str">
            <v>FIN Submission</v>
          </cell>
          <cell r="J1814">
            <v>42909</v>
          </cell>
        </row>
        <row r="1815">
          <cell r="A1815" t="str">
            <v>28328-S203</v>
          </cell>
          <cell r="B1815" t="str">
            <v>LIN - 2007 BOILER FEED PUMP REBUILD</v>
          </cell>
          <cell r="C1815" t="str">
            <v>FIN Approval - Internal</v>
          </cell>
          <cell r="D1815">
            <v>122</v>
          </cell>
          <cell r="E1815" t="str">
            <v>APPROVED</v>
          </cell>
          <cell r="F1815">
            <v>39416</v>
          </cell>
          <cell r="G1815">
            <v>39782</v>
          </cell>
          <cell r="H1815">
            <v>577503.19999999995</v>
          </cell>
          <cell r="I1815" t="str">
            <v>FIN Submission</v>
          </cell>
          <cell r="J1815">
            <v>42909</v>
          </cell>
        </row>
        <row r="1816">
          <cell r="A1816" t="str">
            <v>28912-S109</v>
          </cell>
          <cell r="B1816" t="str">
            <v>LIN 2008 MOTOR REFURBISHMENT</v>
          </cell>
          <cell r="C1816" t="str">
            <v>FIN Approval - Internal</v>
          </cell>
          <cell r="D1816">
            <v>122</v>
          </cell>
          <cell r="E1816" t="str">
            <v>APPROVED</v>
          </cell>
          <cell r="F1816">
            <v>39695</v>
          </cell>
          <cell r="G1816">
            <v>39964</v>
          </cell>
          <cell r="H1816">
            <v>134718.28</v>
          </cell>
          <cell r="I1816" t="str">
            <v>FIN Submission</v>
          </cell>
          <cell r="J1816">
            <v>42909</v>
          </cell>
        </row>
        <row r="1817">
          <cell r="A1817" t="str">
            <v>28920-S118</v>
          </cell>
          <cell r="B1817" t="str">
            <v>LIN2- BATTERY CHARGERS - UPS</v>
          </cell>
          <cell r="C1817" t="str">
            <v>FIN Approval - Internal</v>
          </cell>
          <cell r="D1817">
            <v>123</v>
          </cell>
          <cell r="E1817" t="str">
            <v>APPROVED</v>
          </cell>
          <cell r="F1817">
            <v>39599</v>
          </cell>
          <cell r="G1817">
            <v>42825</v>
          </cell>
          <cell r="H1817">
            <v>159247.78</v>
          </cell>
          <cell r="I1817" t="str">
            <v>FIN Submission</v>
          </cell>
          <cell r="J1817">
            <v>42909</v>
          </cell>
        </row>
        <row r="1818">
          <cell r="A1818" t="str">
            <v>40251-P844</v>
          </cell>
          <cell r="B1818" t="str">
            <v>Mersey Radio System Replacement</v>
          </cell>
          <cell r="C1818" t="str">
            <v>FIN Approval - Internal</v>
          </cell>
          <cell r="D1818">
            <v>129</v>
          </cell>
          <cell r="E1818" t="str">
            <v>APPROVED</v>
          </cell>
          <cell r="F1818">
            <v>41724</v>
          </cell>
          <cell r="G1818">
            <v>42824</v>
          </cell>
          <cell r="H1818">
            <v>242659.56</v>
          </cell>
          <cell r="I1818" t="str">
            <v>FIN Submission</v>
          </cell>
          <cell r="J1818">
            <v>42909</v>
          </cell>
        </row>
        <row r="1819">
          <cell r="A1819" t="str">
            <v>28344-S236</v>
          </cell>
          <cell r="B1819" t="str">
            <v>LIN4-REPLACE BOTTOM ASH SCC</v>
          </cell>
          <cell r="C1819" t="str">
            <v>FIN Approval - Internal</v>
          </cell>
          <cell r="D1819">
            <v>135</v>
          </cell>
          <cell r="E1819" t="str">
            <v>APPROVED</v>
          </cell>
          <cell r="F1819">
            <v>39378</v>
          </cell>
          <cell r="G1819">
            <v>39783</v>
          </cell>
          <cell r="H1819">
            <v>462506.61</v>
          </cell>
          <cell r="I1819" t="str">
            <v>FIN Submission</v>
          </cell>
          <cell r="J1819">
            <v>42909</v>
          </cell>
        </row>
        <row r="1820">
          <cell r="A1820" t="str">
            <v>28520-D183</v>
          </cell>
          <cell r="B1820" t="str">
            <v>Imperial Oi/dartmouth East Load Tra</v>
          </cell>
          <cell r="C1820" t="str">
            <v>FIN Approval - Internal</v>
          </cell>
          <cell r="D1820">
            <v>139</v>
          </cell>
          <cell r="E1820" t="str">
            <v>APPROVED</v>
          </cell>
          <cell r="F1820">
            <v>39994</v>
          </cell>
          <cell r="G1820">
            <v>42794</v>
          </cell>
          <cell r="H1820">
            <v>468963.63</v>
          </cell>
          <cell r="I1820" t="str">
            <v>FIN Submission</v>
          </cell>
          <cell r="J1820">
            <v>42909</v>
          </cell>
        </row>
        <row r="1821">
          <cell r="A1821" t="str">
            <v>33525-T674</v>
          </cell>
          <cell r="B1821" t="str">
            <v xml:space="preserve">Canaan Rd 43V to Tremont 51V Line </v>
          </cell>
          <cell r="C1821" t="str">
            <v>FIN Approval - Internal</v>
          </cell>
          <cell r="D1821">
            <v>165</v>
          </cell>
          <cell r="E1821" t="str">
            <v>APPROVED</v>
          </cell>
          <cell r="F1821">
            <v>40907</v>
          </cell>
          <cell r="G1821">
            <v>41698</v>
          </cell>
          <cell r="H1821">
            <v>7197372.7599999998</v>
          </cell>
          <cell r="I1821" t="str">
            <v>FIN Submission</v>
          </cell>
          <cell r="J1821">
            <v>42909</v>
          </cell>
        </row>
        <row r="1822">
          <cell r="A1822" t="str">
            <v>33622-D821</v>
          </cell>
          <cell r="B1822" t="str">
            <v>Construct Two New Feeders Elmsdale</v>
          </cell>
          <cell r="C1822" t="str">
            <v>FIN Approval - Internal</v>
          </cell>
          <cell r="D1822">
            <v>166</v>
          </cell>
          <cell r="E1822" t="str">
            <v>APPROVED</v>
          </cell>
          <cell r="F1822">
            <v>40542</v>
          </cell>
          <cell r="G1822">
            <v>42855</v>
          </cell>
          <cell r="H1822">
            <v>970648.06</v>
          </cell>
          <cell r="I1822" t="str">
            <v>FIN Submission</v>
          </cell>
          <cell r="J1822">
            <v>42909</v>
          </cell>
        </row>
        <row r="1823">
          <cell r="A1823" t="str">
            <v>22410-S654</v>
          </cell>
          <cell r="B1823" t="str">
            <v>TRE5 5-1 CEP Refurbishment</v>
          </cell>
          <cell r="C1823" t="str">
            <v>FIN Approval - Internal</v>
          </cell>
          <cell r="D1823">
            <v>182</v>
          </cell>
          <cell r="E1823" t="str">
            <v>APPROVED</v>
          </cell>
          <cell r="F1823">
            <v>42719</v>
          </cell>
          <cell r="G1823">
            <v>42735</v>
          </cell>
          <cell r="H1823">
            <v>165689.12</v>
          </cell>
          <cell r="I1823" t="str">
            <v>FIN Submission</v>
          </cell>
          <cell r="J1823">
            <v>42909</v>
          </cell>
        </row>
        <row r="1824">
          <cell r="A1824" t="str">
            <v>29010-T596</v>
          </cell>
          <cell r="B1824" t="str">
            <v>Install 138-25KV Transformer At 22C</v>
          </cell>
          <cell r="C1824" t="str">
            <v>FIN Approval - External</v>
          </cell>
          <cell r="D1824">
            <v>190</v>
          </cell>
          <cell r="E1824" t="str">
            <v>APPROVED</v>
          </cell>
          <cell r="F1824">
            <v>40542</v>
          </cell>
          <cell r="G1824">
            <v>42824</v>
          </cell>
          <cell r="H1824">
            <v>2338356.15</v>
          </cell>
          <cell r="I1824" t="str">
            <v>FIN Submission</v>
          </cell>
          <cell r="J1824">
            <v>42909</v>
          </cell>
        </row>
        <row r="1825">
          <cell r="A1825" t="str">
            <v>28152-SA49</v>
          </cell>
          <cell r="B1825" t="str">
            <v>TRE6 - Bottom Ash OH Door Replaceme</v>
          </cell>
          <cell r="C1825" t="str">
            <v>FIN Approval - Internal</v>
          </cell>
          <cell r="D1825">
            <v>138</v>
          </cell>
          <cell r="E1825" t="str">
            <v>APPROVED</v>
          </cell>
          <cell r="F1825">
            <v>41440</v>
          </cell>
          <cell r="G1825">
            <v>41562</v>
          </cell>
          <cell r="H1825">
            <v>128099.26</v>
          </cell>
          <cell r="I1825" t="str">
            <v>FIN Submission</v>
          </cell>
          <cell r="J1825">
            <v>42871</v>
          </cell>
        </row>
        <row r="1826">
          <cell r="A1826" t="str">
            <v>CONV-D393</v>
          </cell>
          <cell r="B1826" t="str">
            <v>D393-CONTROL OF DISTRIBUTION SUBSTN</v>
          </cell>
          <cell r="C1826" t="str">
            <v>FIN Approval - Internal</v>
          </cell>
          <cell r="D1826">
            <v>4</v>
          </cell>
          <cell r="E1826" t="str">
            <v>APPROVED</v>
          </cell>
          <cell r="F1826">
            <v>34334</v>
          </cell>
          <cell r="G1826">
            <v>42765</v>
          </cell>
          <cell r="H1826">
            <v>176649.06</v>
          </cell>
          <cell r="I1826" t="str">
            <v>FIN Submission</v>
          </cell>
          <cell r="J1826">
            <v>42780</v>
          </cell>
        </row>
        <row r="1827">
          <cell r="A1827" t="str">
            <v>CONV-D864</v>
          </cell>
          <cell r="B1827" t="str">
            <v>D864-Lakeside to Clayton Park Feede</v>
          </cell>
          <cell r="C1827" t="str">
            <v>FIN Approval - Internal</v>
          </cell>
          <cell r="D1827">
            <v>4</v>
          </cell>
          <cell r="E1827" t="str">
            <v>APPROVED</v>
          </cell>
          <cell r="F1827">
            <v>35430</v>
          </cell>
          <cell r="G1827">
            <v>42765</v>
          </cell>
          <cell r="H1827">
            <v>254799.15</v>
          </cell>
          <cell r="I1827" t="str">
            <v>FIN Submission</v>
          </cell>
          <cell r="J1827">
            <v>42780</v>
          </cell>
        </row>
        <row r="1828">
          <cell r="A1828" t="str">
            <v>CONV-D887</v>
          </cell>
          <cell r="B1828" t="str">
            <v>D887-Heathbell Rd. 507N Rebuild</v>
          </cell>
          <cell r="C1828" t="str">
            <v>FIN Approval - Internal</v>
          </cell>
          <cell r="D1828">
            <v>6</v>
          </cell>
          <cell r="E1828" t="str">
            <v>APPROVED</v>
          </cell>
          <cell r="F1828">
            <v>34699</v>
          </cell>
          <cell r="G1828">
            <v>42765</v>
          </cell>
          <cell r="H1828">
            <v>367.34</v>
          </cell>
          <cell r="I1828" t="str">
            <v>FIN Submission</v>
          </cell>
          <cell r="J1828">
            <v>42780</v>
          </cell>
        </row>
        <row r="1829">
          <cell r="A1829" t="str">
            <v>50473-P121</v>
          </cell>
          <cell r="B1829" t="str">
            <v>AMO UU Critical Piping RiskAnalysis</v>
          </cell>
          <cell r="C1829" t="str">
            <v>FIN Approval - Internal</v>
          </cell>
          <cell r="D1829">
            <v>7</v>
          </cell>
          <cell r="E1829" t="str">
            <v>APPROVED</v>
          </cell>
          <cell r="F1829">
            <v>42734</v>
          </cell>
          <cell r="G1829">
            <v>42734</v>
          </cell>
          <cell r="H1829">
            <v>96513.59</v>
          </cell>
          <cell r="I1829" t="str">
            <v>FIN Submission</v>
          </cell>
          <cell r="J1829">
            <v>42780</v>
          </cell>
        </row>
        <row r="1830">
          <cell r="A1830" t="str">
            <v>47125-SE15</v>
          </cell>
          <cell r="B1830" t="str">
            <v>TRE6 UU 6A CW Pump Refurbishment</v>
          </cell>
          <cell r="C1830" t="str">
            <v>FIN Approval - Internal</v>
          </cell>
          <cell r="D1830">
            <v>37</v>
          </cell>
          <cell r="E1830" t="str">
            <v>APPROVED</v>
          </cell>
          <cell r="F1830">
            <v>42200</v>
          </cell>
          <cell r="G1830">
            <v>42719</v>
          </cell>
          <cell r="H1830">
            <v>227763.17</v>
          </cell>
          <cell r="I1830" t="str">
            <v>FIN Submission</v>
          </cell>
          <cell r="J1830">
            <v>42780</v>
          </cell>
        </row>
        <row r="1831">
          <cell r="A1831" t="str">
            <v>47276-SE18</v>
          </cell>
          <cell r="B1831" t="str">
            <v>LIN3 U&amp;U Generator Stator Rewedge</v>
          </cell>
          <cell r="C1831" t="str">
            <v>FIN Approval - Internal</v>
          </cell>
          <cell r="D1831">
            <v>39</v>
          </cell>
          <cell r="E1831" t="str">
            <v>APPROVED</v>
          </cell>
          <cell r="F1831">
            <v>42155</v>
          </cell>
          <cell r="G1831">
            <v>42794</v>
          </cell>
          <cell r="H1831">
            <v>510848.35</v>
          </cell>
          <cell r="I1831" t="str">
            <v>FIN Submission</v>
          </cell>
          <cell r="J1831">
            <v>42780</v>
          </cell>
        </row>
        <row r="1832">
          <cell r="A1832" t="str">
            <v>46395-SD86</v>
          </cell>
          <cell r="B1832" t="str">
            <v>TRE5 Baghouse Filter Replacmnt 2015</v>
          </cell>
          <cell r="C1832" t="str">
            <v>FIN Approval - Internal</v>
          </cell>
          <cell r="D1832">
            <v>44</v>
          </cell>
          <cell r="E1832" t="str">
            <v>APPROVED</v>
          </cell>
          <cell r="F1832">
            <v>42231</v>
          </cell>
          <cell r="G1832">
            <v>42689</v>
          </cell>
          <cell r="H1832">
            <v>589136.85</v>
          </cell>
          <cell r="I1832" t="str">
            <v>FIN Submission</v>
          </cell>
          <cell r="J1832">
            <v>42780</v>
          </cell>
        </row>
        <row r="1833">
          <cell r="A1833" t="str">
            <v>46577-SF23</v>
          </cell>
          <cell r="B1833" t="str">
            <v>TRE6 UU HEP Upgrades</v>
          </cell>
          <cell r="C1833" t="str">
            <v>FIN Approval - Internal</v>
          </cell>
          <cell r="D1833">
            <v>44</v>
          </cell>
          <cell r="E1833" t="str">
            <v>APPROVED</v>
          </cell>
          <cell r="F1833">
            <v>42323</v>
          </cell>
          <cell r="G1833">
            <v>42735</v>
          </cell>
          <cell r="H1833">
            <v>120106.27</v>
          </cell>
          <cell r="I1833" t="str">
            <v>FIN Submission</v>
          </cell>
          <cell r="J1833">
            <v>42780</v>
          </cell>
        </row>
        <row r="1834">
          <cell r="A1834" t="str">
            <v>46379-SE42</v>
          </cell>
          <cell r="B1834" t="str">
            <v>TRE Ash Site Management 2015</v>
          </cell>
          <cell r="C1834" t="str">
            <v>FIN Approval - Internal</v>
          </cell>
          <cell r="D1834">
            <v>45</v>
          </cell>
          <cell r="E1834" t="str">
            <v>APPROVED</v>
          </cell>
          <cell r="F1834">
            <v>42415</v>
          </cell>
          <cell r="G1834">
            <v>42475</v>
          </cell>
          <cell r="H1834">
            <v>161934.68</v>
          </cell>
          <cell r="I1834" t="str">
            <v>FIN Submission</v>
          </cell>
          <cell r="J1834">
            <v>42780</v>
          </cell>
        </row>
        <row r="1835">
          <cell r="A1835" t="str">
            <v>46377-SD97</v>
          </cell>
          <cell r="B1835" t="str">
            <v>TRE5 5-1 CW Screens Refurbishment</v>
          </cell>
          <cell r="C1835" t="str">
            <v>FIN Approval - Internal</v>
          </cell>
          <cell r="D1835">
            <v>45</v>
          </cell>
          <cell r="E1835" t="str">
            <v>APPROVED</v>
          </cell>
          <cell r="F1835">
            <v>42231</v>
          </cell>
          <cell r="G1835">
            <v>42428</v>
          </cell>
          <cell r="H1835">
            <v>193068.99</v>
          </cell>
          <cell r="I1835" t="str">
            <v>FIN Submission</v>
          </cell>
          <cell r="J1835">
            <v>42780</v>
          </cell>
        </row>
        <row r="1836">
          <cell r="A1836" t="str">
            <v>46396-SE11</v>
          </cell>
          <cell r="B1836" t="str">
            <v>TRE5 Battery Bank Replacements</v>
          </cell>
          <cell r="C1836" t="str">
            <v>FIN Approval - Internal</v>
          </cell>
          <cell r="D1836">
            <v>45</v>
          </cell>
          <cell r="E1836" t="str">
            <v>APPROVED</v>
          </cell>
          <cell r="F1836">
            <v>42231</v>
          </cell>
          <cell r="G1836">
            <v>42719</v>
          </cell>
          <cell r="H1836">
            <v>149848.34</v>
          </cell>
          <cell r="I1836" t="str">
            <v>FIN Submission</v>
          </cell>
          <cell r="J1836">
            <v>42780</v>
          </cell>
        </row>
        <row r="1837">
          <cell r="A1837" t="str">
            <v>46433-SE32</v>
          </cell>
          <cell r="B1837" t="str">
            <v>TRE6 ID Fan Motor Coolers</v>
          </cell>
          <cell r="C1837" t="str">
            <v>FIN Approval - Internal</v>
          </cell>
          <cell r="D1837">
            <v>45</v>
          </cell>
          <cell r="E1837" t="str">
            <v>APPROVED</v>
          </cell>
          <cell r="F1837">
            <v>42262</v>
          </cell>
          <cell r="G1837">
            <v>42292</v>
          </cell>
          <cell r="H1837">
            <v>118574.63</v>
          </cell>
          <cell r="I1837" t="str">
            <v>FIN Submission</v>
          </cell>
          <cell r="J1837">
            <v>42780</v>
          </cell>
        </row>
        <row r="1838">
          <cell r="A1838" t="str">
            <v>46302-SE30</v>
          </cell>
          <cell r="B1838" t="str">
            <v>TRE5 Boiler Refurbishments 2015</v>
          </cell>
          <cell r="C1838" t="str">
            <v>FIN Approval - Internal</v>
          </cell>
          <cell r="D1838">
            <v>46</v>
          </cell>
          <cell r="E1838" t="str">
            <v>APPROVED</v>
          </cell>
          <cell r="F1838">
            <v>42200</v>
          </cell>
          <cell r="G1838">
            <v>42444</v>
          </cell>
          <cell r="H1838">
            <v>842640.82</v>
          </cell>
          <cell r="I1838" t="str">
            <v>FIN Submission</v>
          </cell>
          <cell r="J1838">
            <v>42780</v>
          </cell>
        </row>
        <row r="1839">
          <cell r="A1839" t="str">
            <v>46299-SD82</v>
          </cell>
          <cell r="B1839" t="str">
            <v>TRE6 Boiler Refurbishments</v>
          </cell>
          <cell r="C1839" t="str">
            <v>FIN Approval - Internal</v>
          </cell>
          <cell r="D1839">
            <v>46</v>
          </cell>
          <cell r="E1839" t="str">
            <v>APPROVED</v>
          </cell>
          <cell r="F1839">
            <v>42231</v>
          </cell>
          <cell r="G1839">
            <v>42400</v>
          </cell>
          <cell r="H1839">
            <v>1110498.42</v>
          </cell>
          <cell r="I1839" t="str">
            <v>FIN Submission</v>
          </cell>
          <cell r="J1839">
            <v>42780</v>
          </cell>
        </row>
        <row r="1840">
          <cell r="A1840" t="str">
            <v>46300-SD77</v>
          </cell>
          <cell r="B1840" t="str">
            <v>TRE6 Air Heater Refurbishment</v>
          </cell>
          <cell r="C1840" t="str">
            <v>FIN Approval - Internal</v>
          </cell>
          <cell r="D1840">
            <v>49</v>
          </cell>
          <cell r="E1840" t="str">
            <v>APPROVED</v>
          </cell>
          <cell r="F1840">
            <v>42231</v>
          </cell>
          <cell r="G1840">
            <v>42735</v>
          </cell>
          <cell r="H1840">
            <v>2091177.57</v>
          </cell>
          <cell r="I1840" t="str">
            <v>FIN Submission</v>
          </cell>
          <cell r="J1840">
            <v>42780</v>
          </cell>
        </row>
        <row r="1841">
          <cell r="A1841" t="str">
            <v>46111-SD08</v>
          </cell>
          <cell r="B1841" t="str">
            <v>TRE5 UU 5-2 BFP Refurbishment</v>
          </cell>
          <cell r="C1841" t="str">
            <v>FIN Approval - Internal</v>
          </cell>
          <cell r="D1841">
            <v>50</v>
          </cell>
          <cell r="E1841" t="str">
            <v>APPROVED</v>
          </cell>
          <cell r="F1841">
            <v>42149</v>
          </cell>
          <cell r="G1841">
            <v>42400</v>
          </cell>
          <cell r="H1841">
            <v>397941.43</v>
          </cell>
          <cell r="I1841" t="str">
            <v>FIN Submission</v>
          </cell>
          <cell r="J1841">
            <v>42780</v>
          </cell>
        </row>
        <row r="1842">
          <cell r="A1842" t="str">
            <v>44730-SD34</v>
          </cell>
          <cell r="B1842" t="str">
            <v>TRE5 Turbine Valve Refurbishment</v>
          </cell>
          <cell r="C1842" t="str">
            <v>FIN Approval - Internal</v>
          </cell>
          <cell r="D1842">
            <v>62</v>
          </cell>
          <cell r="E1842" t="str">
            <v>APPROVED</v>
          </cell>
          <cell r="F1842">
            <v>42262</v>
          </cell>
          <cell r="G1842">
            <v>42444</v>
          </cell>
          <cell r="H1842">
            <v>673755.58</v>
          </cell>
          <cell r="I1842" t="str">
            <v>FIN Submission</v>
          </cell>
          <cell r="J1842">
            <v>42780</v>
          </cell>
        </row>
        <row r="1843">
          <cell r="A1843" t="str">
            <v>43008-SC05</v>
          </cell>
          <cell r="B1843" t="str">
            <v>TRE5 Turbine-Generator Fire Protect</v>
          </cell>
          <cell r="C1843" t="str">
            <v>FIN Approval - Internal</v>
          </cell>
          <cell r="D1843">
            <v>80</v>
          </cell>
          <cell r="E1843" t="str">
            <v>APPROVED</v>
          </cell>
          <cell r="F1843">
            <v>41988</v>
          </cell>
          <cell r="G1843">
            <v>42369</v>
          </cell>
          <cell r="H1843">
            <v>276091.55</v>
          </cell>
          <cell r="I1843" t="str">
            <v>FIN Submission</v>
          </cell>
          <cell r="J1843">
            <v>42780</v>
          </cell>
        </row>
        <row r="1844">
          <cell r="A1844" t="str">
            <v>43088-SD43</v>
          </cell>
          <cell r="B1844" t="str">
            <v>LIN3 Rotor Rewind</v>
          </cell>
          <cell r="C1844" t="str">
            <v>FIN Approval - Internal</v>
          </cell>
          <cell r="D1844">
            <v>81</v>
          </cell>
          <cell r="E1844" t="str">
            <v>APPROVED</v>
          </cell>
          <cell r="F1844">
            <v>42137</v>
          </cell>
          <cell r="G1844">
            <v>42947</v>
          </cell>
          <cell r="H1844">
            <v>2526512.73</v>
          </cell>
          <cell r="I1844" t="str">
            <v>FIN Submission</v>
          </cell>
          <cell r="J1844">
            <v>42780</v>
          </cell>
        </row>
        <row r="1845">
          <cell r="A1845" t="str">
            <v>40274-P853</v>
          </cell>
          <cell r="B1845" t="str">
            <v>New RTU Deployment</v>
          </cell>
          <cell r="C1845" t="str">
            <v>FIN Approval - Internal</v>
          </cell>
          <cell r="D1845">
            <v>98</v>
          </cell>
          <cell r="E1845" t="str">
            <v>APPROVED</v>
          </cell>
          <cell r="F1845">
            <v>40908</v>
          </cell>
          <cell r="G1845">
            <v>42673</v>
          </cell>
          <cell r="H1845">
            <v>709941.1</v>
          </cell>
          <cell r="I1845" t="str">
            <v>FIN Submission</v>
          </cell>
          <cell r="J1845">
            <v>42780</v>
          </cell>
        </row>
        <row r="1846">
          <cell r="A1846" t="str">
            <v>29522-T567</v>
          </cell>
          <cell r="B1846" t="str">
            <v>Relocation of L5032</v>
          </cell>
          <cell r="C1846" t="str">
            <v>FIN Approval - Internal</v>
          </cell>
          <cell r="D1846">
            <v>130</v>
          </cell>
          <cell r="E1846" t="str">
            <v>APPROVED</v>
          </cell>
          <cell r="F1846">
            <v>39813</v>
          </cell>
          <cell r="G1846">
            <v>42765</v>
          </cell>
          <cell r="H1846">
            <v>-0.41</v>
          </cell>
          <cell r="I1846" t="str">
            <v>FIN Submission</v>
          </cell>
          <cell r="J1846">
            <v>42780</v>
          </cell>
        </row>
        <row r="1847">
          <cell r="A1847" t="str">
            <v>28609-T560</v>
          </cell>
          <cell r="B1847" t="str">
            <v>91H-GT3 TRANSFORMER REFURBISHMENT -</v>
          </cell>
          <cell r="C1847" t="str">
            <v>FIN Approval - Internal</v>
          </cell>
          <cell r="D1847">
            <v>134</v>
          </cell>
          <cell r="E1847" t="str">
            <v>APPROVED</v>
          </cell>
          <cell r="F1847">
            <v>39478</v>
          </cell>
          <cell r="G1847">
            <v>42765</v>
          </cell>
          <cell r="H1847">
            <v>2521980.25</v>
          </cell>
          <cell r="I1847" t="str">
            <v>FIN Submission</v>
          </cell>
          <cell r="J1847">
            <v>42780</v>
          </cell>
        </row>
        <row r="1848">
          <cell r="A1848" t="str">
            <v>28649-T548</v>
          </cell>
          <cell r="B1848" t="str">
            <v>TRANSMISSION REPLACEMENT ENGINEERIN</v>
          </cell>
          <cell r="C1848" t="str">
            <v>FIN Approval - Internal</v>
          </cell>
          <cell r="D1848">
            <v>134</v>
          </cell>
          <cell r="E1848" t="str">
            <v>APPROVED</v>
          </cell>
          <cell r="F1848">
            <v>39141</v>
          </cell>
          <cell r="G1848">
            <v>42765</v>
          </cell>
          <cell r="H1848">
            <v>440607.92</v>
          </cell>
          <cell r="I1848" t="str">
            <v>FIN Submission</v>
          </cell>
          <cell r="J1848">
            <v>42780</v>
          </cell>
        </row>
        <row r="1849">
          <cell r="A1849" t="str">
            <v>28500-D147</v>
          </cell>
          <cell r="B1849" t="str">
            <v>2007 Metro Conductor Replacement</v>
          </cell>
          <cell r="C1849" t="str">
            <v>FIN Approval - Internal</v>
          </cell>
          <cell r="D1849">
            <v>136</v>
          </cell>
          <cell r="E1849" t="str">
            <v>APPROVED</v>
          </cell>
          <cell r="F1849">
            <v>39861</v>
          </cell>
          <cell r="G1849">
            <v>42765</v>
          </cell>
          <cell r="H1849">
            <v>363506.44</v>
          </cell>
          <cell r="I1849" t="str">
            <v>FIN Submission</v>
          </cell>
          <cell r="J1849">
            <v>42780</v>
          </cell>
        </row>
        <row r="1850">
          <cell r="A1850" t="str">
            <v>33542-T617</v>
          </cell>
          <cell r="B1850" t="str">
            <v>Upgrade L-8002 2009</v>
          </cell>
          <cell r="C1850" t="str">
            <v>FIN Approval - Internal</v>
          </cell>
          <cell r="D1850">
            <v>138</v>
          </cell>
          <cell r="E1850" t="str">
            <v>APPROVED</v>
          </cell>
          <cell r="F1850">
            <v>40067</v>
          </cell>
          <cell r="G1850">
            <v>42765</v>
          </cell>
          <cell r="H1850">
            <v>1188672.8799999999</v>
          </cell>
          <cell r="I1850" t="str">
            <v>FIN Submission</v>
          </cell>
          <cell r="J1850">
            <v>42780</v>
          </cell>
        </row>
        <row r="1851">
          <cell r="A1851" t="str">
            <v>38602-S849</v>
          </cell>
          <cell r="B1851" t="str">
            <v>TRE - Fire System Upgrades</v>
          </cell>
          <cell r="C1851" t="str">
            <v>FIN Approval - Internal</v>
          </cell>
          <cell r="D1851">
            <v>151</v>
          </cell>
          <cell r="E1851" t="str">
            <v>APPROVED</v>
          </cell>
          <cell r="F1851">
            <v>41958</v>
          </cell>
          <cell r="G1851">
            <v>41988</v>
          </cell>
          <cell r="H1851">
            <v>420241.83</v>
          </cell>
          <cell r="I1851" t="str">
            <v>FIN Submission</v>
          </cell>
          <cell r="J1851">
            <v>42780</v>
          </cell>
        </row>
        <row r="1852">
          <cell r="A1852" t="str">
            <v>28293-D118</v>
          </cell>
          <cell r="B1852" t="str">
            <v>Cowie Hill Modified Underground Rep</v>
          </cell>
          <cell r="C1852" t="str">
            <v>FIN Approval - Internal</v>
          </cell>
          <cell r="D1852">
            <v>180</v>
          </cell>
          <cell r="E1852" t="str">
            <v>APPROVED</v>
          </cell>
          <cell r="F1852">
            <v>39447</v>
          </cell>
          <cell r="G1852">
            <v>42765</v>
          </cell>
          <cell r="H1852">
            <v>1198049.53</v>
          </cell>
          <cell r="I1852" t="str">
            <v>FIN Submission</v>
          </cell>
          <cell r="J1852">
            <v>42780</v>
          </cell>
        </row>
        <row r="1853">
          <cell r="A1853" t="str">
            <v>47614-SF17</v>
          </cell>
          <cell r="B1853" t="str">
            <v>PHB- Fuel System Refurbishment 2016</v>
          </cell>
          <cell r="C1853" t="str">
            <v>FIN Approval - Internal</v>
          </cell>
          <cell r="D1853">
            <v>34</v>
          </cell>
          <cell r="E1853" t="str">
            <v>APPROVED</v>
          </cell>
          <cell r="F1853">
            <v>42520</v>
          </cell>
          <cell r="G1853">
            <v>43044</v>
          </cell>
          <cell r="H1853">
            <v>276554.37</v>
          </cell>
          <cell r="I1853" t="str">
            <v>FIN Submission</v>
          </cell>
          <cell r="J1853">
            <v>42762</v>
          </cell>
        </row>
        <row r="1854">
          <cell r="A1854" t="str">
            <v>45268-D536</v>
          </cell>
          <cell r="B1854" t="str">
            <v>Queen Street Underground</v>
          </cell>
          <cell r="C1854" t="str">
            <v>FIN Approval - Internal</v>
          </cell>
          <cell r="D1854">
            <v>56</v>
          </cell>
          <cell r="E1854" t="str">
            <v>APPROVED</v>
          </cell>
          <cell r="F1854">
            <v>41882</v>
          </cell>
          <cell r="G1854">
            <v>42673</v>
          </cell>
          <cell r="H1854">
            <v>42074.559999999998</v>
          </cell>
          <cell r="I1854" t="str">
            <v>FIN Submission</v>
          </cell>
          <cell r="J1854">
            <v>42762</v>
          </cell>
        </row>
        <row r="1855">
          <cell r="A1855" t="str">
            <v>49355-SG54</v>
          </cell>
          <cell r="B1855" t="str">
            <v>PHB - U&amp;U Critical Piping Refurbmt.</v>
          </cell>
          <cell r="C1855" t="str">
            <v>FIN Approval - Internal</v>
          </cell>
          <cell r="D1855">
            <v>19</v>
          </cell>
          <cell r="E1855" t="str">
            <v>APPROVED</v>
          </cell>
          <cell r="F1855">
            <v>42490</v>
          </cell>
          <cell r="G1855">
            <v>42734</v>
          </cell>
          <cell r="H1855">
            <v>26075.72</v>
          </cell>
          <cell r="I1855" t="str">
            <v>FIN Submission</v>
          </cell>
          <cell r="J1855">
            <v>42755</v>
          </cell>
        </row>
        <row r="1856">
          <cell r="A1856" t="str">
            <v>49032-SG19</v>
          </cell>
          <cell r="B1856" t="str">
            <v>POT -  UU Critical piping refurbish</v>
          </cell>
          <cell r="C1856" t="str">
            <v>FIN Approval - Internal</v>
          </cell>
          <cell r="D1856">
            <v>22</v>
          </cell>
          <cell r="E1856" t="str">
            <v>APPROVED</v>
          </cell>
          <cell r="F1856">
            <v>42612</v>
          </cell>
          <cell r="G1856">
            <v>42734</v>
          </cell>
          <cell r="H1856">
            <v>124803.26</v>
          </cell>
          <cell r="I1856" t="str">
            <v>FIN Submission</v>
          </cell>
          <cell r="J1856">
            <v>42755</v>
          </cell>
        </row>
        <row r="1857">
          <cell r="A1857" t="str">
            <v>48537-SF48</v>
          </cell>
          <cell r="B1857" t="str">
            <v>LIN3 UU Critical Piping Refurb</v>
          </cell>
          <cell r="C1857" t="str">
            <v>FIN Approval - Internal</v>
          </cell>
          <cell r="D1857">
            <v>24</v>
          </cell>
          <cell r="E1857" t="str">
            <v>APPROVED</v>
          </cell>
          <cell r="F1857">
            <v>42369</v>
          </cell>
          <cell r="G1857">
            <v>42735</v>
          </cell>
          <cell r="H1857">
            <v>98149.9</v>
          </cell>
          <cell r="I1857" t="str">
            <v/>
          </cell>
          <cell r="J1857">
            <v>42755</v>
          </cell>
        </row>
        <row r="1858">
          <cell r="A1858" t="str">
            <v>48393-SF26</v>
          </cell>
          <cell r="B1858" t="str">
            <v>TRE5 PA  Polisher Refurbishments</v>
          </cell>
          <cell r="C1858" t="str">
            <v>FIN Approval - Internal</v>
          </cell>
          <cell r="D1858">
            <v>24</v>
          </cell>
          <cell r="E1858" t="str">
            <v>APPROVED</v>
          </cell>
          <cell r="F1858">
            <v>42323</v>
          </cell>
          <cell r="G1858">
            <v>42415</v>
          </cell>
          <cell r="H1858">
            <v>89028.37</v>
          </cell>
          <cell r="I1858" t="str">
            <v>FIN Submission</v>
          </cell>
          <cell r="J1858">
            <v>42755</v>
          </cell>
        </row>
        <row r="1859">
          <cell r="A1859" t="str">
            <v>48358-SF14</v>
          </cell>
          <cell r="B1859" t="str">
            <v>TRE5 UU 5-5 Feedwater Heater Refurb</v>
          </cell>
          <cell r="C1859" t="str">
            <v>FIN Approval - Internal</v>
          </cell>
          <cell r="D1859">
            <v>24</v>
          </cell>
          <cell r="E1859" t="str">
            <v>APPROVED</v>
          </cell>
          <cell r="F1859">
            <v>42323</v>
          </cell>
          <cell r="G1859">
            <v>42384</v>
          </cell>
          <cell r="H1859">
            <v>88871.53</v>
          </cell>
          <cell r="I1859" t="str">
            <v>FIN Submission</v>
          </cell>
          <cell r="J1859">
            <v>42755</v>
          </cell>
        </row>
        <row r="1860">
          <cell r="A1860" t="str">
            <v>48372-SF25</v>
          </cell>
          <cell r="B1860" t="str">
            <v>TRE6 UU GSCW MCC Repairs</v>
          </cell>
          <cell r="C1860" t="str">
            <v>FIN Approval - Internal</v>
          </cell>
          <cell r="D1860">
            <v>24</v>
          </cell>
          <cell r="E1860" t="str">
            <v>APPROVED</v>
          </cell>
          <cell r="F1860">
            <v>42323</v>
          </cell>
          <cell r="G1860">
            <v>42551</v>
          </cell>
          <cell r="H1860">
            <v>64529.08</v>
          </cell>
          <cell r="I1860" t="str">
            <v>FIN Submission</v>
          </cell>
          <cell r="J1860">
            <v>42755</v>
          </cell>
        </row>
        <row r="1861">
          <cell r="A1861" t="str">
            <v>48394-SF27</v>
          </cell>
          <cell r="B1861" t="str">
            <v>TRE6 UU Precip Structural Repairs</v>
          </cell>
          <cell r="C1861" t="str">
            <v>FIN Approval - Internal</v>
          </cell>
          <cell r="D1861">
            <v>24</v>
          </cell>
          <cell r="E1861" t="str">
            <v>APPROVED</v>
          </cell>
          <cell r="F1861">
            <v>42323</v>
          </cell>
          <cell r="G1861">
            <v>42384</v>
          </cell>
          <cell r="H1861">
            <v>82548.509999999995</v>
          </cell>
          <cell r="I1861" t="str">
            <v>FIN Submission</v>
          </cell>
          <cell r="J1861">
            <v>42755</v>
          </cell>
        </row>
        <row r="1862">
          <cell r="A1862" t="str">
            <v>48060-SE98</v>
          </cell>
          <cell r="B1862" t="str">
            <v>POT - Pressure vessel refurbishment</v>
          </cell>
          <cell r="C1862" t="str">
            <v>FIN Approval - Internal</v>
          </cell>
          <cell r="D1862">
            <v>30</v>
          </cell>
          <cell r="E1862" t="str">
            <v>APPROVED</v>
          </cell>
          <cell r="F1862">
            <v>42251</v>
          </cell>
          <cell r="G1862">
            <v>42617</v>
          </cell>
          <cell r="H1862">
            <v>122534.37</v>
          </cell>
          <cell r="I1862" t="str">
            <v>FIN Submission</v>
          </cell>
          <cell r="J1862">
            <v>42755</v>
          </cell>
        </row>
        <row r="1863">
          <cell r="A1863" t="str">
            <v>47959-SF01</v>
          </cell>
          <cell r="B1863" t="str">
            <v>TRE6 UU Aux Steam Refurbishments</v>
          </cell>
          <cell r="C1863" t="str">
            <v>FIN Approval - Internal</v>
          </cell>
          <cell r="D1863">
            <v>30</v>
          </cell>
          <cell r="E1863" t="str">
            <v>APPROVED</v>
          </cell>
          <cell r="F1863">
            <v>42384</v>
          </cell>
          <cell r="G1863">
            <v>42415</v>
          </cell>
          <cell r="H1863">
            <v>116516.92</v>
          </cell>
          <cell r="I1863" t="str">
            <v>FIN Submission</v>
          </cell>
          <cell r="J1863">
            <v>42755</v>
          </cell>
        </row>
        <row r="1864">
          <cell r="A1864" t="str">
            <v>47719-SF96</v>
          </cell>
          <cell r="B1864" t="str">
            <v>POT - Unit 2 Boiler Refurbishment 2</v>
          </cell>
          <cell r="C1864" t="str">
            <v>FIN Approval - Internal</v>
          </cell>
          <cell r="D1864">
            <v>31</v>
          </cell>
          <cell r="E1864" t="str">
            <v>APPROVED</v>
          </cell>
          <cell r="F1864">
            <v>42490</v>
          </cell>
          <cell r="G1864">
            <v>42979</v>
          </cell>
          <cell r="H1864">
            <v>232627.54</v>
          </cell>
          <cell r="I1864" t="str">
            <v>FIN Submission</v>
          </cell>
          <cell r="J1864">
            <v>42755</v>
          </cell>
        </row>
        <row r="1865">
          <cell r="A1865" t="str">
            <v>47676-SG10</v>
          </cell>
          <cell r="B1865" t="str">
            <v>POT Expansion joint replacements</v>
          </cell>
          <cell r="C1865" t="str">
            <v>FIN Approval - Internal</v>
          </cell>
          <cell r="D1865">
            <v>31</v>
          </cell>
          <cell r="E1865" t="str">
            <v>APPROVED</v>
          </cell>
          <cell r="F1865">
            <v>42468</v>
          </cell>
          <cell r="G1865">
            <v>43069</v>
          </cell>
          <cell r="H1865">
            <v>186695.86</v>
          </cell>
          <cell r="I1865" t="str">
            <v>FIN Submission</v>
          </cell>
          <cell r="J1865">
            <v>42755</v>
          </cell>
        </row>
        <row r="1866">
          <cell r="A1866" t="str">
            <v>47493-SE50</v>
          </cell>
          <cell r="B1866" t="str">
            <v>POT - Turbine dehumidifier</v>
          </cell>
          <cell r="C1866" t="str">
            <v>FIN Approval - Internal</v>
          </cell>
          <cell r="D1866">
            <v>33</v>
          </cell>
          <cell r="E1866" t="str">
            <v>APPROVED</v>
          </cell>
          <cell r="F1866">
            <v>42468</v>
          </cell>
          <cell r="G1866">
            <v>42719</v>
          </cell>
          <cell r="H1866">
            <v>55579.44</v>
          </cell>
          <cell r="I1866" t="str">
            <v>FIN Submission</v>
          </cell>
          <cell r="J1866">
            <v>42755</v>
          </cell>
        </row>
        <row r="1867">
          <cell r="A1867" t="str">
            <v>47613-SF29</v>
          </cell>
          <cell r="B1867" t="str">
            <v>PHB - Boiler Refurbishment 2016</v>
          </cell>
          <cell r="C1867" t="str">
            <v>FIN Approval - Internal</v>
          </cell>
          <cell r="D1867">
            <v>37</v>
          </cell>
          <cell r="E1867" t="str">
            <v>APPROVED</v>
          </cell>
          <cell r="F1867">
            <v>42490</v>
          </cell>
          <cell r="G1867">
            <v>42735</v>
          </cell>
          <cell r="H1867">
            <v>567522.65</v>
          </cell>
          <cell r="I1867" t="str">
            <v>FIN Submission</v>
          </cell>
          <cell r="J1867">
            <v>42755</v>
          </cell>
        </row>
        <row r="1868">
          <cell r="A1868" t="str">
            <v>46622-SD41</v>
          </cell>
          <cell r="B1868" t="str">
            <v>POT - Replace heavy fuel oil pumps</v>
          </cell>
          <cell r="C1868" t="str">
            <v>FIN Approval - Internal</v>
          </cell>
          <cell r="D1868">
            <v>44</v>
          </cell>
          <cell r="E1868" t="str">
            <v>APPROVED</v>
          </cell>
          <cell r="F1868">
            <v>42050</v>
          </cell>
          <cell r="G1868">
            <v>42735</v>
          </cell>
          <cell r="H1868">
            <v>120503.67999999999</v>
          </cell>
          <cell r="I1868" t="str">
            <v>FIN Submission</v>
          </cell>
          <cell r="J1868">
            <v>42755</v>
          </cell>
        </row>
        <row r="1869">
          <cell r="A1869" t="str">
            <v>46394-SD75</v>
          </cell>
          <cell r="B1869" t="str">
            <v>POT - Replace steam coils north sid</v>
          </cell>
          <cell r="C1869" t="str">
            <v>FIN Approval - Internal</v>
          </cell>
          <cell r="D1869">
            <v>44</v>
          </cell>
          <cell r="E1869" t="str">
            <v>APPROVED</v>
          </cell>
          <cell r="F1869">
            <v>42262</v>
          </cell>
          <cell r="G1869">
            <v>42430</v>
          </cell>
          <cell r="H1869">
            <v>292736.2</v>
          </cell>
          <cell r="I1869" t="str">
            <v>FIN Submission</v>
          </cell>
          <cell r="J1869">
            <v>42755</v>
          </cell>
        </row>
        <row r="1870">
          <cell r="A1870" t="str">
            <v>46214-D595</v>
          </cell>
          <cell r="B1870" t="str">
            <v>16V-315 Windsor Deteriorated Poles</v>
          </cell>
          <cell r="C1870" t="str">
            <v>FIN Approval - Internal</v>
          </cell>
          <cell r="D1870">
            <v>45</v>
          </cell>
          <cell r="E1870" t="str">
            <v>APPROVED</v>
          </cell>
          <cell r="F1870">
            <v>42155</v>
          </cell>
          <cell r="G1870">
            <v>42551</v>
          </cell>
          <cell r="H1870">
            <v>248071.87</v>
          </cell>
          <cell r="I1870" t="str">
            <v>FIN Submission</v>
          </cell>
          <cell r="J1870">
            <v>42755</v>
          </cell>
        </row>
        <row r="1871">
          <cell r="A1871" t="str">
            <v>46452-SD99</v>
          </cell>
          <cell r="B1871" t="str">
            <v>PHB Fuel System Refurbishment 2015</v>
          </cell>
          <cell r="C1871" t="str">
            <v>FIN Approval - Internal</v>
          </cell>
          <cell r="D1871">
            <v>45</v>
          </cell>
          <cell r="E1871" t="str">
            <v>APPROVED</v>
          </cell>
          <cell r="F1871">
            <v>42323</v>
          </cell>
          <cell r="G1871">
            <v>42735</v>
          </cell>
          <cell r="H1871">
            <v>244303.8</v>
          </cell>
          <cell r="I1871" t="str">
            <v>FIN Submission</v>
          </cell>
          <cell r="J1871">
            <v>42755</v>
          </cell>
        </row>
        <row r="1872">
          <cell r="A1872" t="str">
            <v>46417-SE56</v>
          </cell>
          <cell r="B1872" t="str">
            <v>POT - Asbestos Management 2015</v>
          </cell>
          <cell r="C1872" t="str">
            <v>FIN Approval - Internal</v>
          </cell>
          <cell r="D1872">
            <v>45</v>
          </cell>
          <cell r="E1872" t="str">
            <v>APPROVED</v>
          </cell>
          <cell r="F1872">
            <v>42307</v>
          </cell>
          <cell r="G1872">
            <v>42705</v>
          </cell>
          <cell r="H1872">
            <v>190848.84</v>
          </cell>
          <cell r="I1872" t="str">
            <v>FIN Submission</v>
          </cell>
          <cell r="J1872">
            <v>42755</v>
          </cell>
        </row>
        <row r="1873">
          <cell r="A1873" t="str">
            <v>46423-SE09</v>
          </cell>
          <cell r="B1873" t="str">
            <v>POT - Building ventilation fan refu</v>
          </cell>
          <cell r="C1873" t="str">
            <v>FIN Approval - Internal</v>
          </cell>
          <cell r="D1873">
            <v>45</v>
          </cell>
          <cell r="E1873" t="str">
            <v>APPROVED</v>
          </cell>
          <cell r="F1873">
            <v>42368</v>
          </cell>
          <cell r="G1873">
            <v>42735</v>
          </cell>
          <cell r="H1873">
            <v>141364.20000000001</v>
          </cell>
          <cell r="I1873" t="str">
            <v>FIN Submission</v>
          </cell>
          <cell r="J1873">
            <v>42755</v>
          </cell>
        </row>
        <row r="1874">
          <cell r="A1874" t="str">
            <v>46372-SD69</v>
          </cell>
          <cell r="B1874" t="str">
            <v>POT - Coal mill overhauls</v>
          </cell>
          <cell r="C1874" t="str">
            <v>FIN Approval - Internal</v>
          </cell>
          <cell r="D1874">
            <v>45</v>
          </cell>
          <cell r="E1874" t="str">
            <v>APPROVED</v>
          </cell>
          <cell r="F1874">
            <v>42338</v>
          </cell>
          <cell r="G1874">
            <v>42491</v>
          </cell>
          <cell r="H1874">
            <v>400597.1</v>
          </cell>
          <cell r="I1874" t="str">
            <v>FIN Submission</v>
          </cell>
          <cell r="J1874">
            <v>42755</v>
          </cell>
        </row>
        <row r="1875">
          <cell r="A1875" t="str">
            <v>46424-SE31</v>
          </cell>
          <cell r="B1875" t="str">
            <v>TRE Turbine Dehumidifier</v>
          </cell>
          <cell r="C1875" t="str">
            <v>FIN Approval - Internal</v>
          </cell>
          <cell r="D1875">
            <v>45</v>
          </cell>
          <cell r="E1875" t="str">
            <v>APPROVED</v>
          </cell>
          <cell r="F1875">
            <v>42384</v>
          </cell>
          <cell r="G1875">
            <v>42475</v>
          </cell>
          <cell r="H1875">
            <v>50900.73</v>
          </cell>
          <cell r="I1875" t="str">
            <v>FIN Submission</v>
          </cell>
          <cell r="J1875">
            <v>42755</v>
          </cell>
        </row>
        <row r="1876">
          <cell r="A1876" t="str">
            <v>46460-SD40</v>
          </cell>
          <cell r="B1876" t="str">
            <v>TRE5 Blowdown Tank Header Replaceme</v>
          </cell>
          <cell r="C1876" t="str">
            <v>FIN Approval - Internal</v>
          </cell>
          <cell r="D1876">
            <v>45</v>
          </cell>
          <cell r="E1876" t="str">
            <v>APPROVED</v>
          </cell>
          <cell r="F1876">
            <v>42200</v>
          </cell>
          <cell r="G1876">
            <v>42415</v>
          </cell>
          <cell r="H1876">
            <v>69359.77</v>
          </cell>
          <cell r="I1876" t="str">
            <v>FIN Submission</v>
          </cell>
          <cell r="J1876">
            <v>42755</v>
          </cell>
        </row>
        <row r="1877">
          <cell r="A1877" t="str">
            <v>46428-SE26</v>
          </cell>
          <cell r="B1877" t="str">
            <v>TRE6 Polisher Resin Replacements</v>
          </cell>
          <cell r="C1877" t="str">
            <v>FIN Approval - Internal</v>
          </cell>
          <cell r="D1877">
            <v>45</v>
          </cell>
          <cell r="E1877" t="str">
            <v>APPROVED</v>
          </cell>
          <cell r="F1877">
            <v>42200</v>
          </cell>
          <cell r="G1877">
            <v>42292</v>
          </cell>
          <cell r="H1877">
            <v>110840.49</v>
          </cell>
          <cell r="I1877" t="str">
            <v>FIN Submission</v>
          </cell>
          <cell r="J1877">
            <v>42755</v>
          </cell>
        </row>
        <row r="1878">
          <cell r="A1878" t="str">
            <v>46256-SD68</v>
          </cell>
          <cell r="B1878" t="str">
            <v>POT - Boiler refurbishment 2015</v>
          </cell>
          <cell r="C1878" t="str">
            <v>FIN Approval - Internal</v>
          </cell>
          <cell r="D1878">
            <v>46</v>
          </cell>
          <cell r="E1878" t="str">
            <v>APPROVED</v>
          </cell>
          <cell r="F1878">
            <v>42262</v>
          </cell>
          <cell r="G1878">
            <v>42732</v>
          </cell>
          <cell r="H1878">
            <v>1066679.92</v>
          </cell>
          <cell r="I1878" t="str">
            <v>FIN Submission</v>
          </cell>
          <cell r="J1878">
            <v>42755</v>
          </cell>
        </row>
        <row r="1879">
          <cell r="A1879" t="str">
            <v>46595-SE49</v>
          </cell>
          <cell r="B1879" t="str">
            <v>POT - ID fans refurbishment</v>
          </cell>
          <cell r="C1879" t="str">
            <v>FIN Approval - Internal</v>
          </cell>
          <cell r="D1879">
            <v>46</v>
          </cell>
          <cell r="E1879" t="str">
            <v>APPROVED</v>
          </cell>
          <cell r="F1879">
            <v>42400</v>
          </cell>
          <cell r="G1879">
            <v>42714</v>
          </cell>
          <cell r="H1879">
            <v>120728.83</v>
          </cell>
          <cell r="I1879" t="str">
            <v>FIN Submission</v>
          </cell>
          <cell r="J1879">
            <v>42755</v>
          </cell>
        </row>
        <row r="1880">
          <cell r="A1880" t="str">
            <v>46392-SD70</v>
          </cell>
          <cell r="B1880" t="str">
            <v>POT - Plant siding</v>
          </cell>
          <cell r="C1880" t="str">
            <v>FIN Approval - Internal</v>
          </cell>
          <cell r="D1880">
            <v>46</v>
          </cell>
          <cell r="E1880" t="str">
            <v>APPROVED</v>
          </cell>
          <cell r="F1880">
            <v>42428</v>
          </cell>
          <cell r="G1880">
            <v>42733</v>
          </cell>
          <cell r="H1880">
            <v>663526.06000000006</v>
          </cell>
          <cell r="I1880" t="str">
            <v>FIN Submission</v>
          </cell>
          <cell r="J1880">
            <v>42755</v>
          </cell>
        </row>
        <row r="1881">
          <cell r="A1881" t="str">
            <v>46374-SG97</v>
          </cell>
          <cell r="B1881" t="str">
            <v>POT - East CW pump refurbishment</v>
          </cell>
          <cell r="C1881" t="str">
            <v>FIN Approval - Internal</v>
          </cell>
          <cell r="D1881">
            <v>47</v>
          </cell>
          <cell r="E1881" t="str">
            <v>APPROVED</v>
          </cell>
          <cell r="F1881">
            <v>42612</v>
          </cell>
          <cell r="G1881">
            <v>43070</v>
          </cell>
          <cell r="H1881">
            <v>296672.61</v>
          </cell>
          <cell r="I1881" t="str">
            <v>FIN Submission</v>
          </cell>
          <cell r="J1881">
            <v>42755</v>
          </cell>
        </row>
        <row r="1882">
          <cell r="A1882" t="str">
            <v>46421-SF04</v>
          </cell>
          <cell r="B1882" t="str">
            <v>POT - Refurbish 2 South Boiler Feed</v>
          </cell>
          <cell r="C1882" t="str">
            <v>FIN Approval - Internal</v>
          </cell>
          <cell r="D1882">
            <v>47</v>
          </cell>
          <cell r="E1882" t="str">
            <v>APPROVED</v>
          </cell>
          <cell r="F1882">
            <v>42521</v>
          </cell>
          <cell r="G1882">
            <v>42886</v>
          </cell>
          <cell r="H1882">
            <v>240326.9</v>
          </cell>
          <cell r="I1882" t="str">
            <v>FIN Submission</v>
          </cell>
          <cell r="J1882">
            <v>42755</v>
          </cell>
        </row>
        <row r="1883">
          <cell r="A1883" t="str">
            <v>46375-SE39</v>
          </cell>
          <cell r="B1883" t="str">
            <v>POT - Condenser level control upgra</v>
          </cell>
          <cell r="C1883" t="str">
            <v>FIN Approval - Internal</v>
          </cell>
          <cell r="D1883">
            <v>48</v>
          </cell>
          <cell r="E1883" t="str">
            <v>APPROVED</v>
          </cell>
          <cell r="F1883">
            <v>42490</v>
          </cell>
          <cell r="G1883">
            <v>42787</v>
          </cell>
          <cell r="H1883">
            <v>55175.3</v>
          </cell>
          <cell r="I1883" t="str">
            <v>FIN Submission</v>
          </cell>
          <cell r="J1883">
            <v>42755</v>
          </cell>
        </row>
        <row r="1884">
          <cell r="A1884" t="str">
            <v>46336-SD65</v>
          </cell>
          <cell r="B1884" t="str">
            <v>POT - Turbine main and rehea</v>
          </cell>
          <cell r="C1884" t="str">
            <v>FIN Approval - Internal</v>
          </cell>
          <cell r="D1884">
            <v>48</v>
          </cell>
          <cell r="E1884" t="str">
            <v>APPROVED</v>
          </cell>
          <cell r="F1884">
            <v>42277</v>
          </cell>
          <cell r="G1884">
            <v>42705</v>
          </cell>
          <cell r="H1884">
            <v>660722.18000000005</v>
          </cell>
          <cell r="I1884" t="str">
            <v>FIN Submission</v>
          </cell>
          <cell r="J1884">
            <v>42755</v>
          </cell>
        </row>
        <row r="1885">
          <cell r="A1885" t="str">
            <v>45266-SC64</v>
          </cell>
          <cell r="B1885" t="str">
            <v>TRE6 6A CW Screens Refurbishment</v>
          </cell>
          <cell r="C1885" t="str">
            <v>FIN Approval - Internal</v>
          </cell>
          <cell r="D1885">
            <v>56</v>
          </cell>
          <cell r="E1885" t="str">
            <v>APPROVED</v>
          </cell>
          <cell r="F1885">
            <v>41774</v>
          </cell>
          <cell r="G1885">
            <v>42109</v>
          </cell>
          <cell r="H1885">
            <v>198854.14</v>
          </cell>
          <cell r="I1885" t="str">
            <v>FIN Submission</v>
          </cell>
          <cell r="J1885">
            <v>42755</v>
          </cell>
        </row>
        <row r="1886">
          <cell r="A1886" t="str">
            <v>45185-SC96</v>
          </cell>
          <cell r="B1886" t="str">
            <v>TRE5 PAC System Improvements</v>
          </cell>
          <cell r="C1886" t="str">
            <v>FIN Approval - Internal</v>
          </cell>
          <cell r="D1886">
            <v>58</v>
          </cell>
          <cell r="E1886" t="str">
            <v>APPROVED</v>
          </cell>
          <cell r="F1886">
            <v>41897</v>
          </cell>
          <cell r="G1886">
            <v>42400</v>
          </cell>
          <cell r="H1886">
            <v>60327.43</v>
          </cell>
          <cell r="I1886" t="str">
            <v>FIN Submission</v>
          </cell>
          <cell r="J1886">
            <v>42755</v>
          </cell>
        </row>
        <row r="1887">
          <cell r="A1887" t="str">
            <v>44720-SD06</v>
          </cell>
          <cell r="B1887" t="str">
            <v>TRE Asbestos Abatement 2014</v>
          </cell>
          <cell r="C1887" t="str">
            <v>FIN Approval - Internal</v>
          </cell>
          <cell r="D1887">
            <v>61</v>
          </cell>
          <cell r="E1887" t="str">
            <v>APPROVED</v>
          </cell>
          <cell r="F1887">
            <v>42200</v>
          </cell>
          <cell r="G1887">
            <v>42490</v>
          </cell>
          <cell r="H1887">
            <v>159726.34</v>
          </cell>
          <cell r="I1887" t="str">
            <v>FIN Submission</v>
          </cell>
          <cell r="J1887">
            <v>42755</v>
          </cell>
        </row>
        <row r="1888">
          <cell r="A1888" t="str">
            <v>44589-SD12</v>
          </cell>
          <cell r="B1888" t="str">
            <v>POT - Replace overhead door at A-mi</v>
          </cell>
          <cell r="C1888" t="str">
            <v>FIN Approval - Internal</v>
          </cell>
          <cell r="D1888">
            <v>63</v>
          </cell>
          <cell r="E1888" t="str">
            <v>APPROVED</v>
          </cell>
          <cell r="F1888">
            <v>42292</v>
          </cell>
          <cell r="G1888">
            <v>42735</v>
          </cell>
          <cell r="H1888">
            <v>109496.88</v>
          </cell>
          <cell r="I1888" t="str">
            <v>FIN Submission</v>
          </cell>
          <cell r="J1888">
            <v>42755</v>
          </cell>
        </row>
        <row r="1889">
          <cell r="A1889" t="str">
            <v>43425-SC16</v>
          </cell>
          <cell r="B1889" t="str">
            <v>TRE5 HP Dosing Skid</v>
          </cell>
          <cell r="C1889" t="str">
            <v>FIN Approval - Internal</v>
          </cell>
          <cell r="D1889">
            <v>72</v>
          </cell>
          <cell r="E1889" t="str">
            <v>APPROVED</v>
          </cell>
          <cell r="F1889">
            <v>41927</v>
          </cell>
          <cell r="G1889">
            <v>41988</v>
          </cell>
          <cell r="H1889">
            <v>113786.17</v>
          </cell>
          <cell r="I1889" t="str">
            <v>FIN Submission</v>
          </cell>
          <cell r="J1889">
            <v>42755</v>
          </cell>
        </row>
        <row r="1890">
          <cell r="A1890" t="str">
            <v>43050-SD39</v>
          </cell>
          <cell r="B1890" t="str">
            <v>POT -  Replace drum dose skids</v>
          </cell>
          <cell r="C1890" t="str">
            <v>FIN Approval - Internal</v>
          </cell>
          <cell r="D1890">
            <v>78</v>
          </cell>
          <cell r="E1890" t="str">
            <v>APPROVED</v>
          </cell>
          <cell r="F1890">
            <v>42278</v>
          </cell>
          <cell r="G1890">
            <v>42653</v>
          </cell>
          <cell r="H1890">
            <v>123790.19</v>
          </cell>
          <cell r="I1890" t="str">
            <v>FIN Submission</v>
          </cell>
          <cell r="J1890">
            <v>42755</v>
          </cell>
        </row>
        <row r="1891">
          <cell r="A1891" t="str">
            <v>43031-SD18</v>
          </cell>
          <cell r="B1891" t="str">
            <v>POT - #5 HP Heater Replacement</v>
          </cell>
          <cell r="C1891" t="str">
            <v>FIN Approval - Internal</v>
          </cell>
          <cell r="D1891">
            <v>80</v>
          </cell>
          <cell r="E1891" t="str">
            <v>APPROVED</v>
          </cell>
          <cell r="F1891">
            <v>42256</v>
          </cell>
          <cell r="G1891">
            <v>42460</v>
          </cell>
          <cell r="H1891">
            <v>819552.26</v>
          </cell>
          <cell r="I1891" t="str">
            <v>FIN Submission</v>
          </cell>
          <cell r="J1891">
            <v>42755</v>
          </cell>
        </row>
        <row r="1892">
          <cell r="A1892" t="str">
            <v>22614-SE10</v>
          </cell>
          <cell r="B1892" t="str">
            <v>POT - FLAME SCANNER REPLACEMENT</v>
          </cell>
          <cell r="C1892" t="str">
            <v>FIN Approval - Internal</v>
          </cell>
          <cell r="D1892">
            <v>179</v>
          </cell>
          <cell r="E1892" t="str">
            <v>APPROVED</v>
          </cell>
          <cell r="F1892">
            <v>42277</v>
          </cell>
          <cell r="G1892">
            <v>42735</v>
          </cell>
          <cell r="H1892">
            <v>136854.18</v>
          </cell>
          <cell r="I1892" t="str">
            <v>FIN Submission</v>
          </cell>
          <cell r="J1892">
            <v>42755</v>
          </cell>
        </row>
        <row r="1893">
          <cell r="A1893" t="str">
            <v>43667-D473</v>
          </cell>
          <cell r="B1893" t="str">
            <v>Kings Wharf Place</v>
          </cell>
          <cell r="C1893" t="str">
            <v>FIN Approval - Internal</v>
          </cell>
          <cell r="D1893">
            <v>29</v>
          </cell>
          <cell r="E1893" t="str">
            <v>APPROVED</v>
          </cell>
          <cell r="F1893">
            <v>41639</v>
          </cell>
          <cell r="G1893">
            <v>41670</v>
          </cell>
          <cell r="H1893">
            <v>155332.76999999999</v>
          </cell>
          <cell r="I1893" t="str">
            <v>FIN Submission</v>
          </cell>
          <cell r="J1893">
            <v>42752</v>
          </cell>
        </row>
        <row r="1894">
          <cell r="A1894" t="str">
            <v>47374-SE48</v>
          </cell>
          <cell r="B1894" t="str">
            <v>POT -  Replace windbox linkages</v>
          </cell>
          <cell r="C1894" t="str">
            <v>FIN Approval - Internal</v>
          </cell>
          <cell r="D1894">
            <v>32</v>
          </cell>
          <cell r="E1894" t="str">
            <v>APPROVED</v>
          </cell>
          <cell r="F1894">
            <v>42246</v>
          </cell>
          <cell r="G1894">
            <v>42705</v>
          </cell>
          <cell r="H1894">
            <v>128140.89</v>
          </cell>
          <cell r="I1894" t="str">
            <v>FIN Submission</v>
          </cell>
          <cell r="J1894">
            <v>42752</v>
          </cell>
        </row>
        <row r="1895">
          <cell r="A1895" t="str">
            <v>43051-SB79</v>
          </cell>
          <cell r="B1895" t="str">
            <v>POT - Selective Superheater Replace</v>
          </cell>
          <cell r="C1895" t="str">
            <v>FIN Approval - Internal</v>
          </cell>
          <cell r="D1895">
            <v>32</v>
          </cell>
          <cell r="E1895" t="str">
            <v>APPROVED</v>
          </cell>
          <cell r="F1895">
            <v>41487</v>
          </cell>
          <cell r="G1895">
            <v>41639</v>
          </cell>
          <cell r="H1895">
            <v>238286.48</v>
          </cell>
          <cell r="I1895" t="str">
            <v>FIN Submission</v>
          </cell>
          <cell r="J1895">
            <v>42752</v>
          </cell>
        </row>
        <row r="1896">
          <cell r="A1896" t="str">
            <v>43041-SB53</v>
          </cell>
          <cell r="B1896" t="str">
            <v>POT - Air Heater Steam Coils Replac</v>
          </cell>
          <cell r="C1896" t="str">
            <v>FIN Approval - Internal</v>
          </cell>
          <cell r="D1896">
            <v>33</v>
          </cell>
          <cell r="E1896" t="str">
            <v>APPROVED</v>
          </cell>
          <cell r="F1896">
            <v>41487</v>
          </cell>
          <cell r="G1896">
            <v>41609</v>
          </cell>
          <cell r="H1896">
            <v>335564.64</v>
          </cell>
          <cell r="I1896" t="str">
            <v>FIN Submission</v>
          </cell>
          <cell r="J1896">
            <v>42752</v>
          </cell>
        </row>
        <row r="1897">
          <cell r="A1897" t="str">
            <v>43052-SB80</v>
          </cell>
          <cell r="B1897" t="str">
            <v>POT - Selective Reheater Rplcm 2013</v>
          </cell>
          <cell r="C1897" t="str">
            <v>FIN Approval - Internal</v>
          </cell>
          <cell r="D1897">
            <v>33</v>
          </cell>
          <cell r="E1897" t="str">
            <v>APPROVED</v>
          </cell>
          <cell r="F1897">
            <v>41487</v>
          </cell>
          <cell r="G1897">
            <v>41671</v>
          </cell>
          <cell r="H1897">
            <v>244673.57</v>
          </cell>
          <cell r="I1897" t="str">
            <v>FIN Submission</v>
          </cell>
          <cell r="J1897">
            <v>42752</v>
          </cell>
        </row>
        <row r="1898">
          <cell r="A1898" t="str">
            <v>46334-SD26</v>
          </cell>
          <cell r="B1898" t="str">
            <v>POT - 2C mill overhaul</v>
          </cell>
          <cell r="C1898" t="str">
            <v>FIN Approval - Internal</v>
          </cell>
          <cell r="D1898">
            <v>43</v>
          </cell>
          <cell r="E1898" t="str">
            <v>APPROVED</v>
          </cell>
          <cell r="F1898">
            <v>41973</v>
          </cell>
          <cell r="G1898">
            <v>42339</v>
          </cell>
          <cell r="H1898">
            <v>125708.88</v>
          </cell>
          <cell r="I1898" t="str">
            <v>FIN Submission</v>
          </cell>
          <cell r="J1898">
            <v>42752</v>
          </cell>
        </row>
        <row r="1899">
          <cell r="A1899" t="str">
            <v>46451-SD98</v>
          </cell>
          <cell r="B1899" t="str">
            <v>PHB Boiler Refurbishment 2015</v>
          </cell>
          <cell r="C1899" t="str">
            <v>FIN Approval - Internal</v>
          </cell>
          <cell r="D1899">
            <v>45</v>
          </cell>
          <cell r="E1899" t="str">
            <v>APPROVED</v>
          </cell>
          <cell r="F1899">
            <v>42277</v>
          </cell>
          <cell r="G1899">
            <v>42430</v>
          </cell>
          <cell r="H1899">
            <v>754883.17</v>
          </cell>
          <cell r="I1899" t="str">
            <v>FIN Submission</v>
          </cell>
          <cell r="J1899">
            <v>42752</v>
          </cell>
        </row>
        <row r="1900">
          <cell r="A1900" t="str">
            <v>45994-SD92</v>
          </cell>
          <cell r="B1900" t="str">
            <v xml:space="preserve"> POT - O2 analyzer upgrade</v>
          </cell>
          <cell r="C1900" t="str">
            <v>FIN Approval - Internal</v>
          </cell>
          <cell r="D1900">
            <v>47</v>
          </cell>
          <cell r="E1900" t="str">
            <v>APPROVED</v>
          </cell>
          <cell r="F1900">
            <v>42241</v>
          </cell>
          <cell r="G1900">
            <v>42368</v>
          </cell>
          <cell r="H1900">
            <v>75705.53</v>
          </cell>
          <cell r="I1900" t="str">
            <v>FIN Submission</v>
          </cell>
          <cell r="J1900">
            <v>42752</v>
          </cell>
        </row>
        <row r="1901">
          <cell r="A1901" t="str">
            <v>44965-P928</v>
          </cell>
          <cell r="B1901" t="str">
            <v>2014 Telecom Battery &amp; Charger</v>
          </cell>
          <cell r="C1901" t="str">
            <v>FIN Approval - Internal</v>
          </cell>
          <cell r="D1901">
            <v>56</v>
          </cell>
          <cell r="E1901" t="str">
            <v>APPROVED</v>
          </cell>
          <cell r="F1901">
            <v>41913</v>
          </cell>
          <cell r="G1901">
            <v>42369</v>
          </cell>
          <cell r="H1901">
            <v>219759.98</v>
          </cell>
          <cell r="I1901" t="str">
            <v>FIN Submission</v>
          </cell>
          <cell r="J1901">
            <v>42752</v>
          </cell>
        </row>
        <row r="1902">
          <cell r="A1902" t="str">
            <v>41483-SB87</v>
          </cell>
          <cell r="B1902" t="str">
            <v>POT - 2013 Asbestos Abatement</v>
          </cell>
          <cell r="C1902" t="str">
            <v>FIN Approval - Internal</v>
          </cell>
          <cell r="D1902">
            <v>57</v>
          </cell>
          <cell r="E1902" t="str">
            <v>APPROVED</v>
          </cell>
          <cell r="F1902">
            <v>41488</v>
          </cell>
          <cell r="G1902">
            <v>41853</v>
          </cell>
          <cell r="H1902">
            <v>219363.79</v>
          </cell>
          <cell r="I1902" t="str">
            <v>FIN Submission</v>
          </cell>
          <cell r="J1902">
            <v>42752</v>
          </cell>
        </row>
        <row r="1903">
          <cell r="A1903" t="str">
            <v>44588-SC48</v>
          </cell>
          <cell r="B1903" t="str">
            <v>POT - Transitional Metals Ion Chrom</v>
          </cell>
          <cell r="C1903" t="str">
            <v>FIN Approval - Internal</v>
          </cell>
          <cell r="D1903">
            <v>59</v>
          </cell>
          <cell r="E1903" t="str">
            <v>APPROVED</v>
          </cell>
          <cell r="F1903">
            <v>41730</v>
          </cell>
          <cell r="G1903">
            <v>42064</v>
          </cell>
          <cell r="H1903">
            <v>57938.74</v>
          </cell>
          <cell r="I1903" t="str">
            <v>FIN Submission</v>
          </cell>
          <cell r="J1903">
            <v>42752</v>
          </cell>
        </row>
        <row r="1904">
          <cell r="A1904" t="str">
            <v>43272-P911</v>
          </cell>
          <cell r="B1904" t="str">
            <v>SCADA-EMS Hardware Replacement</v>
          </cell>
          <cell r="C1904" t="str">
            <v>FIN Approval - Internal</v>
          </cell>
          <cell r="D1904">
            <v>60</v>
          </cell>
          <cell r="E1904" t="str">
            <v>APPROVED</v>
          </cell>
          <cell r="F1904">
            <v>41774</v>
          </cell>
          <cell r="G1904">
            <v>42520</v>
          </cell>
          <cell r="H1904">
            <v>615774.09</v>
          </cell>
          <cell r="I1904" t="str">
            <v>FIN Submission</v>
          </cell>
          <cell r="J1904">
            <v>42752</v>
          </cell>
        </row>
        <row r="1905">
          <cell r="A1905" t="str">
            <v>44751-P940</v>
          </cell>
          <cell r="B1905" t="str">
            <v>AMO - DirectLine Module Upgrades</v>
          </cell>
          <cell r="C1905" t="str">
            <v>FIN Approval - Internal</v>
          </cell>
          <cell r="D1905">
            <v>62</v>
          </cell>
          <cell r="E1905" t="str">
            <v>APPROVED</v>
          </cell>
          <cell r="F1905">
            <v>41973</v>
          </cell>
          <cell r="G1905">
            <v>42673</v>
          </cell>
          <cell r="H1905">
            <v>125870.45</v>
          </cell>
          <cell r="I1905" t="str">
            <v>FIN Submission</v>
          </cell>
          <cell r="J1905">
            <v>42752</v>
          </cell>
        </row>
        <row r="1906">
          <cell r="A1906" t="str">
            <v>44586-SC66</v>
          </cell>
          <cell r="B1906" t="str">
            <v>POT - Asbestos 2014</v>
          </cell>
          <cell r="C1906" t="str">
            <v>FIN Approval - Internal</v>
          </cell>
          <cell r="D1906">
            <v>62</v>
          </cell>
          <cell r="E1906" t="str">
            <v>APPROVED</v>
          </cell>
          <cell r="F1906">
            <v>41883</v>
          </cell>
          <cell r="G1906">
            <v>42368</v>
          </cell>
          <cell r="H1906">
            <v>160648.24</v>
          </cell>
          <cell r="I1906" t="str">
            <v>FIN Submission</v>
          </cell>
          <cell r="J1906">
            <v>42752</v>
          </cell>
        </row>
        <row r="1907">
          <cell r="A1907" t="str">
            <v>44590-SD17</v>
          </cell>
          <cell r="B1907" t="str">
            <v>POT - Water treatment plant siding</v>
          </cell>
          <cell r="C1907" t="str">
            <v>FIN Approval - Internal</v>
          </cell>
          <cell r="D1907">
            <v>62</v>
          </cell>
          <cell r="E1907" t="str">
            <v>APPROVED</v>
          </cell>
          <cell r="F1907">
            <v>42093</v>
          </cell>
          <cell r="G1907">
            <v>42337</v>
          </cell>
          <cell r="H1907">
            <v>363747.45</v>
          </cell>
          <cell r="I1907" t="str">
            <v>FIN Submission</v>
          </cell>
          <cell r="J1907">
            <v>42752</v>
          </cell>
        </row>
        <row r="1908">
          <cell r="A1908" t="str">
            <v>44388-D507</v>
          </cell>
          <cell r="B1908" t="str">
            <v>63V-313 Aylesford Reliability Ph 2</v>
          </cell>
          <cell r="C1908" t="str">
            <v>FIN Approval - Internal</v>
          </cell>
          <cell r="D1908">
            <v>63</v>
          </cell>
          <cell r="E1908" t="str">
            <v>APPROVED</v>
          </cell>
          <cell r="F1908">
            <v>42004</v>
          </cell>
          <cell r="G1908">
            <v>42460</v>
          </cell>
          <cell r="H1908">
            <v>513206.19</v>
          </cell>
          <cell r="I1908" t="str">
            <v>FIN Submission</v>
          </cell>
          <cell r="J1908">
            <v>42752</v>
          </cell>
        </row>
        <row r="1909">
          <cell r="A1909" t="str">
            <v>40943-D357</v>
          </cell>
          <cell r="B1909" t="str">
            <v>Brunello Estates</v>
          </cell>
          <cell r="C1909" t="str">
            <v>FIN Approval - Internal</v>
          </cell>
          <cell r="D1909">
            <v>70</v>
          </cell>
          <cell r="E1909" t="str">
            <v>APPROVED</v>
          </cell>
          <cell r="F1909">
            <v>40755</v>
          </cell>
          <cell r="G1909">
            <v>42612</v>
          </cell>
          <cell r="H1909">
            <v>96988.28</v>
          </cell>
          <cell r="I1909" t="str">
            <v>FIN Submission</v>
          </cell>
          <cell r="J1909">
            <v>42752</v>
          </cell>
        </row>
        <row r="1910">
          <cell r="A1910" t="str">
            <v>43487-T785</v>
          </cell>
          <cell r="B1910" t="str">
            <v>Add Breaker Backup at 81V and 12V</v>
          </cell>
          <cell r="C1910" t="str">
            <v>FIN Approval - Internal</v>
          </cell>
          <cell r="D1910">
            <v>73</v>
          </cell>
          <cell r="E1910" t="str">
            <v>APPROVED</v>
          </cell>
          <cell r="F1910">
            <v>42034</v>
          </cell>
          <cell r="G1910">
            <v>42305</v>
          </cell>
          <cell r="H1910">
            <v>119223.28</v>
          </cell>
          <cell r="I1910" t="str">
            <v>FIN Submission</v>
          </cell>
          <cell r="J1910">
            <v>42752</v>
          </cell>
        </row>
        <row r="1911">
          <cell r="A1911" t="str">
            <v>43054-SB78</v>
          </cell>
          <cell r="B1911" t="str">
            <v>POT - Backpass Refurbishment 2013</v>
          </cell>
          <cell r="C1911" t="str">
            <v>FIN Approval - Internal</v>
          </cell>
          <cell r="D1911">
            <v>73</v>
          </cell>
          <cell r="E1911" t="str">
            <v>APPROVED</v>
          </cell>
          <cell r="F1911">
            <v>41548</v>
          </cell>
          <cell r="G1911">
            <v>41883</v>
          </cell>
          <cell r="H1911">
            <v>166031.57999999999</v>
          </cell>
          <cell r="I1911" t="str">
            <v>FIN Submission</v>
          </cell>
          <cell r="J1911">
            <v>42752</v>
          </cell>
        </row>
        <row r="1912">
          <cell r="A1912" t="str">
            <v>43417-SB97</v>
          </cell>
          <cell r="B1912" t="str">
            <v>POT - UU Repairs to HPDA Heater</v>
          </cell>
          <cell r="C1912" t="str">
            <v>FIN Approval - Internal</v>
          </cell>
          <cell r="D1912">
            <v>74</v>
          </cell>
          <cell r="E1912" t="str">
            <v>APPROVED</v>
          </cell>
          <cell r="F1912">
            <v>41608</v>
          </cell>
          <cell r="G1912">
            <v>41990</v>
          </cell>
          <cell r="H1912">
            <v>91754.8</v>
          </cell>
          <cell r="I1912" t="str">
            <v>FIN Submission</v>
          </cell>
          <cell r="J1912">
            <v>42752</v>
          </cell>
        </row>
        <row r="1913">
          <cell r="A1913" t="str">
            <v>43117-D446</v>
          </cell>
          <cell r="B1913" t="str">
            <v>Prince Street Phase 2</v>
          </cell>
          <cell r="C1913" t="str">
            <v>FIN Approval - Internal</v>
          </cell>
          <cell r="D1913">
            <v>75</v>
          </cell>
          <cell r="E1913" t="str">
            <v>APPROVED</v>
          </cell>
          <cell r="F1913">
            <v>41243</v>
          </cell>
          <cell r="G1913">
            <v>42428</v>
          </cell>
          <cell r="H1913">
            <v>162695.4</v>
          </cell>
          <cell r="I1913" t="str">
            <v>FIN Submission</v>
          </cell>
          <cell r="J1913">
            <v>42752</v>
          </cell>
        </row>
        <row r="1914">
          <cell r="A1914" t="str">
            <v>43089-SA94</v>
          </cell>
          <cell r="B1914" t="str">
            <v xml:space="preserve">POT - UU Safety Eyewash and Shower </v>
          </cell>
          <cell r="C1914" t="str">
            <v>FIN Approval - Internal</v>
          </cell>
          <cell r="D1914">
            <v>79</v>
          </cell>
          <cell r="E1914" t="str">
            <v>APPROVED</v>
          </cell>
          <cell r="F1914">
            <v>41638</v>
          </cell>
          <cell r="G1914">
            <v>42185</v>
          </cell>
          <cell r="H1914">
            <v>344272.13</v>
          </cell>
          <cell r="I1914" t="str">
            <v>FIN Submission</v>
          </cell>
          <cell r="J1914">
            <v>42752</v>
          </cell>
        </row>
        <row r="1915">
          <cell r="A1915" t="str">
            <v>43027-SD38</v>
          </cell>
          <cell r="B1915" t="str">
            <v>POT - Refurbish Dust Collection Are</v>
          </cell>
          <cell r="C1915" t="str">
            <v>FIN Approval - Internal</v>
          </cell>
          <cell r="D1915">
            <v>85</v>
          </cell>
          <cell r="E1915" t="str">
            <v>APPROVED</v>
          </cell>
          <cell r="F1915">
            <v>42277</v>
          </cell>
          <cell r="G1915">
            <v>42734</v>
          </cell>
          <cell r="H1915">
            <v>282827.45</v>
          </cell>
          <cell r="I1915" t="str">
            <v>FIN Submission</v>
          </cell>
          <cell r="J1915">
            <v>42752</v>
          </cell>
        </row>
        <row r="1916">
          <cell r="A1916" t="str">
            <v>40321-T687</v>
          </cell>
          <cell r="B1916" t="str">
            <v>Canaan Rd to Highbury Trans Line</v>
          </cell>
          <cell r="C1916" t="str">
            <v>FIN Approval - Internal</v>
          </cell>
          <cell r="D1916">
            <v>86</v>
          </cell>
          <cell r="E1916" t="str">
            <v>APPROVED</v>
          </cell>
          <cell r="F1916">
            <v>41243</v>
          </cell>
          <cell r="G1916">
            <v>41698</v>
          </cell>
          <cell r="H1916">
            <v>2044742.03</v>
          </cell>
          <cell r="I1916" t="str">
            <v>FIN Submission</v>
          </cell>
          <cell r="J1916">
            <v>42752</v>
          </cell>
        </row>
        <row r="1917">
          <cell r="A1917" t="str">
            <v>41584-SA86</v>
          </cell>
          <cell r="B1917" t="str">
            <v>POT Vacuum Pump Replacement</v>
          </cell>
          <cell r="C1917" t="str">
            <v>FIN Approval - Internal</v>
          </cell>
          <cell r="D1917">
            <v>89</v>
          </cell>
          <cell r="E1917" t="str">
            <v>APPROVED</v>
          </cell>
          <cell r="F1917">
            <v>41638</v>
          </cell>
          <cell r="G1917">
            <v>42551</v>
          </cell>
          <cell r="H1917">
            <v>247361.78</v>
          </cell>
          <cell r="I1917" t="str">
            <v>FIN Submission</v>
          </cell>
          <cell r="J1917">
            <v>42752</v>
          </cell>
        </row>
        <row r="1918">
          <cell r="A1918" t="str">
            <v>40789-T666</v>
          </cell>
          <cell r="B1918" t="str">
            <v>Upgrade L7005</v>
          </cell>
          <cell r="C1918" t="str">
            <v>FIN Approval - Internal</v>
          </cell>
          <cell r="D1918">
            <v>113</v>
          </cell>
          <cell r="E1918" t="str">
            <v>APPROVED</v>
          </cell>
          <cell r="F1918">
            <v>41942</v>
          </cell>
          <cell r="G1918">
            <v>42369</v>
          </cell>
          <cell r="H1918">
            <v>305021.65000000002</v>
          </cell>
          <cell r="I1918" t="str">
            <v>FIN Submission</v>
          </cell>
          <cell r="J1918">
            <v>42752</v>
          </cell>
        </row>
        <row r="1919">
          <cell r="A1919" t="str">
            <v>40334-S782</v>
          </cell>
          <cell r="B1919" t="str">
            <v xml:space="preserve">POT - Refurbish underground valves </v>
          </cell>
          <cell r="C1919" t="str">
            <v>FIN Approval - Internal</v>
          </cell>
          <cell r="D1919">
            <v>116</v>
          </cell>
          <cell r="E1919" t="str">
            <v>APPROVED</v>
          </cell>
          <cell r="F1919">
            <v>42063</v>
          </cell>
          <cell r="G1919">
            <v>42734</v>
          </cell>
          <cell r="H1919">
            <v>128235.63</v>
          </cell>
          <cell r="I1919" t="str">
            <v>FIN Submission</v>
          </cell>
          <cell r="J1919">
            <v>42752</v>
          </cell>
        </row>
        <row r="1920">
          <cell r="A1920" t="str">
            <v>38108-SA35</v>
          </cell>
          <cell r="B1920" t="str">
            <v>POT - AVR Replacement</v>
          </cell>
          <cell r="C1920" t="str">
            <v>FIN Approval - Internal</v>
          </cell>
          <cell r="D1920">
            <v>147</v>
          </cell>
          <cell r="E1920" t="str">
            <v>APPROVED</v>
          </cell>
          <cell r="F1920">
            <v>42262</v>
          </cell>
          <cell r="G1920">
            <v>42663</v>
          </cell>
          <cell r="H1920">
            <v>339613.28</v>
          </cell>
          <cell r="I1920" t="str">
            <v>FIN Submission</v>
          </cell>
          <cell r="J1920">
            <v>42752</v>
          </cell>
        </row>
        <row r="1921">
          <cell r="A1921" t="str">
            <v>37885-SB31</v>
          </cell>
          <cell r="B1921" t="str">
            <v>POT - Lubrication and Chem Storage</v>
          </cell>
          <cell r="C1921" t="str">
            <v>FIN Approval - Internal</v>
          </cell>
          <cell r="D1921">
            <v>148</v>
          </cell>
          <cell r="E1921" t="str">
            <v>APPROVED</v>
          </cell>
          <cell r="F1921">
            <v>42154</v>
          </cell>
          <cell r="G1921">
            <v>42339</v>
          </cell>
          <cell r="H1921">
            <v>404928.65</v>
          </cell>
          <cell r="I1921" t="str">
            <v>FIN Submission</v>
          </cell>
          <cell r="J1921">
            <v>42752</v>
          </cell>
        </row>
        <row r="1922">
          <cell r="A1922" t="str">
            <v>30162-SB13</v>
          </cell>
          <cell r="B1922" t="str">
            <v>POT - Bunker C tank refurbishment</v>
          </cell>
          <cell r="C1922" t="str">
            <v>FIN Approval - Internal</v>
          </cell>
          <cell r="D1922">
            <v>169</v>
          </cell>
          <cell r="E1922" t="str">
            <v>APPROVED</v>
          </cell>
          <cell r="F1922">
            <v>42215</v>
          </cell>
          <cell r="G1922">
            <v>43081</v>
          </cell>
          <cell r="H1922">
            <v>2317474.37</v>
          </cell>
          <cell r="I1922" t="str">
            <v>FIN Submission</v>
          </cell>
          <cell r="J1922">
            <v>42752</v>
          </cell>
        </row>
        <row r="1923">
          <cell r="A1923" t="str">
            <v>30062-SB94</v>
          </cell>
          <cell r="B1923" t="str">
            <v>POT - Resin Replacement - Polishers</v>
          </cell>
          <cell r="C1923" t="str">
            <v>FIN Approval - Internal</v>
          </cell>
          <cell r="D1923">
            <v>169</v>
          </cell>
          <cell r="E1923" t="str">
            <v>APPROVED</v>
          </cell>
          <cell r="F1923">
            <v>41973</v>
          </cell>
          <cell r="G1923">
            <v>42281</v>
          </cell>
          <cell r="H1923">
            <v>81843.759999999995</v>
          </cell>
          <cell r="I1923" t="str">
            <v>FIN Submission</v>
          </cell>
          <cell r="J1923">
            <v>42752</v>
          </cell>
        </row>
        <row r="1924">
          <cell r="A1924" t="str">
            <v>28288-SD78</v>
          </cell>
          <cell r="B1924" t="str">
            <v>POT Turbine Supervisory Equipment U</v>
          </cell>
          <cell r="C1924" t="str">
            <v>FIN Approval - Internal</v>
          </cell>
          <cell r="D1924">
            <v>176</v>
          </cell>
          <cell r="E1924" t="str">
            <v>APPROVED</v>
          </cell>
          <cell r="F1924">
            <v>42277</v>
          </cell>
          <cell r="G1924">
            <v>42734</v>
          </cell>
          <cell r="H1924">
            <v>841980.01</v>
          </cell>
          <cell r="I1924" t="str">
            <v>FIN Submission</v>
          </cell>
          <cell r="J1924">
            <v>42752</v>
          </cell>
        </row>
        <row r="1925">
          <cell r="A1925" t="str">
            <v>18448-S985</v>
          </cell>
          <cell r="B1925" t="str">
            <v>TUC Cooling Water System Biofoul</v>
          </cell>
          <cell r="C1925" t="str">
            <v>FIN Approval - Internal</v>
          </cell>
          <cell r="D1925">
            <v>185</v>
          </cell>
          <cell r="E1925" t="str">
            <v>APPROVED</v>
          </cell>
          <cell r="F1925">
            <v>42155</v>
          </cell>
          <cell r="G1925">
            <v>42460</v>
          </cell>
          <cell r="H1925">
            <v>4597347.32</v>
          </cell>
          <cell r="I1925" t="str">
            <v>FIN Submission</v>
          </cell>
          <cell r="J1925">
            <v>42752</v>
          </cell>
        </row>
        <row r="1926">
          <cell r="A1926" t="str">
            <v>28095-P702</v>
          </cell>
          <cell r="B1926" t="str">
            <v>PEOPLESOFT VERSION 8.9 UPGRADE</v>
          </cell>
          <cell r="C1926" t="str">
            <v>FIN Approval - Internal</v>
          </cell>
          <cell r="D1926">
            <v>6</v>
          </cell>
          <cell r="E1926" t="str">
            <v>APPROVED</v>
          </cell>
          <cell r="F1926">
            <v>39015</v>
          </cell>
          <cell r="G1926">
            <v>39294</v>
          </cell>
          <cell r="H1926">
            <v>404821.49</v>
          </cell>
          <cell r="I1926" t="str">
            <v>FIN Submission</v>
          </cell>
          <cell r="J1926">
            <v>42751</v>
          </cell>
        </row>
        <row r="1927">
          <cell r="A1927" t="str">
            <v>48212-SE91</v>
          </cell>
          <cell r="B1927" t="str">
            <v>LIN UU Crusher Rebuild</v>
          </cell>
          <cell r="C1927" t="str">
            <v>FIN Approval - Internal</v>
          </cell>
          <cell r="D1927">
            <v>23</v>
          </cell>
          <cell r="E1927" t="str">
            <v>APPROVED</v>
          </cell>
          <cell r="F1927">
            <v>42308</v>
          </cell>
          <cell r="G1927">
            <v>42369</v>
          </cell>
          <cell r="H1927">
            <v>142084.16</v>
          </cell>
          <cell r="I1927" t="str">
            <v>FIN Submission</v>
          </cell>
          <cell r="J1927">
            <v>42751</v>
          </cell>
        </row>
        <row r="1928">
          <cell r="A1928" t="str">
            <v>47880-SE74</v>
          </cell>
          <cell r="B1928" t="str">
            <v>LIN UU B-Belt Tail Modifications</v>
          </cell>
          <cell r="C1928" t="str">
            <v>FIN Approval - Internal</v>
          </cell>
          <cell r="D1928">
            <v>28</v>
          </cell>
          <cell r="E1928" t="str">
            <v>APPROVED</v>
          </cell>
          <cell r="F1928">
            <v>42277</v>
          </cell>
          <cell r="G1928">
            <v>42369</v>
          </cell>
          <cell r="H1928">
            <v>245359.98</v>
          </cell>
          <cell r="I1928" t="str">
            <v>FIN Submission</v>
          </cell>
          <cell r="J1928">
            <v>42751</v>
          </cell>
        </row>
        <row r="1929">
          <cell r="A1929" t="str">
            <v>47371-P963</v>
          </cell>
          <cell r="B1929" t="str">
            <v>Freeman Lumber LIIR</v>
          </cell>
          <cell r="C1929" t="str">
            <v>FIN Approval - Internal</v>
          </cell>
          <cell r="D1929">
            <v>30</v>
          </cell>
          <cell r="E1929" t="str">
            <v>APPROVED</v>
          </cell>
          <cell r="F1929">
            <v>42185</v>
          </cell>
          <cell r="G1929">
            <v>42673</v>
          </cell>
          <cell r="H1929">
            <v>0</v>
          </cell>
          <cell r="I1929" t="str">
            <v>FIN Submission</v>
          </cell>
          <cell r="J1929">
            <v>42751</v>
          </cell>
        </row>
        <row r="1930">
          <cell r="A1930" t="str">
            <v>47556-SE51</v>
          </cell>
          <cell r="B1930" t="str">
            <v>LIN2 UU Burner Front Refurbish 2015</v>
          </cell>
          <cell r="C1930" t="str">
            <v>FIN Approval - Internal</v>
          </cell>
          <cell r="D1930">
            <v>30</v>
          </cell>
          <cell r="E1930" t="str">
            <v>APPROVED</v>
          </cell>
          <cell r="F1930">
            <v>42190</v>
          </cell>
          <cell r="G1930">
            <v>42343</v>
          </cell>
          <cell r="H1930">
            <v>143247.04999999999</v>
          </cell>
          <cell r="I1930" t="str">
            <v>FIN Submission</v>
          </cell>
          <cell r="J1930">
            <v>42751</v>
          </cell>
        </row>
        <row r="1931">
          <cell r="A1931" t="str">
            <v>47372-SE44</v>
          </cell>
          <cell r="B1931" t="str">
            <v>LIN UU Skid Steer Tractor Repl.</v>
          </cell>
          <cell r="C1931" t="str">
            <v>FIN Approval - Internal</v>
          </cell>
          <cell r="D1931">
            <v>31</v>
          </cell>
          <cell r="E1931" t="str">
            <v>APPROVED</v>
          </cell>
          <cell r="F1931">
            <v>42246</v>
          </cell>
          <cell r="G1931">
            <v>42460</v>
          </cell>
          <cell r="H1931">
            <v>46564.46</v>
          </cell>
          <cell r="I1931" t="str">
            <v>FIN Submission</v>
          </cell>
          <cell r="J1931">
            <v>42751</v>
          </cell>
        </row>
        <row r="1932">
          <cell r="A1932" t="str">
            <v>47401-SE38</v>
          </cell>
          <cell r="B1932" t="str">
            <v>LIN3 UU Misc. Valve Refurbishment</v>
          </cell>
          <cell r="C1932" t="str">
            <v>FIN Approval - Internal</v>
          </cell>
          <cell r="D1932">
            <v>32</v>
          </cell>
          <cell r="E1932" t="str">
            <v>APPROVED</v>
          </cell>
          <cell r="F1932">
            <v>42156</v>
          </cell>
          <cell r="G1932">
            <v>42339</v>
          </cell>
          <cell r="H1932">
            <v>247349.98</v>
          </cell>
          <cell r="I1932" t="str">
            <v>FIN Submission</v>
          </cell>
          <cell r="J1932">
            <v>42751</v>
          </cell>
        </row>
        <row r="1933">
          <cell r="A1933" t="str">
            <v>43032-SB61</v>
          </cell>
          <cell r="B1933" t="str">
            <v>POT - ACW Strainer Replacement</v>
          </cell>
          <cell r="C1933" t="str">
            <v>FIN Approval - Internal</v>
          </cell>
          <cell r="D1933">
            <v>33</v>
          </cell>
          <cell r="E1933" t="str">
            <v>APPROVED</v>
          </cell>
          <cell r="F1933">
            <v>41639</v>
          </cell>
          <cell r="G1933">
            <v>41796</v>
          </cell>
          <cell r="H1933">
            <v>130468.67</v>
          </cell>
          <cell r="I1933" t="str">
            <v>FIN Submission</v>
          </cell>
          <cell r="J1933">
            <v>42751</v>
          </cell>
        </row>
        <row r="1934">
          <cell r="A1934" t="str">
            <v>47400-SE37</v>
          </cell>
          <cell r="B1934" t="str">
            <v>LIN3 U&amp;U 8th Stg Dia. &amp; Spill Strip</v>
          </cell>
          <cell r="C1934" t="str">
            <v>FIN Approval - Internal</v>
          </cell>
          <cell r="D1934">
            <v>36</v>
          </cell>
          <cell r="E1934" t="str">
            <v>APPROVED</v>
          </cell>
          <cell r="F1934">
            <v>42155</v>
          </cell>
          <cell r="G1934">
            <v>42491</v>
          </cell>
          <cell r="H1934">
            <v>895280.48</v>
          </cell>
          <cell r="I1934" t="str">
            <v>FIN Submission</v>
          </cell>
          <cell r="J1934">
            <v>42751</v>
          </cell>
        </row>
        <row r="1935">
          <cell r="A1935" t="str">
            <v>46553-SE04</v>
          </cell>
          <cell r="B1935" t="str">
            <v>LIN - Dissolved O2 Analyzer  Repls.</v>
          </cell>
          <cell r="C1935" t="str">
            <v>FIN Approval - Internal</v>
          </cell>
          <cell r="D1935">
            <v>41</v>
          </cell>
          <cell r="E1935" t="str">
            <v>APPROVED</v>
          </cell>
          <cell r="F1935">
            <v>42213</v>
          </cell>
          <cell r="G1935">
            <v>42366</v>
          </cell>
          <cell r="H1935">
            <v>128280.56</v>
          </cell>
          <cell r="I1935" t="str">
            <v>FIN Submission</v>
          </cell>
          <cell r="J1935">
            <v>42751</v>
          </cell>
        </row>
        <row r="1936">
          <cell r="A1936" t="str">
            <v>46508-SD90</v>
          </cell>
          <cell r="B1936" t="str">
            <v>LIN2 Boiler Refurbishment 2015</v>
          </cell>
          <cell r="C1936" t="str">
            <v>FIN Approval - Internal</v>
          </cell>
          <cell r="D1936">
            <v>42</v>
          </cell>
          <cell r="E1936" t="str">
            <v>APPROVED</v>
          </cell>
          <cell r="F1936">
            <v>42247</v>
          </cell>
          <cell r="G1936">
            <v>42358</v>
          </cell>
          <cell r="H1936">
            <v>353372.99</v>
          </cell>
          <cell r="I1936" t="str">
            <v>FIN Submission</v>
          </cell>
          <cell r="J1936">
            <v>42751</v>
          </cell>
        </row>
        <row r="1937">
          <cell r="A1937" t="str">
            <v>46271-SE68</v>
          </cell>
          <cell r="B1937" t="str">
            <v>LIN3 Ash Incline Structural Refurb</v>
          </cell>
          <cell r="C1937" t="str">
            <v>FIN Approval - Internal</v>
          </cell>
          <cell r="D1937">
            <v>44</v>
          </cell>
          <cell r="E1937" t="str">
            <v>APPROVED</v>
          </cell>
          <cell r="F1937">
            <v>42307</v>
          </cell>
          <cell r="G1937">
            <v>42369</v>
          </cell>
          <cell r="H1937">
            <v>83854.16</v>
          </cell>
          <cell r="I1937" t="str">
            <v>FIN Submission</v>
          </cell>
          <cell r="J1937">
            <v>42751</v>
          </cell>
        </row>
        <row r="1938">
          <cell r="A1938" t="str">
            <v>46231-SD15</v>
          </cell>
          <cell r="B1938" t="str">
            <v>LIN4 UU BA Structural Refurbishment</v>
          </cell>
          <cell r="C1938" t="str">
            <v>FIN Approval - Internal</v>
          </cell>
          <cell r="D1938">
            <v>44</v>
          </cell>
          <cell r="E1938" t="str">
            <v>APPROVED</v>
          </cell>
          <cell r="F1938">
            <v>41835</v>
          </cell>
          <cell r="G1938">
            <v>42247</v>
          </cell>
          <cell r="H1938">
            <v>194430.48</v>
          </cell>
          <cell r="I1938" t="str">
            <v>FIN Submission</v>
          </cell>
          <cell r="J1938">
            <v>42751</v>
          </cell>
        </row>
        <row r="1939">
          <cell r="A1939" t="str">
            <v>46432-SD30</v>
          </cell>
          <cell r="B1939" t="str">
            <v>LIN UU Coal System Refurbishment</v>
          </cell>
          <cell r="C1939" t="str">
            <v>FIN Approval - Internal</v>
          </cell>
          <cell r="D1939">
            <v>45</v>
          </cell>
          <cell r="E1939" t="str">
            <v>APPROVED</v>
          </cell>
          <cell r="F1939">
            <v>41943</v>
          </cell>
          <cell r="G1939">
            <v>42345</v>
          </cell>
          <cell r="H1939">
            <v>247626.74</v>
          </cell>
          <cell r="I1939" t="str">
            <v>FIN Submission</v>
          </cell>
          <cell r="J1939">
            <v>42751</v>
          </cell>
        </row>
        <row r="1940">
          <cell r="A1940" t="str">
            <v>46030-D586</v>
          </cell>
          <cell r="B1940" t="str">
            <v>640V Mill Village Stepdown Upgrade</v>
          </cell>
          <cell r="C1940" t="str">
            <v>FIN Approval - Internal</v>
          </cell>
          <cell r="D1940">
            <v>47</v>
          </cell>
          <cell r="E1940" t="str">
            <v>APPROVED</v>
          </cell>
          <cell r="F1940">
            <v>42003</v>
          </cell>
          <cell r="G1940">
            <v>42185</v>
          </cell>
          <cell r="H1940">
            <v>18705</v>
          </cell>
          <cell r="I1940" t="str">
            <v>FIN Submission</v>
          </cell>
          <cell r="J1940">
            <v>42751</v>
          </cell>
        </row>
        <row r="1941">
          <cell r="A1941" t="str">
            <v>45818-SC62</v>
          </cell>
          <cell r="B1941" t="str">
            <v>LIN - UU Flyash System Refurb.</v>
          </cell>
          <cell r="C1941" t="str">
            <v>FIN Approval - Internal</v>
          </cell>
          <cell r="D1941">
            <v>48</v>
          </cell>
          <cell r="E1941" t="str">
            <v>APPROVED</v>
          </cell>
          <cell r="F1941">
            <v>41729</v>
          </cell>
          <cell r="G1941">
            <v>42460</v>
          </cell>
          <cell r="H1941">
            <v>246956.73</v>
          </cell>
          <cell r="I1941" t="str">
            <v>FIN Submission</v>
          </cell>
          <cell r="J1941">
            <v>42751</v>
          </cell>
        </row>
        <row r="1942">
          <cell r="A1942" t="str">
            <v>45810-SC61</v>
          </cell>
          <cell r="B1942" t="str">
            <v>LIN UU Boiler Feed Pump Refurb.</v>
          </cell>
          <cell r="C1942" t="str">
            <v>FIN Approval - Internal</v>
          </cell>
          <cell r="D1942">
            <v>49</v>
          </cell>
          <cell r="E1942" t="str">
            <v>APPROVED</v>
          </cell>
          <cell r="F1942">
            <v>41864</v>
          </cell>
          <cell r="G1942">
            <v>42308</v>
          </cell>
          <cell r="H1942">
            <v>171864.13</v>
          </cell>
          <cell r="I1942" t="str">
            <v>FIN Submission</v>
          </cell>
          <cell r="J1942">
            <v>42751</v>
          </cell>
        </row>
        <row r="1943">
          <cell r="A1943" t="str">
            <v>45970-SD02</v>
          </cell>
          <cell r="B1943" t="str">
            <v>LIN4 UU 4B Boiler Feed Pump Rebuild</v>
          </cell>
          <cell r="C1943" t="str">
            <v>FIN Approval - Internal</v>
          </cell>
          <cell r="D1943">
            <v>49</v>
          </cell>
          <cell r="E1943" t="str">
            <v>APPROVED</v>
          </cell>
          <cell r="F1943">
            <v>41882</v>
          </cell>
          <cell r="G1943">
            <v>42460</v>
          </cell>
          <cell r="H1943">
            <v>248556.76</v>
          </cell>
          <cell r="I1943" t="str">
            <v>FIN Submission</v>
          </cell>
          <cell r="J1943">
            <v>42751</v>
          </cell>
        </row>
        <row r="1944">
          <cell r="A1944" t="str">
            <v>45670-SC37</v>
          </cell>
          <cell r="B1944" t="str">
            <v>LIN3 - U&amp;U SH#5 Tube Refurbishment</v>
          </cell>
          <cell r="C1944" t="str">
            <v>FIN Approval - Internal</v>
          </cell>
          <cell r="D1944">
            <v>52</v>
          </cell>
          <cell r="E1944" t="str">
            <v>APPROVED</v>
          </cell>
          <cell r="F1944">
            <v>41645</v>
          </cell>
          <cell r="G1944">
            <v>41882</v>
          </cell>
          <cell r="H1944">
            <v>331601.05</v>
          </cell>
          <cell r="I1944" t="str">
            <v>FIN Submission</v>
          </cell>
          <cell r="J1944">
            <v>42751</v>
          </cell>
        </row>
        <row r="1945">
          <cell r="A1945" t="str">
            <v>45881-P934</v>
          </cell>
          <cell r="B1945" t="str">
            <v>IT- P&amp;A Windows Server 2003 Upgrade</v>
          </cell>
          <cell r="C1945" t="str">
            <v>FIN Approval - External</v>
          </cell>
          <cell r="D1945">
            <v>55</v>
          </cell>
          <cell r="E1945" t="str">
            <v>APPROVED</v>
          </cell>
          <cell r="F1945">
            <v>42277</v>
          </cell>
          <cell r="G1945">
            <v>42735</v>
          </cell>
          <cell r="H1945">
            <v>1908430.67</v>
          </cell>
          <cell r="I1945" t="str">
            <v>FIN Submission</v>
          </cell>
          <cell r="J1945">
            <v>42751</v>
          </cell>
        </row>
        <row r="1946">
          <cell r="A1946" t="str">
            <v>45182-T784</v>
          </cell>
          <cell r="B1946" t="str">
            <v>U&amp;U - 40H Install 25kV Transformer</v>
          </cell>
          <cell r="C1946" t="str">
            <v>FIN Approval - Internal</v>
          </cell>
          <cell r="D1946">
            <v>55</v>
          </cell>
          <cell r="E1946" t="str">
            <v>APPROVED</v>
          </cell>
          <cell r="F1946">
            <v>41577</v>
          </cell>
          <cell r="G1946">
            <v>42094</v>
          </cell>
          <cell r="H1946">
            <v>119931.01</v>
          </cell>
          <cell r="I1946" t="str">
            <v>FIN Submission</v>
          </cell>
          <cell r="J1946">
            <v>42751</v>
          </cell>
        </row>
        <row r="1947">
          <cell r="A1947" t="str">
            <v>44982-T797</v>
          </cell>
          <cell r="B1947" t="str">
            <v>New Spare Transformer Replac 20W-T1</v>
          </cell>
          <cell r="C1947" t="str">
            <v>FIN Approval - Internal</v>
          </cell>
          <cell r="D1947">
            <v>58</v>
          </cell>
          <cell r="E1947" t="str">
            <v>APPROVED</v>
          </cell>
          <cell r="F1947">
            <v>42125</v>
          </cell>
          <cell r="G1947">
            <v>42734</v>
          </cell>
          <cell r="H1947">
            <v>291873.68</v>
          </cell>
          <cell r="I1947" t="str">
            <v>FIN Submission</v>
          </cell>
          <cell r="J1947">
            <v>42751</v>
          </cell>
        </row>
        <row r="1948">
          <cell r="A1948" t="str">
            <v>44975-T806</v>
          </cell>
          <cell r="B1948" t="str">
            <v>Sacrificial Anode Installation Ph 1</v>
          </cell>
          <cell r="C1948" t="str">
            <v>FIN Approval - Internal</v>
          </cell>
          <cell r="D1948">
            <v>58</v>
          </cell>
          <cell r="E1948" t="str">
            <v>APPROVED</v>
          </cell>
          <cell r="F1948">
            <v>41935</v>
          </cell>
          <cell r="G1948">
            <v>42490</v>
          </cell>
          <cell r="H1948">
            <v>784409.1</v>
          </cell>
          <cell r="I1948" t="str">
            <v>FIN Submission</v>
          </cell>
          <cell r="J1948">
            <v>42751</v>
          </cell>
        </row>
        <row r="1949">
          <cell r="A1949" t="str">
            <v>44362-SC75</v>
          </cell>
          <cell r="B1949" t="str">
            <v>LIN 34 Feedwater Valves</v>
          </cell>
          <cell r="C1949" t="str">
            <v>FIN Approval - Internal</v>
          </cell>
          <cell r="D1949">
            <v>60</v>
          </cell>
          <cell r="E1949" t="str">
            <v>APPROVED</v>
          </cell>
          <cell r="F1949">
            <v>41908</v>
          </cell>
          <cell r="G1949">
            <v>42428</v>
          </cell>
          <cell r="H1949">
            <v>67018.36</v>
          </cell>
          <cell r="I1949" t="str">
            <v>FIN Submission</v>
          </cell>
          <cell r="J1949">
            <v>42751</v>
          </cell>
        </row>
        <row r="1950">
          <cell r="A1950" t="str">
            <v>44352-SC49</v>
          </cell>
          <cell r="B1950" t="str">
            <v>LIN CW Screen Refurbish</v>
          </cell>
          <cell r="C1950" t="str">
            <v>FIN Approval - Internal</v>
          </cell>
          <cell r="D1950">
            <v>61</v>
          </cell>
          <cell r="E1950" t="str">
            <v>APPROVED</v>
          </cell>
          <cell r="F1950">
            <v>41961</v>
          </cell>
          <cell r="G1950">
            <v>42216</v>
          </cell>
          <cell r="H1950">
            <v>281607.90999999997</v>
          </cell>
          <cell r="I1950" t="str">
            <v>FIN Submission</v>
          </cell>
          <cell r="J1950">
            <v>42751</v>
          </cell>
        </row>
        <row r="1951">
          <cell r="A1951" t="str">
            <v>41446-SA54</v>
          </cell>
          <cell r="B1951" t="str">
            <v xml:space="preserve">POT- Emergency response team (ERT) </v>
          </cell>
          <cell r="C1951" t="str">
            <v>FIN Approval - Internal</v>
          </cell>
          <cell r="D1951">
            <v>63</v>
          </cell>
          <cell r="E1951" t="str">
            <v>APPROVED</v>
          </cell>
          <cell r="F1951">
            <v>41182</v>
          </cell>
          <cell r="G1951">
            <v>41306</v>
          </cell>
          <cell r="H1951">
            <v>82592.899999999994</v>
          </cell>
          <cell r="I1951" t="str">
            <v>FIN Submission</v>
          </cell>
          <cell r="J1951">
            <v>42751</v>
          </cell>
        </row>
        <row r="1952">
          <cell r="A1952" t="str">
            <v>43169-SB65</v>
          </cell>
          <cell r="B1952" t="str">
            <v>LIN CW Screen Refurbishment 2013</v>
          </cell>
          <cell r="C1952" t="str">
            <v>FIN Approval - Internal</v>
          </cell>
          <cell r="D1952">
            <v>74</v>
          </cell>
          <cell r="E1952" t="str">
            <v>APPROVED</v>
          </cell>
          <cell r="F1952">
            <v>41540</v>
          </cell>
          <cell r="G1952">
            <v>42124</v>
          </cell>
          <cell r="H1952">
            <v>276335.73</v>
          </cell>
          <cell r="I1952" t="str">
            <v>FIN Submission</v>
          </cell>
          <cell r="J1952">
            <v>42751</v>
          </cell>
        </row>
        <row r="1953">
          <cell r="A1953" t="str">
            <v>43427-T776</v>
          </cell>
          <cell r="B1953" t="str">
            <v>62N-510 Breaker &amp; Control Replace</v>
          </cell>
          <cell r="C1953" t="str">
            <v>FIN Approval - Internal</v>
          </cell>
          <cell r="D1953">
            <v>77</v>
          </cell>
          <cell r="E1953" t="str">
            <v>APPROVED</v>
          </cell>
          <cell r="F1953">
            <v>42063</v>
          </cell>
          <cell r="G1953">
            <v>42217</v>
          </cell>
          <cell r="H1953">
            <v>515620.29</v>
          </cell>
          <cell r="I1953" t="str">
            <v>FIN Submission</v>
          </cell>
          <cell r="J1953">
            <v>42751</v>
          </cell>
        </row>
        <row r="1954">
          <cell r="A1954" t="str">
            <v>39144-P825</v>
          </cell>
          <cell r="B1954" t="str">
            <v>U&amp;U PowerPlant Version 10 Upgrade</v>
          </cell>
          <cell r="C1954" t="str">
            <v>FIN Approval - Internal</v>
          </cell>
          <cell r="D1954">
            <v>99</v>
          </cell>
          <cell r="E1954" t="str">
            <v>APPROVED</v>
          </cell>
          <cell r="F1954">
            <v>40344</v>
          </cell>
          <cell r="G1954">
            <v>40512</v>
          </cell>
          <cell r="H1954">
            <v>380574.86</v>
          </cell>
          <cell r="I1954" t="str">
            <v>FIN Submission</v>
          </cell>
          <cell r="J1954">
            <v>42751</v>
          </cell>
        </row>
        <row r="1955">
          <cell r="A1955" t="str">
            <v>38879-S535</v>
          </cell>
          <cell r="B1955" t="str">
            <v xml:space="preserve">POT- Thermal Fleet Licensing </v>
          </cell>
          <cell r="C1955" t="str">
            <v>FIN Approval - Internal</v>
          </cell>
          <cell r="D1955">
            <v>103</v>
          </cell>
          <cell r="E1955" t="str">
            <v>APPROVED</v>
          </cell>
          <cell r="F1955">
            <v>40543</v>
          </cell>
          <cell r="G1955">
            <v>40543</v>
          </cell>
          <cell r="H1955">
            <v>26485.87</v>
          </cell>
          <cell r="I1955" t="str">
            <v>FIN Submission</v>
          </cell>
          <cell r="J1955">
            <v>42751</v>
          </cell>
        </row>
        <row r="1956">
          <cell r="A1956" t="str">
            <v>41420-P888</v>
          </cell>
          <cell r="B1956" t="str">
            <v>Upgrade Multiplexer Network Manager</v>
          </cell>
          <cell r="C1956" t="str">
            <v>FIN Approval - Internal</v>
          </cell>
          <cell r="D1956">
            <v>103</v>
          </cell>
          <cell r="E1956" t="str">
            <v>APPROVED</v>
          </cell>
          <cell r="F1956">
            <v>41698</v>
          </cell>
          <cell r="G1956">
            <v>42307</v>
          </cell>
          <cell r="H1956">
            <v>295431.14</v>
          </cell>
          <cell r="I1956" t="str">
            <v>FIN Submission</v>
          </cell>
          <cell r="J1956">
            <v>42751</v>
          </cell>
        </row>
        <row r="1957">
          <cell r="A1957" t="str">
            <v>41125-SA23</v>
          </cell>
          <cell r="B1957" t="str">
            <v>LIN - Common Water (CW) Piping Repl</v>
          </cell>
          <cell r="C1957" t="str">
            <v>FIN Approval - Internal</v>
          </cell>
          <cell r="D1957">
            <v>106</v>
          </cell>
          <cell r="E1957" t="str">
            <v>APPROVED</v>
          </cell>
          <cell r="F1957">
            <v>41568</v>
          </cell>
          <cell r="G1957">
            <v>42490</v>
          </cell>
          <cell r="H1957">
            <v>187704.25</v>
          </cell>
          <cell r="I1957" t="str">
            <v>FIN Submission</v>
          </cell>
          <cell r="J1957">
            <v>42751</v>
          </cell>
        </row>
        <row r="1958">
          <cell r="A1958" t="str">
            <v>41404-P885</v>
          </cell>
          <cell r="B1958" t="str">
            <v xml:space="preserve">Multiplexer Group Replacement </v>
          </cell>
          <cell r="C1958" t="str">
            <v>FIN Approval - Internal</v>
          </cell>
          <cell r="D1958">
            <v>106</v>
          </cell>
          <cell r="E1958" t="str">
            <v>APPROVED</v>
          </cell>
          <cell r="F1958">
            <v>42003</v>
          </cell>
          <cell r="G1958">
            <v>42704</v>
          </cell>
          <cell r="H1958">
            <v>132980.16</v>
          </cell>
          <cell r="I1958" t="str">
            <v>FIN Submission</v>
          </cell>
          <cell r="J1958">
            <v>42751</v>
          </cell>
        </row>
        <row r="1959">
          <cell r="A1959" t="str">
            <v>40283-H651</v>
          </cell>
          <cell r="B1959" t="str">
            <v>HYD - Wrights Lake Dam Refurbishmen</v>
          </cell>
          <cell r="C1959" t="str">
            <v>FIN Approval - Internal</v>
          </cell>
          <cell r="D1959">
            <v>126</v>
          </cell>
          <cell r="E1959" t="str">
            <v>APPROVED</v>
          </cell>
          <cell r="F1959">
            <v>42308</v>
          </cell>
          <cell r="G1959">
            <v>42582</v>
          </cell>
          <cell r="H1959">
            <v>1773704.62</v>
          </cell>
          <cell r="I1959" t="str">
            <v>FIN Submission</v>
          </cell>
          <cell r="J1959">
            <v>42751</v>
          </cell>
        </row>
        <row r="1960">
          <cell r="A1960" t="str">
            <v>40278-P855</v>
          </cell>
          <cell r="B1960" t="str">
            <v>OMS Replacement</v>
          </cell>
          <cell r="C1960" t="str">
            <v>FIN Approval - Internal</v>
          </cell>
          <cell r="D1960">
            <v>131</v>
          </cell>
          <cell r="E1960" t="str">
            <v>APPROVED</v>
          </cell>
          <cell r="F1960">
            <v>42124</v>
          </cell>
          <cell r="G1960">
            <v>42704</v>
          </cell>
          <cell r="H1960">
            <v>4184221.45</v>
          </cell>
          <cell r="I1960" t="str">
            <v>FIN Submission</v>
          </cell>
          <cell r="J1960">
            <v>42751</v>
          </cell>
        </row>
        <row r="1961">
          <cell r="A1961" t="str">
            <v>38182-P863</v>
          </cell>
          <cell r="B1961" t="str">
            <v>2010 Backup Control Centre</v>
          </cell>
          <cell r="C1961" t="str">
            <v>FIN Approval - Internal</v>
          </cell>
          <cell r="D1961">
            <v>141</v>
          </cell>
          <cell r="E1961" t="str">
            <v>APPROVED</v>
          </cell>
          <cell r="F1961">
            <v>41029</v>
          </cell>
          <cell r="G1961">
            <v>42094</v>
          </cell>
          <cell r="H1961">
            <v>3317342.27</v>
          </cell>
          <cell r="I1961" t="str">
            <v>FIN Submission</v>
          </cell>
          <cell r="J1961">
            <v>42751</v>
          </cell>
        </row>
        <row r="1962">
          <cell r="A1962" t="str">
            <v>37611-S925</v>
          </cell>
          <cell r="B1962" t="str">
            <v>LIN3 - Generator Excitation &amp; AVR R</v>
          </cell>
          <cell r="C1962" t="str">
            <v>FIN Approval - Internal</v>
          </cell>
          <cell r="D1962">
            <v>156</v>
          </cell>
          <cell r="E1962" t="str">
            <v>APPROVED</v>
          </cell>
          <cell r="F1962">
            <v>42215</v>
          </cell>
          <cell r="G1962">
            <v>42735</v>
          </cell>
          <cell r="H1962">
            <v>850661</v>
          </cell>
          <cell r="I1962" t="str">
            <v>FIN Submission</v>
          </cell>
          <cell r="J1962">
            <v>42751</v>
          </cell>
        </row>
        <row r="1963">
          <cell r="A1963" t="str">
            <v>45329-SC32</v>
          </cell>
          <cell r="B1963" t="str">
            <v>LIN4 PAC System Improvements</v>
          </cell>
          <cell r="C1963" t="str">
            <v>FIN Approval - Internal</v>
          </cell>
          <cell r="D1963">
            <v>51</v>
          </cell>
          <cell r="E1963" t="str">
            <v>APPROVED</v>
          </cell>
          <cell r="F1963">
            <v>41760</v>
          </cell>
          <cell r="G1963">
            <v>42307</v>
          </cell>
          <cell r="H1963">
            <v>239444.79</v>
          </cell>
          <cell r="I1963" t="str">
            <v>FIN Submission</v>
          </cell>
          <cell r="J1963">
            <v>42726</v>
          </cell>
        </row>
        <row r="1964">
          <cell r="A1964" t="str">
            <v>43467-P898</v>
          </cell>
          <cell r="B1964" t="str">
            <v>AMO Plant Wireless Infrastructure</v>
          </cell>
          <cell r="C1964" t="str">
            <v>FIN Approval - Internal</v>
          </cell>
          <cell r="D1964">
            <v>77</v>
          </cell>
          <cell r="E1964" t="str">
            <v>APPROVED</v>
          </cell>
          <cell r="F1964">
            <v>41590</v>
          </cell>
          <cell r="G1964">
            <v>42551</v>
          </cell>
          <cell r="H1964">
            <v>1065304.01</v>
          </cell>
          <cell r="I1964" t="str">
            <v>FIN Submission</v>
          </cell>
          <cell r="J1964">
            <v>42726</v>
          </cell>
        </row>
        <row r="1965">
          <cell r="A1965" t="str">
            <v>41124-SA62</v>
          </cell>
          <cell r="B1965" t="str">
            <v>LIN-Cooling Water (CW) Screen Refur</v>
          </cell>
          <cell r="C1965" t="str">
            <v>FIN Approval - Internal</v>
          </cell>
          <cell r="D1965">
            <v>101</v>
          </cell>
          <cell r="E1965" t="str">
            <v>APPROVED</v>
          </cell>
          <cell r="F1965">
            <v>41363</v>
          </cell>
          <cell r="G1965">
            <v>42551</v>
          </cell>
          <cell r="H1965">
            <v>292708.24</v>
          </cell>
          <cell r="I1965" t="str">
            <v>FIN Submission</v>
          </cell>
          <cell r="J1965">
            <v>42726</v>
          </cell>
        </row>
        <row r="1966">
          <cell r="A1966" t="str">
            <v>41389-D465</v>
          </cell>
          <cell r="B1966" t="str">
            <v>8H Fairview Conversion</v>
          </cell>
          <cell r="C1966" t="str">
            <v>FIN Approval - Internal</v>
          </cell>
          <cell r="D1966">
            <v>104</v>
          </cell>
          <cell r="E1966" t="str">
            <v>APPROVED</v>
          </cell>
          <cell r="F1966">
            <v>41447</v>
          </cell>
          <cell r="G1966">
            <v>42734</v>
          </cell>
          <cell r="H1966">
            <v>1093420.49</v>
          </cell>
          <cell r="I1966" t="str">
            <v>FIN Submission</v>
          </cell>
          <cell r="J1966">
            <v>42726</v>
          </cell>
        </row>
        <row r="1967">
          <cell r="A1967" t="str">
            <v>29131-P772</v>
          </cell>
          <cell r="B1967" t="str">
            <v>FAC Space 2011</v>
          </cell>
          <cell r="C1967" t="str">
            <v>FIN Approval - Internal</v>
          </cell>
          <cell r="D1967">
            <v>142</v>
          </cell>
          <cell r="E1967" t="str">
            <v>APPROVED</v>
          </cell>
          <cell r="F1967">
            <v>40847</v>
          </cell>
          <cell r="G1967">
            <v>41151</v>
          </cell>
          <cell r="H1967">
            <v>59559630.659999996</v>
          </cell>
          <cell r="I1967" t="str">
            <v>FIN Submission</v>
          </cell>
          <cell r="J1967">
            <v>42726</v>
          </cell>
        </row>
        <row r="1968">
          <cell r="A1968" t="str">
            <v>48194-T868</v>
          </cell>
          <cell r="B1968" t="str">
            <v>88S-713 Replacement</v>
          </cell>
          <cell r="C1968" t="str">
            <v>FIN Approval - External</v>
          </cell>
          <cell r="D1968">
            <v>30</v>
          </cell>
          <cell r="E1968" t="str">
            <v>APPROVED</v>
          </cell>
          <cell r="F1968">
            <v>42399</v>
          </cell>
          <cell r="G1968">
            <v>42673</v>
          </cell>
          <cell r="H1968">
            <v>4478736.57</v>
          </cell>
          <cell r="I1968" t="str">
            <v>ATO Submission Revision</v>
          </cell>
          <cell r="J1968">
            <v>42719</v>
          </cell>
        </row>
        <row r="1969">
          <cell r="A1969" t="str">
            <v>25790-S733</v>
          </cell>
          <cell r="B1969" t="str">
            <v>STRAIT MARINE TERMINAL PROJECT</v>
          </cell>
          <cell r="C1969" t="str">
            <v>FIN Approval - Internal</v>
          </cell>
          <cell r="D1969">
            <v>6</v>
          </cell>
          <cell r="E1969" t="str">
            <v>APPROVED</v>
          </cell>
          <cell r="F1969">
            <v>38660</v>
          </cell>
          <cell r="G1969">
            <v>42704</v>
          </cell>
          <cell r="H1969">
            <v>32991431.48</v>
          </cell>
          <cell r="I1969" t="str">
            <v>FIN Submission</v>
          </cell>
          <cell r="J1969">
            <v>42718</v>
          </cell>
        </row>
        <row r="1970">
          <cell r="A1970" t="str">
            <v>14481-S318</v>
          </cell>
          <cell r="B1970" t="str">
            <v>CYCLONE RETURN LEGS REFRACTORY</v>
          </cell>
          <cell r="C1970" t="str">
            <v>FIN Approval - Internal</v>
          </cell>
          <cell r="D1970">
            <v>7</v>
          </cell>
          <cell r="E1970" t="str">
            <v>APPROVED</v>
          </cell>
          <cell r="F1970">
            <v>36524</v>
          </cell>
          <cell r="G1970">
            <v>42704</v>
          </cell>
          <cell r="H1970">
            <v>625045.53</v>
          </cell>
          <cell r="I1970" t="str">
            <v>FIN Submission</v>
          </cell>
          <cell r="J1970">
            <v>42718</v>
          </cell>
        </row>
        <row r="1971">
          <cell r="A1971" t="str">
            <v>48411-P983</v>
          </cell>
          <cell r="B1971" t="str">
            <v>IT - Internet Explorer Upgrade</v>
          </cell>
          <cell r="C1971" t="str">
            <v>FIN Approval - Internal</v>
          </cell>
          <cell r="D1971">
            <v>14</v>
          </cell>
          <cell r="E1971" t="str">
            <v>APPROVED</v>
          </cell>
          <cell r="F1971">
            <v>42490</v>
          </cell>
          <cell r="G1971">
            <v>42551</v>
          </cell>
          <cell r="H1971">
            <v>333322.74</v>
          </cell>
          <cell r="I1971" t="str">
            <v>FIN Submission</v>
          </cell>
          <cell r="J1971">
            <v>42718</v>
          </cell>
        </row>
        <row r="1972">
          <cell r="A1972" t="str">
            <v>48153-P972</v>
          </cell>
          <cell r="B1972" t="str">
            <v>Scotsburn Lumber LIIR</v>
          </cell>
          <cell r="C1972" t="str">
            <v>FIN Approval - Internal</v>
          </cell>
          <cell r="D1972">
            <v>22</v>
          </cell>
          <cell r="E1972" t="str">
            <v>APPROVED</v>
          </cell>
          <cell r="F1972">
            <v>42429</v>
          </cell>
          <cell r="G1972">
            <v>42704</v>
          </cell>
          <cell r="H1972">
            <v>0</v>
          </cell>
          <cell r="I1972" t="str">
            <v>FIN Submission</v>
          </cell>
          <cell r="J1972">
            <v>42718</v>
          </cell>
        </row>
        <row r="1973">
          <cell r="A1973" t="str">
            <v>47174-SE20</v>
          </cell>
          <cell r="B1973" t="str">
            <v xml:space="preserve">U&amp;U LIN3 4160VBusBar Insp/Repair </v>
          </cell>
          <cell r="C1973" t="str">
            <v>FIN Approval - Internal</v>
          </cell>
          <cell r="D1973">
            <v>30</v>
          </cell>
          <cell r="E1973" t="str">
            <v>APPROVED</v>
          </cell>
          <cell r="F1973">
            <v>42154</v>
          </cell>
          <cell r="G1973">
            <v>42551</v>
          </cell>
          <cell r="H1973">
            <v>45811.72</v>
          </cell>
          <cell r="I1973" t="str">
            <v>FIN Submission</v>
          </cell>
          <cell r="J1973">
            <v>42718</v>
          </cell>
        </row>
        <row r="1974">
          <cell r="A1974" t="str">
            <v>43184-D459</v>
          </cell>
          <cell r="B1974" t="str">
            <v>U&amp;U 22C-404GAA ICP</v>
          </cell>
          <cell r="C1974" t="str">
            <v>FIN Approval - Internal</v>
          </cell>
          <cell r="D1974">
            <v>31</v>
          </cell>
          <cell r="E1974" t="str">
            <v>APPROVED</v>
          </cell>
          <cell r="F1974">
            <v>41487</v>
          </cell>
          <cell r="G1974">
            <v>42308</v>
          </cell>
          <cell r="H1974">
            <v>193970.48</v>
          </cell>
          <cell r="I1974" t="str">
            <v>FIN Submission</v>
          </cell>
          <cell r="J1974">
            <v>42718</v>
          </cell>
        </row>
        <row r="1975">
          <cell r="A1975" t="str">
            <v>43176-D467</v>
          </cell>
          <cell r="B1975" t="str">
            <v>U&amp;U 19W-312G Argyle Sound ICP</v>
          </cell>
          <cell r="C1975" t="str">
            <v>FIN Approval - Internal</v>
          </cell>
          <cell r="D1975">
            <v>32</v>
          </cell>
          <cell r="E1975" t="str">
            <v>APPROVED</v>
          </cell>
          <cell r="F1975">
            <v>41443</v>
          </cell>
          <cell r="G1975">
            <v>41649</v>
          </cell>
          <cell r="H1975">
            <v>329693</v>
          </cell>
          <cell r="I1975" t="str">
            <v>FIN Submission</v>
          </cell>
          <cell r="J1975">
            <v>42718</v>
          </cell>
        </row>
        <row r="1976">
          <cell r="A1976" t="str">
            <v>43126-D474</v>
          </cell>
          <cell r="B1976" t="str">
            <v>13V-303 Bear River ICP</v>
          </cell>
          <cell r="C1976" t="str">
            <v>FIN Approval - External</v>
          </cell>
          <cell r="D1976">
            <v>42</v>
          </cell>
          <cell r="E1976" t="str">
            <v>APPROVED</v>
          </cell>
          <cell r="F1976">
            <v>41548</v>
          </cell>
          <cell r="G1976">
            <v>42566</v>
          </cell>
          <cell r="H1976">
            <v>418617.02</v>
          </cell>
          <cell r="I1976" t="str">
            <v>FIN Submission</v>
          </cell>
          <cell r="J1976">
            <v>42718</v>
          </cell>
        </row>
        <row r="1977">
          <cell r="A1977" t="str">
            <v>41795-P904</v>
          </cell>
          <cell r="B1977" t="str">
            <v>IT - U&amp;U Maximo Interface Fixes</v>
          </cell>
          <cell r="C1977" t="str">
            <v>FIN Approval - Internal</v>
          </cell>
          <cell r="D1977">
            <v>43</v>
          </cell>
          <cell r="E1977" t="str">
            <v>APPROVED</v>
          </cell>
          <cell r="F1977">
            <v>41305</v>
          </cell>
          <cell r="G1977">
            <v>41455</v>
          </cell>
          <cell r="H1977">
            <v>226926.8</v>
          </cell>
          <cell r="I1977" t="str">
            <v>FIN Submission</v>
          </cell>
          <cell r="J1977">
            <v>42718</v>
          </cell>
        </row>
        <row r="1978">
          <cell r="A1978" t="str">
            <v>44990-T796</v>
          </cell>
          <cell r="B1978" t="str">
            <v>104S Switch Replacement &amp; Addition</v>
          </cell>
          <cell r="C1978" t="str">
            <v>FIN Approval - Internal</v>
          </cell>
          <cell r="D1978">
            <v>44</v>
          </cell>
          <cell r="E1978" t="str">
            <v>APPROVED</v>
          </cell>
          <cell r="F1978">
            <v>42003</v>
          </cell>
          <cell r="G1978">
            <v>42520</v>
          </cell>
          <cell r="H1978">
            <v>115602.71</v>
          </cell>
          <cell r="I1978" t="str">
            <v>FIN Submission</v>
          </cell>
          <cell r="J1978">
            <v>42718</v>
          </cell>
        </row>
        <row r="1979">
          <cell r="A1979" t="str">
            <v>11832-S158</v>
          </cell>
          <cell r="B1979" t="str">
            <v>GLACE BAY DEFERRAL OF FINANCE AND O</v>
          </cell>
          <cell r="C1979" t="str">
            <v>FIN Approval - Internal</v>
          </cell>
          <cell r="D1979">
            <v>44</v>
          </cell>
          <cell r="E1979" t="str">
            <v>APPROVED</v>
          </cell>
          <cell r="F1979">
            <v>35369</v>
          </cell>
          <cell r="G1979">
            <v>41850</v>
          </cell>
          <cell r="H1979">
            <v>21908979.870000001</v>
          </cell>
          <cell r="I1979" t="str">
            <v>FIN Submission</v>
          </cell>
          <cell r="J1979">
            <v>42718</v>
          </cell>
        </row>
        <row r="1980">
          <cell r="A1980" t="str">
            <v>25918-T507</v>
          </cell>
          <cell r="B1980" t="str">
            <v>LM6000 TUC #5 TRANSMISSION</v>
          </cell>
          <cell r="C1980" t="str">
            <v>FIN Approval - Internal</v>
          </cell>
          <cell r="D1980">
            <v>48</v>
          </cell>
          <cell r="E1980" t="str">
            <v>APPROVED</v>
          </cell>
          <cell r="F1980">
            <v>38601</v>
          </cell>
          <cell r="G1980">
            <v>41153</v>
          </cell>
          <cell r="H1980">
            <v>670476.31999999995</v>
          </cell>
          <cell r="I1980" t="str">
            <v>FIN Submission</v>
          </cell>
          <cell r="J1980">
            <v>42718</v>
          </cell>
        </row>
        <row r="1981">
          <cell r="A1981" t="str">
            <v>44426-H691</v>
          </cell>
          <cell r="B1981" t="str">
            <v>HYD - UU Weymouth #2 Headcover Repl</v>
          </cell>
          <cell r="C1981" t="str">
            <v>FIN Approval - Internal</v>
          </cell>
          <cell r="D1981">
            <v>56</v>
          </cell>
          <cell r="E1981" t="str">
            <v>APPROVED</v>
          </cell>
          <cell r="F1981">
            <v>41578</v>
          </cell>
          <cell r="G1981">
            <v>42124</v>
          </cell>
          <cell r="H1981">
            <v>704794.92</v>
          </cell>
          <cell r="I1981" t="str">
            <v>FIN Submission</v>
          </cell>
          <cell r="J1981">
            <v>42718</v>
          </cell>
        </row>
        <row r="1982">
          <cell r="A1982" t="str">
            <v>41351-D424</v>
          </cell>
          <cell r="B1982" t="str">
            <v>2012 Distribution Automation</v>
          </cell>
          <cell r="C1982" t="str">
            <v>FIN Approval - External</v>
          </cell>
          <cell r="D1982">
            <v>60</v>
          </cell>
          <cell r="E1982" t="str">
            <v>APPROVED</v>
          </cell>
          <cell r="F1982">
            <v>41261</v>
          </cell>
          <cell r="G1982">
            <v>42566</v>
          </cell>
          <cell r="H1982">
            <v>270943.83</v>
          </cell>
          <cell r="I1982" t="str">
            <v>FIN Submission</v>
          </cell>
          <cell r="J1982">
            <v>42718</v>
          </cell>
        </row>
        <row r="1983">
          <cell r="A1983" t="str">
            <v>41988-H637</v>
          </cell>
          <cell r="B1983" t="str">
            <v>HYD - U&amp;U Big Falls #5 Overhaul</v>
          </cell>
          <cell r="C1983" t="str">
            <v>FIN Approval - External</v>
          </cell>
          <cell r="D1983">
            <v>62</v>
          </cell>
          <cell r="E1983" t="str">
            <v>APPROVED</v>
          </cell>
          <cell r="F1983">
            <v>41075</v>
          </cell>
          <cell r="G1983">
            <v>42551</v>
          </cell>
          <cell r="H1983">
            <v>1008398.22</v>
          </cell>
          <cell r="I1983" t="str">
            <v>FIN Submission</v>
          </cell>
          <cell r="J1983">
            <v>42718</v>
          </cell>
        </row>
        <row r="1984">
          <cell r="A1984" t="str">
            <v>43237-T763</v>
          </cell>
          <cell r="B1984" t="str">
            <v>2013 Substation Recloser Replace</v>
          </cell>
          <cell r="C1984" t="str">
            <v>FIN Approval - External</v>
          </cell>
          <cell r="D1984">
            <v>65</v>
          </cell>
          <cell r="E1984" t="str">
            <v>APPROVED</v>
          </cell>
          <cell r="F1984">
            <v>41451</v>
          </cell>
          <cell r="G1984">
            <v>42566</v>
          </cell>
          <cell r="H1984">
            <v>1126614.24</v>
          </cell>
          <cell r="I1984" t="str">
            <v>FIN Submission</v>
          </cell>
          <cell r="J1984">
            <v>42718</v>
          </cell>
        </row>
        <row r="1985">
          <cell r="A1985" t="str">
            <v>42970-SC17</v>
          </cell>
          <cell r="B1985" t="str">
            <v xml:space="preserve">TUC - 4KV Motor Refurbishment 2013 </v>
          </cell>
          <cell r="C1985" t="str">
            <v>FIN Approval - Internal</v>
          </cell>
          <cell r="D1985">
            <v>65</v>
          </cell>
          <cell r="E1985" t="str">
            <v>APPROVED</v>
          </cell>
          <cell r="F1985">
            <v>41639</v>
          </cell>
          <cell r="G1985">
            <v>42247</v>
          </cell>
          <cell r="H1985">
            <v>124940.14</v>
          </cell>
          <cell r="I1985" t="str">
            <v>FIN Submission</v>
          </cell>
          <cell r="J1985">
            <v>42718</v>
          </cell>
        </row>
        <row r="1986">
          <cell r="A1986" t="str">
            <v>41844-T708</v>
          </cell>
          <cell r="B1986" t="str">
            <v>L8004 &amp; L7005 Reinsulate</v>
          </cell>
          <cell r="C1986" t="str">
            <v>FIN Approval - Internal</v>
          </cell>
          <cell r="D1986">
            <v>73</v>
          </cell>
          <cell r="E1986" t="str">
            <v>APPROVED</v>
          </cell>
          <cell r="F1986">
            <v>41305</v>
          </cell>
          <cell r="G1986">
            <v>42520</v>
          </cell>
          <cell r="H1986">
            <v>1016937.04</v>
          </cell>
          <cell r="I1986" t="str">
            <v>FIN Submission</v>
          </cell>
          <cell r="J1986">
            <v>42718</v>
          </cell>
        </row>
        <row r="1987">
          <cell r="A1987" t="str">
            <v>40282-H614</v>
          </cell>
          <cell r="B1987" t="str">
            <v>HYD- Coon Pond Dam Refurbishment</v>
          </cell>
          <cell r="C1987" t="str">
            <v>FIN Approval - Internal</v>
          </cell>
          <cell r="D1987">
            <v>80</v>
          </cell>
          <cell r="E1987" t="str">
            <v>APPROVED</v>
          </cell>
          <cell r="F1987">
            <v>41244</v>
          </cell>
          <cell r="G1987">
            <v>41486</v>
          </cell>
          <cell r="H1987">
            <v>2392961.19</v>
          </cell>
          <cell r="I1987" t="str">
            <v>FIN Submission</v>
          </cell>
          <cell r="J1987">
            <v>42718</v>
          </cell>
        </row>
        <row r="1988">
          <cell r="A1988" t="str">
            <v>40367-P862</v>
          </cell>
          <cell r="B1988" t="str">
            <v>IT - SAC Office Network Redundancy</v>
          </cell>
          <cell r="C1988" t="str">
            <v>FIN Approval - Internal</v>
          </cell>
          <cell r="D1988">
            <v>82</v>
          </cell>
          <cell r="E1988" t="str">
            <v>APPROVED</v>
          </cell>
          <cell r="F1988">
            <v>41394</v>
          </cell>
          <cell r="G1988">
            <v>41455</v>
          </cell>
          <cell r="H1988">
            <v>97495.24</v>
          </cell>
          <cell r="I1988" t="str">
            <v>FIN Submission</v>
          </cell>
          <cell r="J1988">
            <v>42718</v>
          </cell>
        </row>
        <row r="1989">
          <cell r="A1989" t="str">
            <v>41429-T730</v>
          </cell>
          <cell r="B1989" t="str">
            <v>2012 Subst PCB Equipment Removal</v>
          </cell>
          <cell r="C1989" t="str">
            <v>FIN Approval - External</v>
          </cell>
          <cell r="D1989">
            <v>92</v>
          </cell>
          <cell r="E1989" t="str">
            <v>APPROVED</v>
          </cell>
          <cell r="F1989">
            <v>41181</v>
          </cell>
          <cell r="G1989">
            <v>42566</v>
          </cell>
          <cell r="H1989">
            <v>1282336.8500000001</v>
          </cell>
          <cell r="I1989" t="str">
            <v>FIN Submission</v>
          </cell>
          <cell r="J1989">
            <v>42718</v>
          </cell>
        </row>
        <row r="1990">
          <cell r="A1990" t="str">
            <v>40260-T689</v>
          </cell>
          <cell r="B1990" t="str">
            <v>L7012 Upgrades</v>
          </cell>
          <cell r="C1990" t="str">
            <v>FIN Approval - External</v>
          </cell>
          <cell r="D1990">
            <v>92</v>
          </cell>
          <cell r="E1990" t="str">
            <v>APPROVED</v>
          </cell>
          <cell r="F1990">
            <v>40908</v>
          </cell>
          <cell r="G1990">
            <v>42566</v>
          </cell>
          <cell r="H1990">
            <v>1099112.2</v>
          </cell>
          <cell r="I1990" t="str">
            <v>FIN Submission</v>
          </cell>
          <cell r="J1990">
            <v>42718</v>
          </cell>
        </row>
        <row r="1991">
          <cell r="A1991" t="str">
            <v>41434-T737</v>
          </cell>
          <cell r="B1991" t="str">
            <v>Purchase New 42 MVA Spare Transform</v>
          </cell>
          <cell r="C1991" t="str">
            <v>FIN Approval - External</v>
          </cell>
          <cell r="D1991">
            <v>94</v>
          </cell>
          <cell r="E1991" t="str">
            <v>APPROVED</v>
          </cell>
          <cell r="F1991">
            <v>41577</v>
          </cell>
          <cell r="G1991">
            <v>42566</v>
          </cell>
          <cell r="H1991">
            <v>716220.74</v>
          </cell>
          <cell r="I1991" t="str">
            <v>FIN Submission</v>
          </cell>
          <cell r="J1991">
            <v>42718</v>
          </cell>
        </row>
        <row r="1992">
          <cell r="A1992" t="str">
            <v>41536-T699</v>
          </cell>
          <cell r="B1992" t="str">
            <v>2012 Reliability Technology Trans.</v>
          </cell>
          <cell r="C1992" t="str">
            <v>FIN Approval - Internal</v>
          </cell>
          <cell r="D1992">
            <v>95</v>
          </cell>
          <cell r="E1992" t="str">
            <v>APPROVED</v>
          </cell>
          <cell r="F1992">
            <v>41363</v>
          </cell>
          <cell r="G1992">
            <v>42366</v>
          </cell>
          <cell r="H1992">
            <v>627061.68999999994</v>
          </cell>
          <cell r="I1992" t="str">
            <v>FIN Submission</v>
          </cell>
          <cell r="J1992">
            <v>42718</v>
          </cell>
        </row>
        <row r="1993">
          <cell r="A1993" t="str">
            <v>41390-T744</v>
          </cell>
          <cell r="B1993" t="str">
            <v>7V Methals Hydro Transformer Replac</v>
          </cell>
          <cell r="C1993" t="str">
            <v>FIN Approval - Internal</v>
          </cell>
          <cell r="D1993">
            <v>95</v>
          </cell>
          <cell r="E1993" t="str">
            <v>APPROVED</v>
          </cell>
          <cell r="F1993">
            <v>41608</v>
          </cell>
          <cell r="G1993">
            <v>42035</v>
          </cell>
          <cell r="H1993">
            <v>382465.8</v>
          </cell>
          <cell r="I1993" t="str">
            <v>FIN Submission</v>
          </cell>
          <cell r="J1993">
            <v>42718</v>
          </cell>
        </row>
        <row r="1994">
          <cell r="A1994" t="str">
            <v>40308-H626</v>
          </cell>
          <cell r="B1994" t="str">
            <v>HYD - Weymouth Falls Pipeline Re</v>
          </cell>
          <cell r="C1994" t="str">
            <v>FIN Approval - External</v>
          </cell>
          <cell r="D1994">
            <v>97</v>
          </cell>
          <cell r="E1994" t="str">
            <v>APPROVED</v>
          </cell>
          <cell r="F1994">
            <v>41579</v>
          </cell>
          <cell r="G1994">
            <v>42566</v>
          </cell>
          <cell r="H1994">
            <v>5949339.7300000004</v>
          </cell>
          <cell r="I1994" t="str">
            <v>FIN Submission</v>
          </cell>
          <cell r="J1994">
            <v>42718</v>
          </cell>
        </row>
        <row r="1995">
          <cell r="A1995" t="str">
            <v>40743-P845</v>
          </cell>
          <cell r="B1995" t="str">
            <v>IT - NSPI Intranet</v>
          </cell>
          <cell r="C1995" t="str">
            <v>FIN Approval - Internal</v>
          </cell>
          <cell r="D1995">
            <v>104</v>
          </cell>
          <cell r="E1995" t="str">
            <v>APPROVED</v>
          </cell>
          <cell r="F1995">
            <v>41243</v>
          </cell>
          <cell r="G1995">
            <v>42247</v>
          </cell>
          <cell r="H1995">
            <v>739938.09</v>
          </cell>
          <cell r="I1995" t="str">
            <v>FIN Submission</v>
          </cell>
          <cell r="J1995">
            <v>42718</v>
          </cell>
        </row>
        <row r="1996">
          <cell r="A1996" t="str">
            <v>40314-P856</v>
          </cell>
          <cell r="B1996" t="str">
            <v>Main Computer Centre Upgrade</v>
          </cell>
          <cell r="C1996" t="str">
            <v>FIN Approval - External</v>
          </cell>
          <cell r="D1996">
            <v>122</v>
          </cell>
          <cell r="E1996" t="str">
            <v>APPROVED</v>
          </cell>
          <cell r="F1996">
            <v>41532</v>
          </cell>
          <cell r="G1996">
            <v>42566</v>
          </cell>
          <cell r="H1996">
            <v>7807740.2800000003</v>
          </cell>
          <cell r="I1996" t="str">
            <v>FIN Submission</v>
          </cell>
          <cell r="J1996">
            <v>42718</v>
          </cell>
        </row>
        <row r="1997">
          <cell r="A1997" t="str">
            <v>31245-H566</v>
          </cell>
          <cell r="B1997" t="str">
            <v>HYD - Sandy Lake Dam Refurbishment</v>
          </cell>
          <cell r="C1997" t="str">
            <v>FIN Approval - Internal</v>
          </cell>
          <cell r="D1997">
            <v>128</v>
          </cell>
          <cell r="E1997" t="str">
            <v>APPROVED</v>
          </cell>
          <cell r="F1997">
            <v>41273</v>
          </cell>
          <cell r="G1997">
            <v>41578</v>
          </cell>
          <cell r="H1997">
            <v>5824777.5999999996</v>
          </cell>
          <cell r="I1997" t="str">
            <v>FIN Submission</v>
          </cell>
          <cell r="J1997">
            <v>42718</v>
          </cell>
        </row>
        <row r="1998">
          <cell r="A1998" t="str">
            <v>36902-S614</v>
          </cell>
          <cell r="B1998" t="str">
            <v>LIN1- ESP Gas Flow Modification</v>
          </cell>
          <cell r="C1998" t="str">
            <v>FIN Approval - External</v>
          </cell>
          <cell r="D1998">
            <v>138</v>
          </cell>
          <cell r="E1998" t="str">
            <v>APPROVED</v>
          </cell>
          <cell r="F1998">
            <v>41264</v>
          </cell>
          <cell r="G1998">
            <v>42551</v>
          </cell>
          <cell r="H1998">
            <v>536884.68000000005</v>
          </cell>
          <cell r="I1998" t="str">
            <v>FIN Submission</v>
          </cell>
          <cell r="J1998">
            <v>42718</v>
          </cell>
        </row>
        <row r="1999">
          <cell r="A1999" t="str">
            <v>31246-H662</v>
          </cell>
          <cell r="B1999" t="str">
            <v>HYD Methals Intake Replacement</v>
          </cell>
          <cell r="C1999" t="str">
            <v>FIN Approval - External</v>
          </cell>
          <cell r="D1999">
            <v>148</v>
          </cell>
          <cell r="E1999" t="str">
            <v>APPROVED</v>
          </cell>
          <cell r="F1999">
            <v>41562</v>
          </cell>
          <cell r="G1999">
            <v>42566</v>
          </cell>
          <cell r="H1999">
            <v>4701112.09</v>
          </cell>
          <cell r="I1999" t="str">
            <v>FIN Submission</v>
          </cell>
          <cell r="J1999">
            <v>42718</v>
          </cell>
        </row>
        <row r="2000">
          <cell r="A2000" t="str">
            <v>33624-T639</v>
          </cell>
          <cell r="B2000" t="str">
            <v>Spare Generator Transformer</v>
          </cell>
          <cell r="C2000" t="str">
            <v>FIN Approval - External</v>
          </cell>
          <cell r="D2000">
            <v>153</v>
          </cell>
          <cell r="E2000" t="str">
            <v>APPROVED</v>
          </cell>
          <cell r="F2000">
            <v>41669</v>
          </cell>
          <cell r="G2000">
            <v>42566</v>
          </cell>
          <cell r="H2000">
            <v>3520466.49</v>
          </cell>
          <cell r="I2000" t="str">
            <v>FIN Submission</v>
          </cell>
          <cell r="J2000">
            <v>42718</v>
          </cell>
        </row>
        <row r="2001">
          <cell r="A2001" t="str">
            <v>18992-P500</v>
          </cell>
          <cell r="B2001" t="str">
            <v>CUSTOMER INCIDENT REPORTING SYSTEM</v>
          </cell>
          <cell r="C2001" t="str">
            <v>FIN Approval - Internal</v>
          </cell>
          <cell r="D2001">
            <v>5</v>
          </cell>
          <cell r="E2001" t="str">
            <v>APPROVED</v>
          </cell>
          <cell r="F2001">
            <v>38432</v>
          </cell>
          <cell r="G2001">
            <v>38442</v>
          </cell>
          <cell r="H2001">
            <v>24200</v>
          </cell>
          <cell r="I2001" t="str">
            <v>FIN Submission</v>
          </cell>
          <cell r="J2001">
            <v>42625</v>
          </cell>
        </row>
        <row r="2002">
          <cell r="A2002" t="str">
            <v>26735-G131</v>
          </cell>
          <cell r="B2002" t="str">
            <v>CT'S -  REBUILD BURNSIDE UNIT #4 FR</v>
          </cell>
          <cell r="C2002" t="str">
            <v>FIN Approval - Internal</v>
          </cell>
          <cell r="D2002">
            <v>6</v>
          </cell>
          <cell r="E2002" t="str">
            <v>APPROVED</v>
          </cell>
          <cell r="F2002">
            <v>38603</v>
          </cell>
          <cell r="G2002">
            <v>38625</v>
          </cell>
          <cell r="H2002">
            <v>124537.12</v>
          </cell>
          <cell r="I2002" t="str">
            <v>FIN Submission</v>
          </cell>
          <cell r="J2002">
            <v>42625</v>
          </cell>
        </row>
        <row r="2003">
          <cell r="A2003" t="str">
            <v>27789-G135</v>
          </cell>
          <cell r="B2003" t="str">
            <v>CT'S - BURNSIDE #1 FREE TURBINE RES</v>
          </cell>
          <cell r="C2003" t="str">
            <v>FIN Approval - Internal</v>
          </cell>
          <cell r="D2003">
            <v>6</v>
          </cell>
          <cell r="E2003" t="str">
            <v>APPROVED</v>
          </cell>
          <cell r="F2003">
            <v>39098</v>
          </cell>
          <cell r="G2003">
            <v>39141</v>
          </cell>
          <cell r="H2003">
            <v>131412.34</v>
          </cell>
          <cell r="I2003" t="str">
            <v>FIN Submission</v>
          </cell>
          <cell r="J2003">
            <v>42625</v>
          </cell>
        </row>
        <row r="2004">
          <cell r="A2004" t="str">
            <v>27441-W104</v>
          </cell>
          <cell r="B2004" t="str">
            <v xml:space="preserve">GRAND ETANG WIND TURBINE GENERATOR </v>
          </cell>
          <cell r="C2004" t="str">
            <v>FIN Approval - Internal</v>
          </cell>
          <cell r="D2004">
            <v>6</v>
          </cell>
          <cell r="E2004" t="str">
            <v>APPROVED</v>
          </cell>
          <cell r="F2004">
            <v>39058</v>
          </cell>
          <cell r="G2004">
            <v>39141</v>
          </cell>
          <cell r="H2004">
            <v>104200</v>
          </cell>
          <cell r="I2004" t="str">
            <v>FIN Submission</v>
          </cell>
          <cell r="J2004">
            <v>42625</v>
          </cell>
        </row>
        <row r="2005">
          <cell r="A2005" t="str">
            <v>23385-P595</v>
          </cell>
          <cell r="B2005" t="str">
            <v>INTEGRA-T UPGRADE</v>
          </cell>
          <cell r="C2005" t="str">
            <v>FIN Approval - Internal</v>
          </cell>
          <cell r="D2005">
            <v>6</v>
          </cell>
          <cell r="E2005" t="str">
            <v>APPROVED</v>
          </cell>
          <cell r="F2005">
            <v>37866</v>
          </cell>
          <cell r="G2005">
            <v>38352</v>
          </cell>
          <cell r="H2005">
            <v>5129.16</v>
          </cell>
          <cell r="I2005" t="str">
            <v>FIN Submission</v>
          </cell>
          <cell r="J2005">
            <v>42625</v>
          </cell>
        </row>
        <row r="2006">
          <cell r="A2006" t="str">
            <v>23116-P715</v>
          </cell>
          <cell r="B2006" t="str">
            <v>NETWORK REDUNDANCY</v>
          </cell>
          <cell r="C2006" t="str">
            <v>FIN Approval - Internal</v>
          </cell>
          <cell r="D2006">
            <v>7</v>
          </cell>
          <cell r="E2006" t="str">
            <v>APPROVED</v>
          </cell>
          <cell r="F2006">
            <v>39353</v>
          </cell>
          <cell r="G2006">
            <v>39447</v>
          </cell>
          <cell r="H2006">
            <v>323292.28000000003</v>
          </cell>
          <cell r="I2006" t="str">
            <v>FIN Submission</v>
          </cell>
          <cell r="J2006">
            <v>42625</v>
          </cell>
        </row>
        <row r="2007">
          <cell r="A2007" t="str">
            <v>26451-P665</v>
          </cell>
          <cell r="B2007" t="str">
            <v>RTP WEBSITE RE-DEVELOPMENT</v>
          </cell>
          <cell r="C2007" t="str">
            <v>FIN Approval - Internal</v>
          </cell>
          <cell r="D2007">
            <v>7</v>
          </cell>
          <cell r="E2007" t="str">
            <v>APPROVED</v>
          </cell>
          <cell r="F2007">
            <v>38399</v>
          </cell>
          <cell r="G2007">
            <v>38564</v>
          </cell>
          <cell r="H2007">
            <v>243156</v>
          </cell>
          <cell r="I2007" t="str">
            <v>FIN Submission</v>
          </cell>
          <cell r="J2007">
            <v>42625</v>
          </cell>
        </row>
        <row r="2008">
          <cell r="A2008" t="str">
            <v>48311-P980</v>
          </cell>
          <cell r="B2008" t="str">
            <v>IT - U&amp;U Labour Pool Allocation</v>
          </cell>
          <cell r="C2008" t="str">
            <v>FIN Approval - Internal</v>
          </cell>
          <cell r="D2008">
            <v>12</v>
          </cell>
          <cell r="E2008" t="str">
            <v>APPROVED</v>
          </cell>
          <cell r="F2008">
            <v>42308</v>
          </cell>
          <cell r="G2008">
            <v>42428</v>
          </cell>
          <cell r="H2008">
            <v>22750</v>
          </cell>
          <cell r="I2008" t="str">
            <v>FIN Submission</v>
          </cell>
          <cell r="J2008">
            <v>42625</v>
          </cell>
        </row>
        <row r="2009">
          <cell r="A2009" t="str">
            <v>44630-D518</v>
          </cell>
          <cell r="B2009" t="str">
            <v>93V-313 Mardigrass Rd. Pole Replace</v>
          </cell>
          <cell r="C2009" t="str">
            <v>FIN Approval - Internal</v>
          </cell>
          <cell r="D2009">
            <v>15</v>
          </cell>
          <cell r="E2009" t="str">
            <v>APPROVED</v>
          </cell>
          <cell r="F2009">
            <v>41577</v>
          </cell>
          <cell r="G2009">
            <v>41639</v>
          </cell>
          <cell r="H2009">
            <v>29643.02</v>
          </cell>
          <cell r="I2009" t="str">
            <v>FIN Submission</v>
          </cell>
          <cell r="J2009">
            <v>42625</v>
          </cell>
        </row>
        <row r="2010">
          <cell r="A2010" t="str">
            <v>28175-G136</v>
          </cell>
          <cell r="B2010" t="str">
            <v>TUC - REPLACE NATURAL GAS COMPRESSO</v>
          </cell>
          <cell r="C2010" t="str">
            <v>FIN Approval - Internal</v>
          </cell>
          <cell r="D2010">
            <v>16</v>
          </cell>
          <cell r="E2010" t="str">
            <v>APPROVED</v>
          </cell>
          <cell r="F2010">
            <v>39140</v>
          </cell>
          <cell r="G2010">
            <v>42853</v>
          </cell>
          <cell r="H2010">
            <v>76565.61</v>
          </cell>
          <cell r="I2010" t="str">
            <v>FIN Submission</v>
          </cell>
          <cell r="J2010">
            <v>42625</v>
          </cell>
        </row>
        <row r="2011">
          <cell r="A2011" t="str">
            <v>44527-G166</v>
          </cell>
          <cell r="B2011" t="str">
            <v>BGT2 - U&amp;U HPT T1 Vanes Replacemet</v>
          </cell>
          <cell r="C2011" t="str">
            <v>FIN Approval - Internal</v>
          </cell>
          <cell r="D2011">
            <v>17</v>
          </cell>
          <cell r="E2011" t="str">
            <v>APPROVED</v>
          </cell>
          <cell r="F2011">
            <v>41485</v>
          </cell>
          <cell r="G2011">
            <v>41639</v>
          </cell>
          <cell r="H2011">
            <v>142921.1</v>
          </cell>
          <cell r="I2011" t="str">
            <v>FIN Submission</v>
          </cell>
          <cell r="J2011">
            <v>42625</v>
          </cell>
        </row>
        <row r="2012">
          <cell r="A2012" t="str">
            <v>44712-P923</v>
          </cell>
          <cell r="B2012" t="str">
            <v>IT -U&amp;U Oracle Licensing Migration</v>
          </cell>
          <cell r="C2012" t="str">
            <v>FIN Approval - Internal</v>
          </cell>
          <cell r="D2012">
            <v>17</v>
          </cell>
          <cell r="E2012" t="str">
            <v>APPROVED</v>
          </cell>
          <cell r="F2012">
            <v>41455</v>
          </cell>
          <cell r="G2012">
            <v>41578</v>
          </cell>
          <cell r="H2012">
            <v>1252486.33</v>
          </cell>
          <cell r="I2012" t="str">
            <v>FIN Submission</v>
          </cell>
          <cell r="J2012">
            <v>42625</v>
          </cell>
        </row>
        <row r="2013">
          <cell r="A2013" t="str">
            <v>28637-G139</v>
          </cell>
          <cell r="B2013" t="str">
            <v>TUC-U&amp;U GAS COMPRESSOR FRAME REPLAC</v>
          </cell>
          <cell r="C2013" t="str">
            <v>FIN Approval - Internal</v>
          </cell>
          <cell r="D2013">
            <v>17</v>
          </cell>
          <cell r="E2013" t="str">
            <v>APPROVED</v>
          </cell>
          <cell r="F2013">
            <v>39301</v>
          </cell>
          <cell r="G2013">
            <v>42711</v>
          </cell>
          <cell r="H2013">
            <v>77515.75</v>
          </cell>
          <cell r="I2013" t="str">
            <v>FIN Submission</v>
          </cell>
          <cell r="J2013">
            <v>42625</v>
          </cell>
        </row>
        <row r="2014">
          <cell r="A2014" t="str">
            <v>44593-G167</v>
          </cell>
          <cell r="B2014" t="str">
            <v>BGT3 - U&amp;U LPT Stage 1 Blade Repl.</v>
          </cell>
          <cell r="C2014" t="str">
            <v>FIN Approval - Internal</v>
          </cell>
          <cell r="D2014">
            <v>18</v>
          </cell>
          <cell r="E2014" t="str">
            <v>APPROVED</v>
          </cell>
          <cell r="F2014">
            <v>41516</v>
          </cell>
          <cell r="G2014">
            <v>41639</v>
          </cell>
          <cell r="H2014">
            <v>91770.82</v>
          </cell>
          <cell r="I2014" t="str">
            <v>FIN Submission</v>
          </cell>
          <cell r="J2014">
            <v>42625</v>
          </cell>
        </row>
        <row r="2015">
          <cell r="A2015" t="str">
            <v>43966-P908</v>
          </cell>
          <cell r="B2015" t="str">
            <v>IT- U&amp;U PlanetPress Upgrade &amp; Hardw</v>
          </cell>
          <cell r="C2015" t="str">
            <v>FIN Approval - Internal</v>
          </cell>
          <cell r="D2015">
            <v>24</v>
          </cell>
          <cell r="E2015" t="str">
            <v>APPROVED</v>
          </cell>
          <cell r="F2015">
            <v>41274</v>
          </cell>
          <cell r="G2015">
            <v>41394</v>
          </cell>
          <cell r="H2015">
            <v>15349.86</v>
          </cell>
          <cell r="I2015" t="str">
            <v>FIN Submission</v>
          </cell>
          <cell r="J2015">
            <v>42625</v>
          </cell>
        </row>
        <row r="2016">
          <cell r="A2016" t="str">
            <v>46932-D620</v>
          </cell>
          <cell r="B2016" t="str">
            <v>647N-312 Linden Road Reconductor</v>
          </cell>
          <cell r="C2016" t="str">
            <v>FIN Approval - Internal</v>
          </cell>
          <cell r="D2016">
            <v>27</v>
          </cell>
          <cell r="E2016" t="str">
            <v>APPROVED</v>
          </cell>
          <cell r="F2016">
            <v>42154</v>
          </cell>
          <cell r="G2016">
            <v>42460</v>
          </cell>
          <cell r="H2016">
            <v>174608.87</v>
          </cell>
          <cell r="I2016" t="str">
            <v>FIN Submission</v>
          </cell>
          <cell r="J2016">
            <v>42625</v>
          </cell>
        </row>
        <row r="2017">
          <cell r="A2017" t="str">
            <v>46613-P947</v>
          </cell>
          <cell r="B2017" t="str">
            <v>IT - U&amp;U GenOps to PI</v>
          </cell>
          <cell r="C2017" t="str">
            <v>FIN Approval - Internal</v>
          </cell>
          <cell r="D2017">
            <v>29</v>
          </cell>
          <cell r="E2017" t="str">
            <v>APPROVED</v>
          </cell>
          <cell r="F2017">
            <v>41973</v>
          </cell>
          <cell r="G2017">
            <v>42004</v>
          </cell>
          <cell r="H2017">
            <v>6347.94</v>
          </cell>
          <cell r="I2017" t="str">
            <v>FIN Submission</v>
          </cell>
          <cell r="J2017">
            <v>42625</v>
          </cell>
        </row>
        <row r="2018">
          <cell r="A2018" t="str">
            <v>46635-P948</v>
          </cell>
          <cell r="B2018" t="str">
            <v>IT-U&amp;U Website Fortification</v>
          </cell>
          <cell r="C2018" t="str">
            <v>FIN Approval - Internal</v>
          </cell>
          <cell r="D2018">
            <v>30</v>
          </cell>
          <cell r="E2018" t="str">
            <v>APPROVED</v>
          </cell>
          <cell r="F2018">
            <v>41973</v>
          </cell>
          <cell r="G2018">
            <v>42185</v>
          </cell>
          <cell r="H2018">
            <v>148366.41</v>
          </cell>
          <cell r="I2018" t="str">
            <v>FIN Submission</v>
          </cell>
          <cell r="J2018">
            <v>42625</v>
          </cell>
        </row>
        <row r="2019">
          <cell r="A2019" t="str">
            <v>46621-D612</v>
          </cell>
          <cell r="B2019" t="str">
            <v>69V-211 - Bridgetown - Conversion</v>
          </cell>
          <cell r="C2019" t="str">
            <v>FIN Approval - Internal</v>
          </cell>
          <cell r="D2019">
            <v>31</v>
          </cell>
          <cell r="E2019" t="str">
            <v>APPROVED</v>
          </cell>
          <cell r="F2019">
            <v>42277</v>
          </cell>
          <cell r="G2019">
            <v>42704</v>
          </cell>
          <cell r="H2019">
            <v>197352.3</v>
          </cell>
          <cell r="I2019" t="str">
            <v>FIN Submission</v>
          </cell>
          <cell r="J2019">
            <v>42625</v>
          </cell>
        </row>
        <row r="2020">
          <cell r="A2020" t="str">
            <v>46620-D606</v>
          </cell>
          <cell r="B2020" t="str">
            <v>11S-411 Replace Hydraulic Reclosers</v>
          </cell>
          <cell r="C2020" t="str">
            <v>FIN Approval - Internal</v>
          </cell>
          <cell r="D2020">
            <v>32</v>
          </cell>
          <cell r="E2020" t="str">
            <v>APPROVED</v>
          </cell>
          <cell r="F2020">
            <v>42063</v>
          </cell>
          <cell r="G2020">
            <v>42369</v>
          </cell>
          <cell r="H2020">
            <v>62679.3</v>
          </cell>
          <cell r="I2020" t="str">
            <v>FIN Submission</v>
          </cell>
          <cell r="J2020">
            <v>42625</v>
          </cell>
        </row>
        <row r="2021">
          <cell r="A2021" t="str">
            <v>42930-P900</v>
          </cell>
          <cell r="B2021" t="str">
            <v>CT - U&amp;U Burnside Network Upgrade</v>
          </cell>
          <cell r="C2021" t="str">
            <v>FIN Approval - Internal</v>
          </cell>
          <cell r="D2021">
            <v>32</v>
          </cell>
          <cell r="E2021" t="str">
            <v>APPROVED</v>
          </cell>
          <cell r="F2021">
            <v>41608</v>
          </cell>
          <cell r="G2021">
            <v>41608</v>
          </cell>
          <cell r="H2021">
            <v>45919.96</v>
          </cell>
          <cell r="I2021" t="str">
            <v>FIN Submission</v>
          </cell>
          <cell r="J2021">
            <v>42625</v>
          </cell>
        </row>
        <row r="2022">
          <cell r="A2022" t="str">
            <v>46416-D598</v>
          </cell>
          <cell r="B2022" t="str">
            <v>16W-301 Ross Durkee Road Rebuild</v>
          </cell>
          <cell r="C2022" t="str">
            <v>FIN Approval - Internal</v>
          </cell>
          <cell r="D2022">
            <v>33</v>
          </cell>
          <cell r="E2022" t="str">
            <v>APPROVED</v>
          </cell>
          <cell r="F2022">
            <v>42003</v>
          </cell>
          <cell r="G2022">
            <v>42460</v>
          </cell>
          <cell r="H2022">
            <v>238976.72</v>
          </cell>
          <cell r="I2022" t="str">
            <v>FIN Submission</v>
          </cell>
          <cell r="J2022">
            <v>42625</v>
          </cell>
        </row>
        <row r="2023">
          <cell r="A2023" t="str">
            <v>43057-G158</v>
          </cell>
          <cell r="B2023" t="str">
            <v>TUC5 U&amp;U Thrust balance valve</v>
          </cell>
          <cell r="C2023" t="str">
            <v>FIN Approval - Internal</v>
          </cell>
          <cell r="D2023">
            <v>33</v>
          </cell>
          <cell r="E2023" t="str">
            <v>APPROVED</v>
          </cell>
          <cell r="F2023">
            <v>41151</v>
          </cell>
          <cell r="G2023">
            <v>41364</v>
          </cell>
          <cell r="H2023">
            <v>199895.41</v>
          </cell>
          <cell r="I2023" t="str">
            <v>FIN Submission</v>
          </cell>
          <cell r="J2023">
            <v>42625</v>
          </cell>
        </row>
        <row r="2024">
          <cell r="A2024" t="str">
            <v>42929-G162</v>
          </cell>
          <cell r="B2024" t="str">
            <v>CT- U&amp;U VJ Fall Protection (II)</v>
          </cell>
          <cell r="C2024" t="str">
            <v>FIN Approval - Internal</v>
          </cell>
          <cell r="D2024">
            <v>34</v>
          </cell>
          <cell r="E2024" t="str">
            <v>APPROVED</v>
          </cell>
          <cell r="F2024">
            <v>41608</v>
          </cell>
          <cell r="G2024">
            <v>41670</v>
          </cell>
          <cell r="H2024">
            <v>27473.43</v>
          </cell>
          <cell r="I2024" t="str">
            <v>FIN Submission</v>
          </cell>
          <cell r="J2024">
            <v>42625</v>
          </cell>
        </row>
        <row r="2025">
          <cell r="A2025" t="str">
            <v>45912-P933</v>
          </cell>
          <cell r="B2025" t="str">
            <v>HYD - Vista Server Upgrades</v>
          </cell>
          <cell r="C2025" t="str">
            <v>FIN Approval - Internal</v>
          </cell>
          <cell r="D2025">
            <v>35</v>
          </cell>
          <cell r="E2025" t="str">
            <v>APPROVED</v>
          </cell>
          <cell r="F2025">
            <v>41942</v>
          </cell>
          <cell r="G2025">
            <v>42063</v>
          </cell>
          <cell r="H2025">
            <v>8899.19</v>
          </cell>
          <cell r="I2025" t="str">
            <v>FIN Submission</v>
          </cell>
          <cell r="J2025">
            <v>42625</v>
          </cell>
        </row>
        <row r="2026">
          <cell r="A2026" t="str">
            <v>45870-D577</v>
          </cell>
          <cell r="B2026" t="str">
            <v>102W-311 - Chemin De L'Est</v>
          </cell>
          <cell r="C2026" t="str">
            <v>FIN Approval - Internal</v>
          </cell>
          <cell r="D2026">
            <v>36</v>
          </cell>
          <cell r="E2026" t="str">
            <v>APPROVED</v>
          </cell>
          <cell r="F2026">
            <v>42004</v>
          </cell>
          <cell r="G2026">
            <v>42460</v>
          </cell>
          <cell r="H2026">
            <v>160324.81</v>
          </cell>
          <cell r="I2026" t="str">
            <v>FIN Submission</v>
          </cell>
          <cell r="J2026">
            <v>42625</v>
          </cell>
        </row>
        <row r="2027">
          <cell r="A2027" t="str">
            <v>45796-T815</v>
          </cell>
          <cell r="B2027" t="str">
            <v>L6516 Upgrade</v>
          </cell>
          <cell r="C2027" t="str">
            <v>FIN Approval - Internal</v>
          </cell>
          <cell r="D2027">
            <v>36</v>
          </cell>
          <cell r="E2027" t="str">
            <v>APPROVED</v>
          </cell>
          <cell r="F2027">
            <v>42012</v>
          </cell>
          <cell r="G2027">
            <v>42520</v>
          </cell>
          <cell r="H2027">
            <v>493256.93</v>
          </cell>
          <cell r="I2027" t="str">
            <v>FIN Submission</v>
          </cell>
          <cell r="J2027">
            <v>42625</v>
          </cell>
        </row>
        <row r="2028">
          <cell r="A2028" t="str">
            <v>45819-D566</v>
          </cell>
          <cell r="B2028" t="str">
            <v>Fourchu Overload</v>
          </cell>
          <cell r="C2028" t="str">
            <v>FIN Approval - Internal</v>
          </cell>
          <cell r="D2028">
            <v>37</v>
          </cell>
          <cell r="E2028" t="str">
            <v>APPROVED</v>
          </cell>
          <cell r="F2028">
            <v>42246</v>
          </cell>
          <cell r="G2028">
            <v>42369</v>
          </cell>
          <cell r="H2028">
            <v>116609.11</v>
          </cell>
          <cell r="I2028" t="str">
            <v>FIN Submission</v>
          </cell>
          <cell r="J2028">
            <v>42625</v>
          </cell>
        </row>
        <row r="2029">
          <cell r="A2029" t="str">
            <v>45872-P936</v>
          </cell>
          <cell r="B2029" t="str">
            <v>IT - U&amp;U CIS Reporting</v>
          </cell>
          <cell r="C2029" t="str">
            <v>FIN Approval - Internal</v>
          </cell>
          <cell r="D2029">
            <v>37</v>
          </cell>
          <cell r="E2029" t="str">
            <v>APPROVED</v>
          </cell>
          <cell r="F2029">
            <v>41942</v>
          </cell>
          <cell r="G2029">
            <v>42124</v>
          </cell>
          <cell r="H2029">
            <v>19675.89</v>
          </cell>
          <cell r="I2029" t="str">
            <v>FIN Submission</v>
          </cell>
          <cell r="J2029">
            <v>42625</v>
          </cell>
        </row>
        <row r="2030">
          <cell r="A2030" t="str">
            <v>45874-P937</v>
          </cell>
          <cell r="B2030" t="str">
            <v>IT-U&amp;U CIS Collection Automation</v>
          </cell>
          <cell r="C2030" t="str">
            <v>FIN Approval - Internal</v>
          </cell>
          <cell r="D2030">
            <v>37</v>
          </cell>
          <cell r="E2030" t="str">
            <v>APPROVED</v>
          </cell>
          <cell r="F2030">
            <v>41851</v>
          </cell>
          <cell r="G2030">
            <v>42155</v>
          </cell>
          <cell r="H2030">
            <v>135872.48000000001</v>
          </cell>
          <cell r="I2030" t="str">
            <v>FIN Submission</v>
          </cell>
          <cell r="J2030">
            <v>42625</v>
          </cell>
        </row>
        <row r="2031">
          <cell r="A2031" t="str">
            <v>45880-D578</v>
          </cell>
          <cell r="B2031" t="str">
            <v>Livingston Cove Rebuild</v>
          </cell>
          <cell r="C2031" t="str">
            <v>FIN Approval - Internal</v>
          </cell>
          <cell r="D2031">
            <v>37</v>
          </cell>
          <cell r="E2031" t="str">
            <v>APPROVED</v>
          </cell>
          <cell r="F2031">
            <v>41942</v>
          </cell>
          <cell r="G2031">
            <v>42460</v>
          </cell>
          <cell r="H2031">
            <v>43748.49</v>
          </cell>
          <cell r="I2031" t="str">
            <v>FIN Submission</v>
          </cell>
          <cell r="J2031">
            <v>42625</v>
          </cell>
        </row>
        <row r="2032">
          <cell r="A2032" t="str">
            <v>45991-SD13</v>
          </cell>
          <cell r="B2032" t="str">
            <v>LIN4 UU Boiler External Weld Refurb</v>
          </cell>
          <cell r="C2032" t="str">
            <v>FIN Approval - Internal</v>
          </cell>
          <cell r="D2032">
            <v>41</v>
          </cell>
          <cell r="E2032" t="str">
            <v>APPROVED</v>
          </cell>
          <cell r="F2032">
            <v>41850</v>
          </cell>
          <cell r="G2032">
            <v>42093</v>
          </cell>
          <cell r="H2032">
            <v>107434.76</v>
          </cell>
          <cell r="I2032" t="str">
            <v>FIN Submission</v>
          </cell>
          <cell r="J2032">
            <v>42625</v>
          </cell>
        </row>
        <row r="2033">
          <cell r="A2033" t="str">
            <v>45578-D554</v>
          </cell>
          <cell r="B2033" t="str">
            <v>55V-313J Waterville Recloser</v>
          </cell>
          <cell r="C2033" t="str">
            <v>FIN Approval - Internal</v>
          </cell>
          <cell r="D2033">
            <v>42</v>
          </cell>
          <cell r="E2033" t="str">
            <v>APPROVED</v>
          </cell>
          <cell r="F2033">
            <v>42012</v>
          </cell>
          <cell r="G2033">
            <v>42369</v>
          </cell>
          <cell r="H2033">
            <v>54321.919999999998</v>
          </cell>
          <cell r="I2033" t="str">
            <v>FIN Submission</v>
          </cell>
          <cell r="J2033">
            <v>42625</v>
          </cell>
        </row>
        <row r="2034">
          <cell r="A2034" t="str">
            <v>40650-P905</v>
          </cell>
          <cell r="B2034" t="str">
            <v>PowerPlant Stabilization</v>
          </cell>
          <cell r="C2034" t="str">
            <v>FIN Approval - Internal</v>
          </cell>
          <cell r="D2034">
            <v>42</v>
          </cell>
          <cell r="E2034" t="str">
            <v>APPROVED</v>
          </cell>
          <cell r="F2034">
            <v>41517</v>
          </cell>
          <cell r="G2034">
            <v>41547</v>
          </cell>
          <cell r="H2034">
            <v>41378.61</v>
          </cell>
          <cell r="I2034" t="str">
            <v>FIN Submission</v>
          </cell>
          <cell r="J2034">
            <v>42625</v>
          </cell>
        </row>
        <row r="2035">
          <cell r="A2035" t="str">
            <v>20560-P606</v>
          </cell>
          <cell r="B2035" t="str">
            <v>MIL-HEAVY MTNCE DOORS</v>
          </cell>
          <cell r="C2035" t="str">
            <v>FIN Approval - Internal</v>
          </cell>
          <cell r="D2035">
            <v>43</v>
          </cell>
          <cell r="E2035" t="str">
            <v>APPROVED</v>
          </cell>
          <cell r="F2035">
            <v>39051</v>
          </cell>
          <cell r="G2035">
            <v>39113</v>
          </cell>
          <cell r="H2035">
            <v>20586.490000000002</v>
          </cell>
          <cell r="I2035" t="str">
            <v>FIN Submission</v>
          </cell>
          <cell r="J2035">
            <v>42625</v>
          </cell>
        </row>
        <row r="2036">
          <cell r="A2036" t="str">
            <v>45671-SC38</v>
          </cell>
          <cell r="B2036" t="str">
            <v>LIN-UU Ext Boiler Weld Refurb.</v>
          </cell>
          <cell r="C2036" t="str">
            <v>FIN Approval - Internal</v>
          </cell>
          <cell r="D2036">
            <v>45</v>
          </cell>
          <cell r="E2036" t="str">
            <v>APPROVED</v>
          </cell>
          <cell r="F2036">
            <v>41645</v>
          </cell>
          <cell r="G2036">
            <v>41879</v>
          </cell>
          <cell r="H2036">
            <v>113885.87</v>
          </cell>
          <cell r="I2036" t="str">
            <v>FIN Submission</v>
          </cell>
          <cell r="J2036">
            <v>42625</v>
          </cell>
        </row>
        <row r="2037">
          <cell r="A2037" t="str">
            <v>44317-T772</v>
          </cell>
          <cell r="B2037" t="str">
            <v>L7019 Upgrade</v>
          </cell>
          <cell r="C2037" t="str">
            <v>FIN Approval - Internal</v>
          </cell>
          <cell r="D2037">
            <v>47</v>
          </cell>
          <cell r="E2037" t="str">
            <v>APPROVED</v>
          </cell>
          <cell r="F2037">
            <v>41577</v>
          </cell>
          <cell r="G2037">
            <v>42520</v>
          </cell>
          <cell r="H2037">
            <v>135410.37</v>
          </cell>
          <cell r="I2037" t="str">
            <v>FIN Submission</v>
          </cell>
          <cell r="J2037">
            <v>42625</v>
          </cell>
        </row>
        <row r="2038">
          <cell r="A2038" t="str">
            <v>45110-SC87</v>
          </cell>
          <cell r="B2038" t="str">
            <v>PHB - Ash Handling Modifications</v>
          </cell>
          <cell r="C2038" t="str">
            <v>FIN Approval - Internal</v>
          </cell>
          <cell r="D2038">
            <v>47</v>
          </cell>
          <cell r="E2038" t="str">
            <v>APPROVED</v>
          </cell>
          <cell r="F2038">
            <v>42005</v>
          </cell>
          <cell r="G2038">
            <v>42065</v>
          </cell>
          <cell r="H2038">
            <v>109474.71</v>
          </cell>
          <cell r="I2038" t="str">
            <v>FIN Submission</v>
          </cell>
          <cell r="J2038">
            <v>42625</v>
          </cell>
        </row>
        <row r="2039">
          <cell r="A2039" t="str">
            <v>44748-P920</v>
          </cell>
          <cell r="B2039" t="str">
            <v>AMO - Generation Info Mgmt Systems</v>
          </cell>
          <cell r="C2039" t="str">
            <v>FIN Approval - Internal</v>
          </cell>
          <cell r="D2039">
            <v>48</v>
          </cell>
          <cell r="E2039" t="str">
            <v>APPROVED</v>
          </cell>
          <cell r="F2039">
            <v>42004</v>
          </cell>
          <cell r="G2039">
            <v>42422</v>
          </cell>
          <cell r="H2039">
            <v>233918.11</v>
          </cell>
          <cell r="I2039" t="str">
            <v>FIN Submission</v>
          </cell>
          <cell r="J2039">
            <v>42625</v>
          </cell>
        </row>
        <row r="2040">
          <cell r="A2040" t="str">
            <v>28245-G138</v>
          </cell>
          <cell r="B2040" t="str">
            <v>CT'S Victoria Junction #1 Free Turb</v>
          </cell>
          <cell r="C2040" t="str">
            <v>FIN Approval - Internal</v>
          </cell>
          <cell r="D2040">
            <v>48</v>
          </cell>
          <cell r="E2040" t="str">
            <v>APPROVED</v>
          </cell>
          <cell r="F2040">
            <v>39353</v>
          </cell>
          <cell r="G2040">
            <v>39507</v>
          </cell>
          <cell r="H2040">
            <v>142540.35999999999</v>
          </cell>
          <cell r="I2040" t="str">
            <v>FIN Submission</v>
          </cell>
          <cell r="J2040">
            <v>42625</v>
          </cell>
        </row>
        <row r="2041">
          <cell r="A2041" t="str">
            <v>42635-T722</v>
          </cell>
          <cell r="B2041" t="str">
            <v>L7012 Upgrade</v>
          </cell>
          <cell r="C2041" t="str">
            <v>FIN Approval - Internal</v>
          </cell>
          <cell r="D2041">
            <v>48</v>
          </cell>
          <cell r="E2041" t="str">
            <v>APPROVED</v>
          </cell>
          <cell r="F2041">
            <v>41638</v>
          </cell>
          <cell r="G2041">
            <v>42520</v>
          </cell>
          <cell r="H2041">
            <v>250065.5</v>
          </cell>
          <cell r="I2041" t="str">
            <v>FIN Submission</v>
          </cell>
          <cell r="J2041">
            <v>42625</v>
          </cell>
        </row>
        <row r="2042">
          <cell r="A2042" t="str">
            <v>45106-P950</v>
          </cell>
          <cell r="B2042" t="str">
            <v>IT -  Printer Fleet Refresh</v>
          </cell>
          <cell r="C2042" t="str">
            <v>FIN Approval - Internal</v>
          </cell>
          <cell r="D2042">
            <v>49</v>
          </cell>
          <cell r="E2042" t="str">
            <v>APPROVED</v>
          </cell>
          <cell r="F2042">
            <v>42004</v>
          </cell>
          <cell r="G2042">
            <v>42247</v>
          </cell>
          <cell r="H2042">
            <v>343288.61</v>
          </cell>
          <cell r="I2042" t="str">
            <v>FIN Submission</v>
          </cell>
          <cell r="J2042">
            <v>42625</v>
          </cell>
        </row>
        <row r="2043">
          <cell r="A2043" t="str">
            <v>43255-D475</v>
          </cell>
          <cell r="B2043" t="str">
            <v>2013 Distribution Cutout Replace</v>
          </cell>
          <cell r="C2043" t="str">
            <v>FIN Approval - Internal</v>
          </cell>
          <cell r="D2043">
            <v>50</v>
          </cell>
          <cell r="E2043" t="str">
            <v>APPROVED</v>
          </cell>
          <cell r="F2043">
            <v>41485</v>
          </cell>
          <cell r="G2043">
            <v>42520</v>
          </cell>
          <cell r="H2043">
            <v>398784.19</v>
          </cell>
          <cell r="I2043" t="str">
            <v>FIN Submission</v>
          </cell>
          <cell r="J2043">
            <v>42625</v>
          </cell>
        </row>
        <row r="2044">
          <cell r="A2044" t="str">
            <v>43766-G168</v>
          </cell>
          <cell r="B2044" t="str">
            <v>CT - VJ 1&amp;2 Upgrade to DAS</v>
          </cell>
          <cell r="C2044" t="str">
            <v>FIN Approval - Internal</v>
          </cell>
          <cell r="D2044">
            <v>50</v>
          </cell>
          <cell r="E2044" t="str">
            <v>APPROVED</v>
          </cell>
          <cell r="F2044">
            <v>41638</v>
          </cell>
          <cell r="G2044">
            <v>42246</v>
          </cell>
          <cell r="H2044">
            <v>159736.94</v>
          </cell>
          <cell r="I2044" t="str">
            <v>FIN Submission</v>
          </cell>
          <cell r="J2044">
            <v>42625</v>
          </cell>
        </row>
        <row r="2045">
          <cell r="A2045" t="str">
            <v>44369-P926</v>
          </cell>
          <cell r="B2045" t="str">
            <v>AMO POA UU Plant Wireless Infras.</v>
          </cell>
          <cell r="C2045" t="str">
            <v>FIN Approval - Internal</v>
          </cell>
          <cell r="D2045">
            <v>51</v>
          </cell>
          <cell r="E2045" t="str">
            <v>APPROVED</v>
          </cell>
          <cell r="F2045">
            <v>41590</v>
          </cell>
          <cell r="G2045">
            <v>42063</v>
          </cell>
          <cell r="H2045">
            <v>115850.8</v>
          </cell>
          <cell r="I2045" t="str">
            <v>FIN Submission</v>
          </cell>
          <cell r="J2045">
            <v>42625</v>
          </cell>
        </row>
        <row r="2046">
          <cell r="A2046" t="str">
            <v>45269-G169</v>
          </cell>
          <cell r="B2046" t="str">
            <v>CT - U&amp;U Tusket Engine Replacement</v>
          </cell>
          <cell r="C2046" t="str">
            <v>FIN Approval - Internal</v>
          </cell>
          <cell r="D2046">
            <v>52</v>
          </cell>
          <cell r="E2046" t="str">
            <v>APPROVED</v>
          </cell>
          <cell r="F2046">
            <v>41639</v>
          </cell>
          <cell r="G2046">
            <v>42004</v>
          </cell>
          <cell r="H2046">
            <v>2096117.33</v>
          </cell>
          <cell r="I2046" t="str">
            <v>FIN Submission</v>
          </cell>
          <cell r="J2046">
            <v>42625</v>
          </cell>
        </row>
        <row r="2047">
          <cell r="A2047" t="str">
            <v>42628-T717</v>
          </cell>
          <cell r="B2047" t="str">
            <v>L5031 Upgrade</v>
          </cell>
          <cell r="C2047" t="str">
            <v>FIN Approval - Internal</v>
          </cell>
          <cell r="D2047">
            <v>52</v>
          </cell>
          <cell r="E2047" t="str">
            <v>APPROVED</v>
          </cell>
          <cell r="F2047">
            <v>41090</v>
          </cell>
          <cell r="G2047">
            <v>42520</v>
          </cell>
          <cell r="H2047">
            <v>151090.6</v>
          </cell>
          <cell r="I2047" t="str">
            <v>FIN Submission</v>
          </cell>
          <cell r="J2047">
            <v>42625</v>
          </cell>
        </row>
        <row r="2048">
          <cell r="A2048" t="str">
            <v>45058-SC53</v>
          </cell>
          <cell r="B2048" t="str">
            <v>LIN4 Turbine Valves Refurb</v>
          </cell>
          <cell r="C2048" t="str">
            <v>FIN Approval - Internal</v>
          </cell>
          <cell r="D2048">
            <v>52</v>
          </cell>
          <cell r="E2048" t="str">
            <v>APPROVED</v>
          </cell>
          <cell r="F2048">
            <v>41820</v>
          </cell>
          <cell r="G2048">
            <v>42003</v>
          </cell>
          <cell r="H2048">
            <v>139089.06</v>
          </cell>
          <cell r="I2048" t="str">
            <v>FIN Submission</v>
          </cell>
          <cell r="J2048">
            <v>42625</v>
          </cell>
        </row>
        <row r="2049">
          <cell r="A2049" t="str">
            <v>44446-P924</v>
          </cell>
          <cell r="B2049" t="str">
            <v>IT - U&amp;U Windows 7 Migration</v>
          </cell>
          <cell r="C2049" t="str">
            <v>FIN Approval - Internal</v>
          </cell>
          <cell r="D2049">
            <v>54</v>
          </cell>
          <cell r="E2049" t="str">
            <v>APPROVED</v>
          </cell>
          <cell r="F2049">
            <v>41639</v>
          </cell>
          <cell r="G2049">
            <v>42369</v>
          </cell>
          <cell r="H2049">
            <v>693832.8</v>
          </cell>
          <cell r="I2049" t="str">
            <v>FIN Submission</v>
          </cell>
          <cell r="J2049">
            <v>42625</v>
          </cell>
        </row>
        <row r="2050">
          <cell r="A2050" t="str">
            <v>44051-D480</v>
          </cell>
          <cell r="B2050" t="str">
            <v>51V-301 Meadowvale Road Two Phases</v>
          </cell>
          <cell r="C2050" t="str">
            <v>FIN Approval - Internal</v>
          </cell>
          <cell r="D2050">
            <v>55</v>
          </cell>
          <cell r="E2050" t="str">
            <v>APPROVED</v>
          </cell>
          <cell r="F2050">
            <v>41577</v>
          </cell>
          <cell r="G2050">
            <v>42272</v>
          </cell>
          <cell r="H2050">
            <v>27228.05</v>
          </cell>
          <cell r="I2050" t="str">
            <v>FIN Submission</v>
          </cell>
          <cell r="J2050">
            <v>42625</v>
          </cell>
        </row>
        <row r="2051">
          <cell r="A2051" t="str">
            <v>44350-SC60</v>
          </cell>
          <cell r="B2051" t="str">
            <v>LIN4 Boiler Refurbish 2014</v>
          </cell>
          <cell r="C2051" t="str">
            <v>FIN Approval - Internal</v>
          </cell>
          <cell r="D2051">
            <v>57</v>
          </cell>
          <cell r="E2051" t="str">
            <v>APPROVED</v>
          </cell>
          <cell r="F2051">
            <v>41802</v>
          </cell>
          <cell r="G2051">
            <v>42369</v>
          </cell>
          <cell r="H2051">
            <v>386410.06</v>
          </cell>
          <cell r="I2051" t="str">
            <v>FIN Submission</v>
          </cell>
          <cell r="J2051">
            <v>42625</v>
          </cell>
        </row>
        <row r="2052">
          <cell r="A2052" t="str">
            <v>41552-T705</v>
          </cell>
          <cell r="B2052" t="str">
            <v>131H Lucasville Transformer Additio</v>
          </cell>
          <cell r="C2052" t="str">
            <v>FIN Approval - Internal</v>
          </cell>
          <cell r="D2052">
            <v>60</v>
          </cell>
          <cell r="E2052" t="str">
            <v>APPROVED</v>
          </cell>
          <cell r="F2052">
            <v>41151</v>
          </cell>
          <cell r="G2052">
            <v>41394</v>
          </cell>
          <cell r="H2052">
            <v>1848858.71</v>
          </cell>
          <cell r="I2052" t="str">
            <v>FIN Submission</v>
          </cell>
          <cell r="J2052">
            <v>42625</v>
          </cell>
        </row>
        <row r="2053">
          <cell r="A2053" t="str">
            <v>43189-D494</v>
          </cell>
          <cell r="B2053" t="str">
            <v>2013 Downline Recloser Additions</v>
          </cell>
          <cell r="C2053" t="str">
            <v>FIN Approval - Internal</v>
          </cell>
          <cell r="D2053">
            <v>60</v>
          </cell>
          <cell r="E2053" t="str">
            <v>APPROVED</v>
          </cell>
          <cell r="F2053">
            <v>41698</v>
          </cell>
          <cell r="G2053">
            <v>42521</v>
          </cell>
          <cell r="H2053">
            <v>248780.86</v>
          </cell>
          <cell r="I2053" t="str">
            <v>FIN Submission</v>
          </cell>
          <cell r="J2053">
            <v>42625</v>
          </cell>
        </row>
        <row r="2054">
          <cell r="A2054" t="str">
            <v>43187-T742</v>
          </cell>
          <cell r="B2054" t="str">
            <v>U&amp;U L8002 Tower Refurbishment</v>
          </cell>
          <cell r="C2054" t="str">
            <v>FIN Approval - Internal</v>
          </cell>
          <cell r="D2054">
            <v>60</v>
          </cell>
          <cell r="E2054" t="str">
            <v>APPROVED</v>
          </cell>
          <cell r="F2054">
            <v>41213</v>
          </cell>
          <cell r="G2054">
            <v>42459</v>
          </cell>
          <cell r="H2054">
            <v>276635.34999999998</v>
          </cell>
          <cell r="I2054" t="str">
            <v>FIN Submission</v>
          </cell>
          <cell r="J2054">
            <v>42625</v>
          </cell>
        </row>
        <row r="2055">
          <cell r="A2055" t="str">
            <v>41643-G154</v>
          </cell>
          <cell r="B2055" t="str">
            <v>CT U&amp;U LM#5 ENGINE REFURB</v>
          </cell>
          <cell r="C2055" t="str">
            <v>FIN Approval - Internal</v>
          </cell>
          <cell r="D2055">
            <v>61</v>
          </cell>
          <cell r="E2055" t="str">
            <v>APPROVED</v>
          </cell>
          <cell r="F2055">
            <v>40848</v>
          </cell>
          <cell r="G2055">
            <v>41149</v>
          </cell>
          <cell r="H2055">
            <v>1863941.15</v>
          </cell>
          <cell r="I2055" t="str">
            <v>FIN Submission</v>
          </cell>
          <cell r="J2055">
            <v>42625</v>
          </cell>
        </row>
        <row r="2056">
          <cell r="A2056" t="str">
            <v>43947-H681</v>
          </cell>
          <cell r="B2056" t="str">
            <v>HYD - Hell's Gate Battery Bank U&amp;U</v>
          </cell>
          <cell r="C2056" t="str">
            <v>FIN Approval - Internal</v>
          </cell>
          <cell r="D2056">
            <v>61</v>
          </cell>
          <cell r="E2056" t="str">
            <v>APPROVED</v>
          </cell>
          <cell r="F2056">
            <v>41881</v>
          </cell>
          <cell r="G2056">
            <v>41940</v>
          </cell>
          <cell r="H2056">
            <v>23176.69</v>
          </cell>
          <cell r="I2056" t="str">
            <v>FIN Submission</v>
          </cell>
          <cell r="J2056">
            <v>42625</v>
          </cell>
        </row>
        <row r="2057">
          <cell r="A2057" t="str">
            <v>43606-T759</v>
          </cell>
          <cell r="B2057" t="str">
            <v>L5549 Upgrade</v>
          </cell>
          <cell r="C2057" t="str">
            <v>FIN Approval - Internal</v>
          </cell>
          <cell r="D2057">
            <v>61</v>
          </cell>
          <cell r="E2057" t="str">
            <v>APPROVED</v>
          </cell>
          <cell r="F2057">
            <v>41608</v>
          </cell>
          <cell r="G2057">
            <v>42520</v>
          </cell>
          <cell r="H2057">
            <v>577375.68000000005</v>
          </cell>
          <cell r="I2057" t="str">
            <v>FIN Submission</v>
          </cell>
          <cell r="J2057">
            <v>42625</v>
          </cell>
        </row>
        <row r="2058">
          <cell r="A2058" t="str">
            <v>41238-S943</v>
          </cell>
          <cell r="B2058" t="str">
            <v>TUC - Asbestos Abatement Program</v>
          </cell>
          <cell r="C2058" t="str">
            <v>FIN Approval - Internal</v>
          </cell>
          <cell r="D2058">
            <v>61</v>
          </cell>
          <cell r="E2058" t="str">
            <v>APPROVED</v>
          </cell>
          <cell r="F2058">
            <v>41273</v>
          </cell>
          <cell r="G2058">
            <v>42185</v>
          </cell>
          <cell r="H2058">
            <v>173604.09</v>
          </cell>
          <cell r="I2058" t="str">
            <v>FIN Submission</v>
          </cell>
          <cell r="J2058">
            <v>42625</v>
          </cell>
        </row>
        <row r="2059">
          <cell r="A2059" t="str">
            <v>43949-H683</v>
          </cell>
          <cell r="B2059" t="str">
            <v>HYD - Bear River Battery Bank U&amp;U</v>
          </cell>
          <cell r="C2059" t="str">
            <v>FIN Approval - Internal</v>
          </cell>
          <cell r="D2059">
            <v>62</v>
          </cell>
          <cell r="E2059" t="str">
            <v>APPROVED</v>
          </cell>
          <cell r="F2059">
            <v>41881</v>
          </cell>
          <cell r="G2059">
            <v>42035</v>
          </cell>
          <cell r="H2059">
            <v>48714.68</v>
          </cell>
          <cell r="I2059" t="str">
            <v>FIN Submission</v>
          </cell>
          <cell r="J2059">
            <v>42625</v>
          </cell>
        </row>
        <row r="2060">
          <cell r="A2060" t="str">
            <v>43388-P927</v>
          </cell>
          <cell r="B2060" t="str">
            <v>IT - PI Software License True-up</v>
          </cell>
          <cell r="C2060" t="str">
            <v>FIN Approval - Internal</v>
          </cell>
          <cell r="D2060">
            <v>63</v>
          </cell>
          <cell r="E2060" t="str">
            <v>APPROVED</v>
          </cell>
          <cell r="F2060">
            <v>41639</v>
          </cell>
          <cell r="G2060">
            <v>41670</v>
          </cell>
          <cell r="H2060">
            <v>112911.3</v>
          </cell>
          <cell r="I2060" t="str">
            <v>FIN Submission</v>
          </cell>
          <cell r="J2060">
            <v>42625</v>
          </cell>
        </row>
        <row r="2061">
          <cell r="A2061" t="str">
            <v>43846-H676</v>
          </cell>
          <cell r="B2061" t="str">
            <v>HYD - WRC Piping Modifications U&amp;U</v>
          </cell>
          <cell r="C2061" t="str">
            <v>FIN Approval - Internal</v>
          </cell>
          <cell r="D2061">
            <v>64</v>
          </cell>
          <cell r="E2061" t="str">
            <v>APPROVED</v>
          </cell>
          <cell r="F2061">
            <v>41943</v>
          </cell>
          <cell r="G2061">
            <v>42035</v>
          </cell>
          <cell r="H2061">
            <v>100054.62</v>
          </cell>
          <cell r="I2061" t="str">
            <v>FIN Submission</v>
          </cell>
          <cell r="J2061">
            <v>42625</v>
          </cell>
        </row>
        <row r="2062">
          <cell r="A2062" t="str">
            <v>43346-P917</v>
          </cell>
          <cell r="B2062" t="str">
            <v>IT - Service Hub Upgrade</v>
          </cell>
          <cell r="C2062" t="str">
            <v>FIN Approval - Internal</v>
          </cell>
          <cell r="D2062">
            <v>64</v>
          </cell>
          <cell r="E2062" t="str">
            <v>APPROVED</v>
          </cell>
          <cell r="F2062">
            <v>41833</v>
          </cell>
          <cell r="G2062">
            <v>42035</v>
          </cell>
          <cell r="H2062">
            <v>780573.86</v>
          </cell>
          <cell r="I2062" t="str">
            <v>FIN Submission</v>
          </cell>
          <cell r="J2062">
            <v>42625</v>
          </cell>
        </row>
        <row r="2063">
          <cell r="A2063" t="str">
            <v>42633-T720</v>
          </cell>
          <cell r="B2063" t="str">
            <v>L6005B Upgrade</v>
          </cell>
          <cell r="C2063" t="str">
            <v>FIN Approval - Internal</v>
          </cell>
          <cell r="D2063">
            <v>64</v>
          </cell>
          <cell r="E2063" t="str">
            <v>APPROVED</v>
          </cell>
          <cell r="F2063">
            <v>41237</v>
          </cell>
          <cell r="G2063">
            <v>42520</v>
          </cell>
          <cell r="H2063">
            <v>304292.14</v>
          </cell>
          <cell r="I2063" t="str">
            <v>FIN Submission</v>
          </cell>
          <cell r="J2063">
            <v>42625</v>
          </cell>
        </row>
        <row r="2064">
          <cell r="A2064" t="str">
            <v>43826-H675</v>
          </cell>
          <cell r="B2064" t="str">
            <v>HYD - ANN Roof Hatch Replace U&amp;U</v>
          </cell>
          <cell r="C2064" t="str">
            <v>FIN Approval - Internal</v>
          </cell>
          <cell r="D2064">
            <v>65</v>
          </cell>
          <cell r="E2064" t="str">
            <v>APPROVED</v>
          </cell>
          <cell r="F2064">
            <v>41881</v>
          </cell>
          <cell r="G2064">
            <v>41943</v>
          </cell>
          <cell r="H2064">
            <v>352732.58</v>
          </cell>
          <cell r="I2064" t="str">
            <v>FIN Submission</v>
          </cell>
          <cell r="J2064">
            <v>42625</v>
          </cell>
        </row>
        <row r="2065">
          <cell r="A2065" t="str">
            <v>43368-P922</v>
          </cell>
          <cell r="B2065" t="str">
            <v>IT - Maximo Enhancements</v>
          </cell>
          <cell r="C2065" t="str">
            <v>FIN Approval - Internal</v>
          </cell>
          <cell r="D2065">
            <v>65</v>
          </cell>
          <cell r="E2065" t="str">
            <v>APPROVED</v>
          </cell>
          <cell r="F2065">
            <v>41820</v>
          </cell>
          <cell r="G2065">
            <v>42063</v>
          </cell>
          <cell r="H2065">
            <v>229116.69</v>
          </cell>
          <cell r="I2065" t="str">
            <v>FIN Submission</v>
          </cell>
          <cell r="J2065">
            <v>42625</v>
          </cell>
        </row>
        <row r="2066">
          <cell r="A2066" t="str">
            <v>43039-H658</v>
          </cell>
          <cell r="B2066" t="str">
            <v>HYD - Weymouth Surge Tank</v>
          </cell>
          <cell r="C2066" t="str">
            <v>FIN Approval - Internal</v>
          </cell>
          <cell r="D2066">
            <v>66</v>
          </cell>
          <cell r="E2066" t="str">
            <v>APPROVED</v>
          </cell>
          <cell r="F2066">
            <v>41579</v>
          </cell>
          <cell r="G2066">
            <v>41912</v>
          </cell>
          <cell r="H2066">
            <v>2581869.66</v>
          </cell>
          <cell r="I2066" t="str">
            <v>FIN Submission</v>
          </cell>
          <cell r="J2066">
            <v>42625</v>
          </cell>
        </row>
        <row r="2067">
          <cell r="A2067" t="str">
            <v>42965-SC26</v>
          </cell>
          <cell r="B2067" t="str">
            <v>TUC - Fire System Elect. Upgrade</v>
          </cell>
          <cell r="C2067" t="str">
            <v>FIN Approval - Internal</v>
          </cell>
          <cell r="D2067">
            <v>66</v>
          </cell>
          <cell r="E2067" t="str">
            <v>APPROVED</v>
          </cell>
          <cell r="F2067">
            <v>42139</v>
          </cell>
          <cell r="G2067">
            <v>42527</v>
          </cell>
          <cell r="H2067">
            <v>120442.17</v>
          </cell>
          <cell r="I2067" t="str">
            <v>FIN Submission</v>
          </cell>
          <cell r="J2067">
            <v>42625</v>
          </cell>
        </row>
        <row r="2068">
          <cell r="A2068" t="str">
            <v>43430-G159</v>
          </cell>
          <cell r="B2068" t="str">
            <v>TUC4&amp;5- U&amp;U Air House Refurbishment</v>
          </cell>
          <cell r="C2068" t="str">
            <v>FIN Approval - Internal</v>
          </cell>
          <cell r="D2068">
            <v>68</v>
          </cell>
          <cell r="E2068" t="str">
            <v>APPROVED</v>
          </cell>
          <cell r="F2068">
            <v>41820</v>
          </cell>
          <cell r="G2068">
            <v>41942</v>
          </cell>
          <cell r="H2068">
            <v>59701.03</v>
          </cell>
          <cell r="I2068" t="str">
            <v>FIN Submission</v>
          </cell>
          <cell r="J2068">
            <v>42625</v>
          </cell>
        </row>
        <row r="2069">
          <cell r="A2069" t="str">
            <v>40542-G156</v>
          </cell>
          <cell r="B2069" t="str">
            <v>CT - U&amp;U Fall Protection</v>
          </cell>
          <cell r="C2069" t="str">
            <v>FIN Approval - Internal</v>
          </cell>
          <cell r="D2069">
            <v>69</v>
          </cell>
          <cell r="E2069" t="str">
            <v>APPROVED</v>
          </cell>
          <cell r="F2069">
            <v>41243</v>
          </cell>
          <cell r="G2069">
            <v>41274</v>
          </cell>
          <cell r="H2069">
            <v>65154.84</v>
          </cell>
          <cell r="I2069" t="str">
            <v>FIN Submission</v>
          </cell>
          <cell r="J2069">
            <v>42625</v>
          </cell>
        </row>
        <row r="2070">
          <cell r="A2070" t="str">
            <v>43526-G160</v>
          </cell>
          <cell r="B2070" t="str">
            <v>CT-U&amp;U BGT Oil Unloading Area</v>
          </cell>
          <cell r="C2070" t="str">
            <v>FIN Approval - Internal</v>
          </cell>
          <cell r="D2070">
            <v>69</v>
          </cell>
          <cell r="E2070" t="str">
            <v>APPROVED</v>
          </cell>
          <cell r="F2070">
            <v>41577</v>
          </cell>
          <cell r="G2070">
            <v>42155</v>
          </cell>
          <cell r="H2070">
            <v>249316.78</v>
          </cell>
          <cell r="I2070" t="str">
            <v>FIN Submission</v>
          </cell>
          <cell r="J2070">
            <v>42625</v>
          </cell>
        </row>
        <row r="2071">
          <cell r="A2071" t="str">
            <v>43193-H665</v>
          </cell>
          <cell r="B2071" t="str">
            <v>HYD - Malay Falls Rubber Dam U&amp;U</v>
          </cell>
          <cell r="C2071" t="str">
            <v>FIN Approval - Internal</v>
          </cell>
          <cell r="D2071">
            <v>70</v>
          </cell>
          <cell r="E2071" t="str">
            <v>APPROVED</v>
          </cell>
          <cell r="F2071">
            <v>41934</v>
          </cell>
          <cell r="G2071">
            <v>42124</v>
          </cell>
          <cell r="H2071">
            <v>119440.52</v>
          </cell>
          <cell r="I2071" t="str">
            <v>FIN Submission</v>
          </cell>
          <cell r="J2071">
            <v>42625</v>
          </cell>
        </row>
        <row r="2072">
          <cell r="A2072" t="str">
            <v>43323-T756</v>
          </cell>
          <cell r="B2072" t="str">
            <v>Tuft's Cove Line Swap</v>
          </cell>
          <cell r="C2072" t="str">
            <v>FIN Approval - Internal</v>
          </cell>
          <cell r="D2072">
            <v>71</v>
          </cell>
          <cell r="E2072" t="str">
            <v>APPROVED</v>
          </cell>
          <cell r="F2072">
            <v>41377</v>
          </cell>
          <cell r="G2072">
            <v>42460</v>
          </cell>
          <cell r="H2072">
            <v>281415.90999999997</v>
          </cell>
          <cell r="I2072" t="str">
            <v>FIN Submission</v>
          </cell>
          <cell r="J2072">
            <v>42625</v>
          </cell>
        </row>
        <row r="2073">
          <cell r="A2073" t="str">
            <v>40662-D344</v>
          </cell>
          <cell r="B2073" t="str">
            <v>2011 Padmount Replacement Program</v>
          </cell>
          <cell r="C2073" t="str">
            <v>FIN Approval - Internal</v>
          </cell>
          <cell r="D2073">
            <v>72</v>
          </cell>
          <cell r="E2073" t="str">
            <v>APPROVED</v>
          </cell>
          <cell r="F2073">
            <v>40908</v>
          </cell>
          <cell r="G2073">
            <v>42520</v>
          </cell>
          <cell r="H2073">
            <v>648887.64</v>
          </cell>
          <cell r="I2073" t="str">
            <v>FIN Submission</v>
          </cell>
          <cell r="J2073">
            <v>42625</v>
          </cell>
        </row>
        <row r="2074">
          <cell r="A2074" t="str">
            <v>43154-G163</v>
          </cell>
          <cell r="B2074" t="str">
            <v>CT - Critical Spares for LM6000</v>
          </cell>
          <cell r="C2074" t="str">
            <v>FIN Approval - Internal</v>
          </cell>
          <cell r="D2074">
            <v>72</v>
          </cell>
          <cell r="E2074" t="str">
            <v>APPROVED</v>
          </cell>
          <cell r="F2074">
            <v>42003</v>
          </cell>
          <cell r="G2074">
            <v>42338</v>
          </cell>
          <cell r="H2074">
            <v>569834.44999999995</v>
          </cell>
          <cell r="I2074" t="str">
            <v>FIN Submission</v>
          </cell>
          <cell r="J2074">
            <v>42625</v>
          </cell>
        </row>
        <row r="2075">
          <cell r="A2075" t="str">
            <v>40564-P870</v>
          </cell>
          <cell r="B2075" t="str">
            <v>LWS Parking Lot Non-Reg</v>
          </cell>
          <cell r="C2075" t="str">
            <v>FIN Approval - Internal</v>
          </cell>
          <cell r="D2075">
            <v>78</v>
          </cell>
          <cell r="E2075" t="str">
            <v>APPROVED</v>
          </cell>
          <cell r="F2075">
            <v>40877</v>
          </cell>
          <cell r="G2075">
            <v>40908</v>
          </cell>
          <cell r="H2075">
            <v>454697.72</v>
          </cell>
          <cell r="I2075" t="str">
            <v>FIN Submission</v>
          </cell>
          <cell r="J2075">
            <v>42625</v>
          </cell>
        </row>
        <row r="2076">
          <cell r="A2076" t="str">
            <v>40543-G153</v>
          </cell>
          <cell r="B2076" t="str">
            <v>CT REPLACE TUSKET DUMP TANK</v>
          </cell>
          <cell r="C2076" t="str">
            <v>FIN Approval - Internal</v>
          </cell>
          <cell r="D2076">
            <v>80</v>
          </cell>
          <cell r="E2076" t="str">
            <v>APPROVED</v>
          </cell>
          <cell r="F2076">
            <v>40907</v>
          </cell>
          <cell r="G2076">
            <v>41183</v>
          </cell>
          <cell r="H2076">
            <v>47455.96</v>
          </cell>
          <cell r="I2076" t="str">
            <v>FIN Submission</v>
          </cell>
          <cell r="J2076">
            <v>42625</v>
          </cell>
        </row>
        <row r="2077">
          <cell r="A2077" t="str">
            <v>40485-P869</v>
          </cell>
          <cell r="B2077" t="str">
            <v>IT - Mobile Workforce Technology</v>
          </cell>
          <cell r="C2077" t="str">
            <v>FIN Approval - Internal</v>
          </cell>
          <cell r="D2077">
            <v>81</v>
          </cell>
          <cell r="E2077" t="str">
            <v>APPROVED</v>
          </cell>
          <cell r="F2077">
            <v>41243</v>
          </cell>
          <cell r="G2077">
            <v>41364</v>
          </cell>
          <cell r="H2077">
            <v>160238.04</v>
          </cell>
          <cell r="I2077" t="str">
            <v>FIN Submission</v>
          </cell>
          <cell r="J2077">
            <v>42625</v>
          </cell>
        </row>
        <row r="2078">
          <cell r="A2078" t="str">
            <v>40364-P868</v>
          </cell>
          <cell r="B2078" t="str">
            <v>IT - Oracle Database Infrastructure</v>
          </cell>
          <cell r="C2078" t="str">
            <v>FIN Approval - Internal</v>
          </cell>
          <cell r="D2078">
            <v>82</v>
          </cell>
          <cell r="E2078" t="str">
            <v>APPROVED</v>
          </cell>
          <cell r="F2078">
            <v>41029</v>
          </cell>
          <cell r="G2078">
            <v>41425</v>
          </cell>
          <cell r="H2078">
            <v>223932.39</v>
          </cell>
          <cell r="I2078" t="str">
            <v>FIN Submission</v>
          </cell>
          <cell r="J2078">
            <v>42625</v>
          </cell>
        </row>
        <row r="2079">
          <cell r="A2079" t="str">
            <v>40053-G152</v>
          </cell>
          <cell r="B2079" t="str">
            <v>U&amp;U CT-TUC4 REPLACE FUEL CTRL VALVE</v>
          </cell>
          <cell r="C2079" t="str">
            <v>FIN Approval - Internal</v>
          </cell>
          <cell r="D2079">
            <v>82</v>
          </cell>
          <cell r="E2079" t="str">
            <v>APPROVED</v>
          </cell>
          <cell r="F2079">
            <v>40451</v>
          </cell>
          <cell r="G2079">
            <v>40632</v>
          </cell>
          <cell r="H2079">
            <v>67657</v>
          </cell>
          <cell r="I2079" t="str">
            <v>FIN Submission</v>
          </cell>
          <cell r="J2079">
            <v>42625</v>
          </cell>
        </row>
        <row r="2080">
          <cell r="A2080" t="str">
            <v>41265-S852</v>
          </cell>
          <cell r="B2080" t="str">
            <v>TUC - Oil Dock Piling Refurbishment</v>
          </cell>
          <cell r="C2080" t="str">
            <v>FIN Approval - Internal</v>
          </cell>
          <cell r="D2080">
            <v>83</v>
          </cell>
          <cell r="E2080" t="str">
            <v>APPROVED</v>
          </cell>
          <cell r="F2080">
            <v>41820</v>
          </cell>
          <cell r="G2080">
            <v>42338</v>
          </cell>
          <cell r="H2080">
            <v>1679037.39</v>
          </cell>
          <cell r="I2080" t="str">
            <v>FIN Submission</v>
          </cell>
          <cell r="J2080">
            <v>42625</v>
          </cell>
        </row>
        <row r="2081">
          <cell r="A2081" t="str">
            <v>40300-D334</v>
          </cell>
          <cell r="B2081" t="str">
            <v>104H-432 Targeted Replacements</v>
          </cell>
          <cell r="C2081" t="str">
            <v>FIN Approval - External</v>
          </cell>
          <cell r="D2081">
            <v>84</v>
          </cell>
          <cell r="E2081" t="str">
            <v>APPROVED</v>
          </cell>
          <cell r="F2081">
            <v>40907</v>
          </cell>
          <cell r="G2081">
            <v>42460</v>
          </cell>
          <cell r="H2081">
            <v>87209.15</v>
          </cell>
          <cell r="I2081" t="str">
            <v>FIN Submission</v>
          </cell>
          <cell r="J2081">
            <v>42625</v>
          </cell>
        </row>
        <row r="2082">
          <cell r="A2082" t="str">
            <v>40304-P895</v>
          </cell>
          <cell r="B2082" t="str">
            <v>IT - MS Office Upgrade for CCC</v>
          </cell>
          <cell r="C2082" t="str">
            <v>FIN Approval - Internal</v>
          </cell>
          <cell r="D2082">
            <v>84</v>
          </cell>
          <cell r="E2082" t="str">
            <v>APPROVED</v>
          </cell>
          <cell r="F2082">
            <v>41305</v>
          </cell>
          <cell r="G2082">
            <v>41425</v>
          </cell>
          <cell r="H2082">
            <v>80609.5</v>
          </cell>
          <cell r="I2082" t="str">
            <v>FIN Submission</v>
          </cell>
          <cell r="J2082">
            <v>42625</v>
          </cell>
        </row>
        <row r="2083">
          <cell r="A2083" t="str">
            <v>39929-D315</v>
          </cell>
          <cell r="B2083" t="str">
            <v>East River Road Widening</v>
          </cell>
          <cell r="C2083" t="str">
            <v>FIN Approval - Internal</v>
          </cell>
          <cell r="D2083">
            <v>86</v>
          </cell>
          <cell r="E2083" t="str">
            <v>APPROVED</v>
          </cell>
          <cell r="F2083">
            <v>40574</v>
          </cell>
          <cell r="G2083">
            <v>42490</v>
          </cell>
          <cell r="H2083">
            <v>186861.82</v>
          </cell>
          <cell r="I2083" t="str">
            <v>FIN Submission</v>
          </cell>
          <cell r="J2083">
            <v>42625</v>
          </cell>
        </row>
        <row r="2084">
          <cell r="A2084" t="str">
            <v>40298-P877</v>
          </cell>
          <cell r="B2084" t="str">
            <v>IT - SAN and Backup Replacement</v>
          </cell>
          <cell r="C2084" t="str">
            <v>FIN Approval - Internal</v>
          </cell>
          <cell r="D2084">
            <v>87</v>
          </cell>
          <cell r="E2084" t="str">
            <v>APPROVED</v>
          </cell>
          <cell r="F2084">
            <v>40908</v>
          </cell>
          <cell r="G2084">
            <v>42551</v>
          </cell>
          <cell r="H2084">
            <v>839998.36</v>
          </cell>
          <cell r="I2084" t="str">
            <v>FIN Submission</v>
          </cell>
          <cell r="J2084">
            <v>42625</v>
          </cell>
        </row>
        <row r="2085">
          <cell r="A2085" t="str">
            <v>41403-P899</v>
          </cell>
          <cell r="B2085" t="str">
            <v>GIS Enterprise License Agreement</v>
          </cell>
          <cell r="C2085" t="str">
            <v>FIN Approval - Internal</v>
          </cell>
          <cell r="D2085">
            <v>89</v>
          </cell>
          <cell r="E2085" t="str">
            <v>APPROVED</v>
          </cell>
          <cell r="F2085">
            <v>41213</v>
          </cell>
          <cell r="G2085">
            <v>42520</v>
          </cell>
          <cell r="H2085">
            <v>357500</v>
          </cell>
          <cell r="I2085" t="str">
            <v>FIN Submission</v>
          </cell>
          <cell r="J2085">
            <v>42625</v>
          </cell>
        </row>
        <row r="2086">
          <cell r="A2086" t="str">
            <v>41443-P919</v>
          </cell>
          <cell r="B2086" t="str">
            <v>IT - U&amp;U Web Filtering Security</v>
          </cell>
          <cell r="C2086" t="str">
            <v>FIN Approval - Internal</v>
          </cell>
          <cell r="D2086">
            <v>92</v>
          </cell>
          <cell r="E2086" t="str">
            <v>APPROVED</v>
          </cell>
          <cell r="F2086">
            <v>41882</v>
          </cell>
          <cell r="G2086">
            <v>42155</v>
          </cell>
          <cell r="H2086">
            <v>82976.7</v>
          </cell>
          <cell r="I2086" t="str">
            <v>FIN Submission</v>
          </cell>
          <cell r="J2086">
            <v>42625</v>
          </cell>
        </row>
        <row r="2087">
          <cell r="A2087" t="str">
            <v>41422-T736</v>
          </cell>
          <cell r="B2087" t="str">
            <v>Onslow Spares Storage Upgrades</v>
          </cell>
          <cell r="C2087" t="str">
            <v>FIN Approval - Internal</v>
          </cell>
          <cell r="D2087">
            <v>94</v>
          </cell>
          <cell r="E2087" t="str">
            <v>APPROVED</v>
          </cell>
          <cell r="F2087">
            <v>41544</v>
          </cell>
          <cell r="G2087">
            <v>41909</v>
          </cell>
          <cell r="H2087">
            <v>379545.36</v>
          </cell>
          <cell r="I2087" t="str">
            <v>FIN Submission</v>
          </cell>
          <cell r="J2087">
            <v>42625</v>
          </cell>
        </row>
        <row r="2088">
          <cell r="A2088" t="str">
            <v>16379-H702</v>
          </cell>
          <cell r="B2088" t="str">
            <v>HYD-Mink Lake Dam Replacement</v>
          </cell>
          <cell r="C2088" t="str">
            <v>FIN Approval - Internal</v>
          </cell>
          <cell r="D2088">
            <v>96</v>
          </cell>
          <cell r="E2088" t="str">
            <v>APPROVED</v>
          </cell>
          <cell r="F2088">
            <v>41943</v>
          </cell>
          <cell r="G2088">
            <v>42735</v>
          </cell>
          <cell r="H2088">
            <v>211347.17</v>
          </cell>
          <cell r="I2088" t="str">
            <v>FIN Submission</v>
          </cell>
          <cell r="J2088">
            <v>42625</v>
          </cell>
        </row>
        <row r="2089">
          <cell r="A2089" t="str">
            <v>41517-T741</v>
          </cell>
          <cell r="B2089" t="str">
            <v>L6535, 6536 &amp; 6514 Upgrades</v>
          </cell>
          <cell r="C2089" t="str">
            <v>FIN Approval - Internal</v>
          </cell>
          <cell r="D2089">
            <v>97</v>
          </cell>
          <cell r="E2089" t="str">
            <v>APPROVED</v>
          </cell>
          <cell r="F2089">
            <v>41439</v>
          </cell>
          <cell r="G2089">
            <v>41848</v>
          </cell>
          <cell r="H2089">
            <v>2340820.35</v>
          </cell>
          <cell r="I2089" t="str">
            <v>FIN Submission</v>
          </cell>
          <cell r="J2089">
            <v>42625</v>
          </cell>
        </row>
        <row r="2090">
          <cell r="A2090" t="str">
            <v>31923-D181</v>
          </cell>
          <cell r="B2090" t="str">
            <v>Sutherlands River Hwy Shift</v>
          </cell>
          <cell r="C2090" t="str">
            <v>FIN Approval - Internal</v>
          </cell>
          <cell r="D2090">
            <v>100</v>
          </cell>
          <cell r="E2090" t="str">
            <v>APPROVED</v>
          </cell>
          <cell r="F2090">
            <v>39752</v>
          </cell>
          <cell r="G2090">
            <v>40482</v>
          </cell>
          <cell r="H2090">
            <v>-12217.16</v>
          </cell>
          <cell r="I2090" t="str">
            <v>FIN Submission</v>
          </cell>
          <cell r="J2090">
            <v>42625</v>
          </cell>
        </row>
        <row r="2091">
          <cell r="A2091" t="str">
            <v>38898-P808</v>
          </cell>
          <cell r="B2091" t="str">
            <v>End-Use Load Forecasting Model U&amp;U</v>
          </cell>
          <cell r="C2091" t="str">
            <v>FIN Approval - Internal</v>
          </cell>
          <cell r="D2091">
            <v>104</v>
          </cell>
          <cell r="E2091" t="str">
            <v>APPROVED</v>
          </cell>
          <cell r="F2091">
            <v>40544</v>
          </cell>
          <cell r="G2091">
            <v>40755</v>
          </cell>
          <cell r="H2091">
            <v>44023.8</v>
          </cell>
          <cell r="I2091" t="str">
            <v>FIN Submission</v>
          </cell>
          <cell r="J2091">
            <v>42625</v>
          </cell>
        </row>
        <row r="2092">
          <cell r="A2092" t="str">
            <v>40651-P902</v>
          </cell>
          <cell r="B2092" t="str">
            <v>IT - Fuelworx (Fuel Management)</v>
          </cell>
          <cell r="C2092" t="str">
            <v>FIN Approval - Internal</v>
          </cell>
          <cell r="D2092">
            <v>104</v>
          </cell>
          <cell r="E2092" t="str">
            <v>APPROVED</v>
          </cell>
          <cell r="F2092">
            <v>41302</v>
          </cell>
          <cell r="G2092">
            <v>41821</v>
          </cell>
          <cell r="H2092">
            <v>86706.7</v>
          </cell>
          <cell r="I2092" t="str">
            <v>FIN Submission</v>
          </cell>
          <cell r="J2092">
            <v>42625</v>
          </cell>
        </row>
        <row r="2093">
          <cell r="A2093" t="str">
            <v>37722-P820</v>
          </cell>
          <cell r="B2093" t="str">
            <v>PeopleSoft Upgrade</v>
          </cell>
          <cell r="C2093" t="str">
            <v>FIN Approval - Internal</v>
          </cell>
          <cell r="D2093">
            <v>106</v>
          </cell>
          <cell r="E2093" t="str">
            <v>APPROVED</v>
          </cell>
          <cell r="F2093">
            <v>40542</v>
          </cell>
          <cell r="G2093">
            <v>40543</v>
          </cell>
          <cell r="H2093">
            <v>478877.31</v>
          </cell>
          <cell r="I2093" t="str">
            <v>FIN Submission</v>
          </cell>
          <cell r="J2093">
            <v>42625</v>
          </cell>
        </row>
        <row r="2094">
          <cell r="A2094" t="str">
            <v>38027-T700</v>
          </cell>
          <cell r="B2094" t="str">
            <v>2010 Trans Switch &amp; Breaker Upgrade</v>
          </cell>
          <cell r="C2094" t="str">
            <v>FIN Approval - Internal</v>
          </cell>
          <cell r="D2094">
            <v>107</v>
          </cell>
          <cell r="E2094" t="str">
            <v>APPROVED</v>
          </cell>
          <cell r="F2094">
            <v>40908</v>
          </cell>
          <cell r="G2094">
            <v>42520</v>
          </cell>
          <cell r="H2094">
            <v>2059889.68</v>
          </cell>
          <cell r="I2094" t="str">
            <v>FIN Submission</v>
          </cell>
          <cell r="J2094">
            <v>42625</v>
          </cell>
        </row>
        <row r="2095">
          <cell r="A2095" t="str">
            <v>38402-G147</v>
          </cell>
          <cell r="B2095" t="str">
            <v>CT U&amp;U LM#4 Engine Refurbish</v>
          </cell>
          <cell r="C2095" t="str">
            <v>FIN Approval - Internal</v>
          </cell>
          <cell r="D2095">
            <v>107</v>
          </cell>
          <cell r="E2095" t="str">
            <v>APPROVED</v>
          </cell>
          <cell r="F2095">
            <v>40162</v>
          </cell>
          <cell r="G2095">
            <v>41236</v>
          </cell>
          <cell r="H2095">
            <v>4127803.82</v>
          </cell>
          <cell r="I2095" t="str">
            <v>FIN Submission</v>
          </cell>
          <cell r="J2095">
            <v>42625</v>
          </cell>
        </row>
        <row r="2096">
          <cell r="A2096" t="str">
            <v>37833-P827</v>
          </cell>
          <cell r="B2096" t="str">
            <v>PI Gateway &amp; Portal Hardware</v>
          </cell>
          <cell r="C2096" t="str">
            <v>FIN Approval - Internal</v>
          </cell>
          <cell r="D2096">
            <v>107</v>
          </cell>
          <cell r="E2096" t="str">
            <v>APPROVED</v>
          </cell>
          <cell r="F2096">
            <v>40513</v>
          </cell>
          <cell r="G2096">
            <v>40575</v>
          </cell>
          <cell r="H2096">
            <v>56227</v>
          </cell>
          <cell r="I2096" t="str">
            <v>FIN Submission</v>
          </cell>
          <cell r="J2096">
            <v>42625</v>
          </cell>
        </row>
        <row r="2097">
          <cell r="A2097" t="str">
            <v>35682-G145</v>
          </cell>
          <cell r="B2097" t="str">
            <v>CT LM#5 U&amp;U Combustor Replace</v>
          </cell>
          <cell r="C2097" t="str">
            <v>FIN Approval - Internal</v>
          </cell>
          <cell r="D2097">
            <v>111</v>
          </cell>
          <cell r="E2097" t="str">
            <v>APPROVED</v>
          </cell>
          <cell r="F2097">
            <v>40267</v>
          </cell>
          <cell r="G2097">
            <v>40512</v>
          </cell>
          <cell r="H2097">
            <v>424203.04</v>
          </cell>
          <cell r="I2097" t="str">
            <v>FIN Submission</v>
          </cell>
          <cell r="J2097">
            <v>42625</v>
          </cell>
        </row>
        <row r="2098">
          <cell r="A2098" t="str">
            <v>28417-P734</v>
          </cell>
          <cell r="B2098" t="str">
            <v>NON STANDARD WORKSTATION UPGRADE</v>
          </cell>
          <cell r="C2098" t="str">
            <v>FIN Approval - Internal</v>
          </cell>
          <cell r="D2098">
            <v>116</v>
          </cell>
          <cell r="E2098" t="str">
            <v>APPROVED</v>
          </cell>
          <cell r="F2098">
            <v>40543</v>
          </cell>
          <cell r="G2098">
            <v>40543</v>
          </cell>
          <cell r="H2098">
            <v>78468</v>
          </cell>
          <cell r="I2098" t="str">
            <v>FIN Submission</v>
          </cell>
          <cell r="J2098">
            <v>42625</v>
          </cell>
        </row>
        <row r="2099">
          <cell r="A2099" t="str">
            <v>40365-P884</v>
          </cell>
          <cell r="B2099" t="str">
            <v>IT - MS Sharepoint Platform Upgrade</v>
          </cell>
          <cell r="C2099" t="str">
            <v>FIN Approval - Internal</v>
          </cell>
          <cell r="D2099">
            <v>117</v>
          </cell>
          <cell r="E2099" t="str">
            <v>APPROVED</v>
          </cell>
          <cell r="F2099">
            <v>41243</v>
          </cell>
          <cell r="G2099">
            <v>41851</v>
          </cell>
          <cell r="H2099">
            <v>842148.1</v>
          </cell>
          <cell r="I2099" t="str">
            <v>FIN Submission</v>
          </cell>
          <cell r="J2099">
            <v>42625</v>
          </cell>
        </row>
        <row r="2100">
          <cell r="A2100" t="str">
            <v>40323-T679</v>
          </cell>
          <cell r="B2100" t="str">
            <v>Canaan Road Line Terminal</v>
          </cell>
          <cell r="C2100" t="str">
            <v>FIN Approval - Internal</v>
          </cell>
          <cell r="D2100">
            <v>118</v>
          </cell>
          <cell r="E2100" t="str">
            <v>APPROVED</v>
          </cell>
          <cell r="F2100">
            <v>41388</v>
          </cell>
          <cell r="G2100">
            <v>42369</v>
          </cell>
          <cell r="H2100">
            <v>979179.69</v>
          </cell>
          <cell r="I2100" t="str">
            <v>FIN Submission</v>
          </cell>
          <cell r="J2100">
            <v>42625</v>
          </cell>
        </row>
        <row r="2101">
          <cell r="A2101" t="str">
            <v>34622-T670</v>
          </cell>
          <cell r="B2101" t="str">
            <v>Upgrade L-8002</v>
          </cell>
          <cell r="C2101" t="str">
            <v>FIN Approval - Internal</v>
          </cell>
          <cell r="D2101">
            <v>119</v>
          </cell>
          <cell r="E2101" t="str">
            <v>APPROVED</v>
          </cell>
          <cell r="F2101">
            <v>40907</v>
          </cell>
          <cell r="G2101">
            <v>42490</v>
          </cell>
          <cell r="H2101">
            <v>2377229.2200000002</v>
          </cell>
          <cell r="I2101" t="str">
            <v>FIN Submission</v>
          </cell>
          <cell r="J2101">
            <v>42625</v>
          </cell>
        </row>
        <row r="2102">
          <cell r="A2102" t="str">
            <v>32883-G142</v>
          </cell>
          <cell r="B2102" t="str">
            <v>CT'S Upgrade Obsolete Avr Systems</v>
          </cell>
          <cell r="C2102" t="str">
            <v>FIN Approval - Internal</v>
          </cell>
          <cell r="D2102">
            <v>120</v>
          </cell>
          <cell r="E2102" t="str">
            <v>APPROVED</v>
          </cell>
          <cell r="F2102">
            <v>40328</v>
          </cell>
          <cell r="G2102">
            <v>40389</v>
          </cell>
          <cell r="H2102">
            <v>49954.43</v>
          </cell>
          <cell r="I2102" t="str">
            <v>FIN Submission</v>
          </cell>
          <cell r="J2102">
            <v>42625</v>
          </cell>
        </row>
        <row r="2103">
          <cell r="A2103" t="str">
            <v>32822-G144</v>
          </cell>
          <cell r="B2103" t="str">
            <v>CT'S Install Gas Tops On Lm6000'</v>
          </cell>
          <cell r="C2103" t="str">
            <v>FIN Approval - Internal</v>
          </cell>
          <cell r="D2103">
            <v>121</v>
          </cell>
          <cell r="E2103" t="str">
            <v>APPROVED</v>
          </cell>
          <cell r="F2103">
            <v>40269</v>
          </cell>
          <cell r="G2103">
            <v>40481</v>
          </cell>
          <cell r="H2103">
            <v>114110.94</v>
          </cell>
          <cell r="I2103" t="str">
            <v>FIN Submission</v>
          </cell>
          <cell r="J2103">
            <v>42625</v>
          </cell>
        </row>
        <row r="2104">
          <cell r="A2104" t="str">
            <v>32282-P788</v>
          </cell>
          <cell r="B2104" t="str">
            <v>e-bill Software Interface</v>
          </cell>
          <cell r="C2104" t="str">
            <v>FIN Approval - Internal</v>
          </cell>
          <cell r="D2104">
            <v>121</v>
          </cell>
          <cell r="E2104" t="str">
            <v>APPROVED</v>
          </cell>
          <cell r="F2104">
            <v>40238</v>
          </cell>
          <cell r="G2104">
            <v>40481</v>
          </cell>
          <cell r="H2104">
            <v>157854.71</v>
          </cell>
          <cell r="I2104" t="str">
            <v>FIN Submission</v>
          </cell>
          <cell r="J2104">
            <v>42625</v>
          </cell>
        </row>
        <row r="2105">
          <cell r="A2105" t="str">
            <v>40322-T678</v>
          </cell>
          <cell r="B2105" t="str">
            <v>Highbury Road Substation</v>
          </cell>
          <cell r="C2105" t="str">
            <v>FIN Approval - Internal</v>
          </cell>
          <cell r="D2105">
            <v>122</v>
          </cell>
          <cell r="E2105" t="str">
            <v>APPROVED</v>
          </cell>
          <cell r="F2105">
            <v>41264</v>
          </cell>
          <cell r="G2105">
            <v>42612</v>
          </cell>
          <cell r="H2105">
            <v>3066205.32</v>
          </cell>
          <cell r="I2105" t="str">
            <v>FIN Submission</v>
          </cell>
          <cell r="J2105">
            <v>42625</v>
          </cell>
        </row>
        <row r="2106">
          <cell r="A2106" t="str">
            <v>28395-P745</v>
          </cell>
          <cell r="B2106" t="str">
            <v>CIS CLEANUP &amp; HARDWARE UPGRADE</v>
          </cell>
          <cell r="C2106" t="str">
            <v>FIN Approval - Internal</v>
          </cell>
          <cell r="D2106">
            <v>136</v>
          </cell>
          <cell r="E2106" t="str">
            <v>APPROVED</v>
          </cell>
          <cell r="F2106">
            <v>40298</v>
          </cell>
          <cell r="G2106">
            <v>40482</v>
          </cell>
          <cell r="H2106">
            <v>512841.15</v>
          </cell>
          <cell r="I2106" t="str">
            <v>FIN Submission</v>
          </cell>
          <cell r="J2106">
            <v>42625</v>
          </cell>
        </row>
        <row r="2107">
          <cell r="A2107" t="str">
            <v>26692-P677</v>
          </cell>
          <cell r="B2107" t="str">
            <v>LOTUS NOTES APPLICATION MIGRATION</v>
          </cell>
          <cell r="C2107" t="str">
            <v>FIN Approval - Internal</v>
          </cell>
          <cell r="D2107">
            <v>136</v>
          </cell>
          <cell r="E2107" t="str">
            <v>APPROVED</v>
          </cell>
          <cell r="F2107">
            <v>38958</v>
          </cell>
          <cell r="G2107">
            <v>39721</v>
          </cell>
          <cell r="H2107">
            <v>528581.12</v>
          </cell>
          <cell r="I2107" t="str">
            <v>FIN Submission</v>
          </cell>
          <cell r="J2107">
            <v>42625</v>
          </cell>
        </row>
        <row r="2108">
          <cell r="A2108" t="str">
            <v>27089-P668</v>
          </cell>
          <cell r="B2108" t="str">
            <v>NSPI NON CGI INFRASTRUCTURE</v>
          </cell>
          <cell r="C2108" t="str">
            <v>FIN Approval - Internal</v>
          </cell>
          <cell r="D2108">
            <v>136</v>
          </cell>
          <cell r="E2108" t="str">
            <v>APPROVED</v>
          </cell>
          <cell r="F2108">
            <v>38502</v>
          </cell>
          <cell r="G2108">
            <v>40359</v>
          </cell>
          <cell r="H2108">
            <v>322182.90000000002</v>
          </cell>
          <cell r="I2108" t="str">
            <v>FIN Submission</v>
          </cell>
          <cell r="J2108">
            <v>42625</v>
          </cell>
        </row>
        <row r="2109">
          <cell r="A2109" t="str">
            <v>38602-S849</v>
          </cell>
          <cell r="B2109" t="str">
            <v>TRE - Fire System Upgrades</v>
          </cell>
          <cell r="C2109" t="str">
            <v>FIN Approval - Internal</v>
          </cell>
          <cell r="D2109">
            <v>136</v>
          </cell>
          <cell r="E2109" t="str">
            <v>APPROVED</v>
          </cell>
          <cell r="F2109">
            <v>41958</v>
          </cell>
          <cell r="G2109">
            <v>41988</v>
          </cell>
          <cell r="H2109">
            <v>420241.83</v>
          </cell>
          <cell r="I2109" t="str">
            <v>FIN Submission</v>
          </cell>
          <cell r="J2109">
            <v>42625</v>
          </cell>
        </row>
        <row r="2110">
          <cell r="A2110" t="str">
            <v>28749-G140</v>
          </cell>
          <cell r="B2110" t="str">
            <v>CT'S - Avr Replacement</v>
          </cell>
          <cell r="C2110" t="str">
            <v>FIN Approval - Internal</v>
          </cell>
          <cell r="D2110">
            <v>137</v>
          </cell>
          <cell r="E2110" t="str">
            <v>APPROVED</v>
          </cell>
          <cell r="F2110">
            <v>39813</v>
          </cell>
          <cell r="G2110">
            <v>39813</v>
          </cell>
          <cell r="H2110">
            <v>57231.55</v>
          </cell>
          <cell r="I2110" t="str">
            <v>FIN Submission</v>
          </cell>
          <cell r="J2110">
            <v>42625</v>
          </cell>
        </row>
        <row r="2111">
          <cell r="A2111" t="str">
            <v>29019-D199</v>
          </cell>
          <cell r="B2111" t="str">
            <v>Convert 12.5Kv Tie- Rockingham To S</v>
          </cell>
          <cell r="C2111" t="str">
            <v>FIN Approval - Internal</v>
          </cell>
          <cell r="D2111">
            <v>137</v>
          </cell>
          <cell r="E2111" t="str">
            <v>APPROVED</v>
          </cell>
          <cell r="F2111">
            <v>40298</v>
          </cell>
          <cell r="G2111">
            <v>41274</v>
          </cell>
          <cell r="H2111">
            <v>492989.67</v>
          </cell>
          <cell r="I2111" t="str">
            <v>FIN Submission</v>
          </cell>
          <cell r="J2111">
            <v>42625</v>
          </cell>
        </row>
        <row r="2112">
          <cell r="A2112" t="str">
            <v>28416-P761</v>
          </cell>
          <cell r="B2112" t="str">
            <v>Replacement of Toughbook Laptop Com</v>
          </cell>
          <cell r="C2112" t="str">
            <v>FIN Approval - Internal</v>
          </cell>
          <cell r="D2112">
            <v>137</v>
          </cell>
          <cell r="E2112" t="str">
            <v>APPROVED</v>
          </cell>
          <cell r="F2112">
            <v>39629</v>
          </cell>
          <cell r="G2112">
            <v>41060</v>
          </cell>
          <cell r="H2112">
            <v>311731.55</v>
          </cell>
          <cell r="I2112" t="str">
            <v>FIN Submission</v>
          </cell>
          <cell r="J2112">
            <v>42625</v>
          </cell>
        </row>
        <row r="2113">
          <cell r="A2113" t="str">
            <v>28257-H508</v>
          </cell>
          <cell r="B2113" t="str">
            <v>HYD Fall River Fish Diversion Scr</v>
          </cell>
          <cell r="C2113" t="str">
            <v>FIN Approval - Internal</v>
          </cell>
          <cell r="D2113">
            <v>138</v>
          </cell>
          <cell r="E2113" t="str">
            <v>APPROVED</v>
          </cell>
          <cell r="F2113">
            <v>40451</v>
          </cell>
          <cell r="G2113">
            <v>41197</v>
          </cell>
          <cell r="H2113">
            <v>189704.77</v>
          </cell>
          <cell r="I2113" t="str">
            <v>FIN Submission</v>
          </cell>
          <cell r="J2113">
            <v>42625</v>
          </cell>
        </row>
        <row r="2114">
          <cell r="A2114" t="str">
            <v>29045-P768</v>
          </cell>
          <cell r="B2114" t="str">
            <v>PI Add On For Maintenance Data Mana</v>
          </cell>
          <cell r="C2114" t="str">
            <v>FIN Approval - Internal</v>
          </cell>
          <cell r="D2114">
            <v>138</v>
          </cell>
          <cell r="E2114" t="str">
            <v>APPROVED</v>
          </cell>
          <cell r="F2114">
            <v>39752</v>
          </cell>
          <cell r="G2114">
            <v>40147</v>
          </cell>
          <cell r="H2114">
            <v>125757.74</v>
          </cell>
          <cell r="I2114" t="str">
            <v>FIN Submission</v>
          </cell>
          <cell r="J2114">
            <v>42625</v>
          </cell>
        </row>
        <row r="2115">
          <cell r="A2115" t="str">
            <v>28092-P717</v>
          </cell>
          <cell r="B2115" t="str">
            <v>Windows Sharepoint Upgrade</v>
          </cell>
          <cell r="C2115" t="str">
            <v>FIN Approval - Internal</v>
          </cell>
          <cell r="D2115">
            <v>138</v>
          </cell>
          <cell r="E2115" t="str">
            <v>APPROVED</v>
          </cell>
          <cell r="F2115">
            <v>39813</v>
          </cell>
          <cell r="G2115">
            <v>40421</v>
          </cell>
          <cell r="H2115">
            <v>143716.16</v>
          </cell>
          <cell r="I2115" t="str">
            <v>FIN Submission</v>
          </cell>
          <cell r="J2115">
            <v>42625</v>
          </cell>
        </row>
        <row r="2116">
          <cell r="A2116" t="str">
            <v>17853-H601</v>
          </cell>
          <cell r="B2116" t="str">
            <v>HYD - STM-SAL #4 Runner</v>
          </cell>
          <cell r="C2116" t="str">
            <v>FIN Approval - Internal</v>
          </cell>
          <cell r="D2116">
            <v>139</v>
          </cell>
          <cell r="E2116" t="str">
            <v>APPROVED</v>
          </cell>
          <cell r="F2116">
            <v>41294</v>
          </cell>
          <cell r="G2116">
            <v>41578</v>
          </cell>
          <cell r="H2116">
            <v>574690.62</v>
          </cell>
          <cell r="I2116" t="str">
            <v>FIN Submission</v>
          </cell>
          <cell r="J2116">
            <v>42625</v>
          </cell>
        </row>
        <row r="2117">
          <cell r="A2117" t="str">
            <v>37983-G148</v>
          </cell>
          <cell r="B2117" t="str">
            <v>CT'S - Replace AVR VJ 1&amp;2</v>
          </cell>
          <cell r="C2117" t="str">
            <v>FIN Approval - Internal</v>
          </cell>
          <cell r="D2117">
            <v>142</v>
          </cell>
          <cell r="E2117" t="str">
            <v>APPROVED</v>
          </cell>
          <cell r="F2117">
            <v>42003</v>
          </cell>
          <cell r="G2117">
            <v>42035</v>
          </cell>
          <cell r="H2117">
            <v>116724.39</v>
          </cell>
          <cell r="I2117" t="str">
            <v>FIN Submission</v>
          </cell>
          <cell r="J2117">
            <v>42625</v>
          </cell>
        </row>
        <row r="2118">
          <cell r="A2118" t="str">
            <v>45530-SC28</v>
          </cell>
          <cell r="B2118" t="str">
            <v>LIN2 UU SH5 Tube Refurbishment</v>
          </cell>
          <cell r="C2118" t="str">
            <v>FIN Approval - Internal</v>
          </cell>
          <cell r="D2118">
            <v>9</v>
          </cell>
          <cell r="E2118" t="str">
            <v>APPROVED</v>
          </cell>
          <cell r="F2118">
            <v>41639</v>
          </cell>
          <cell r="G2118">
            <v>41639</v>
          </cell>
          <cell r="H2118">
            <v>164588.16</v>
          </cell>
          <cell r="I2118" t="str">
            <v>FIN Submission</v>
          </cell>
          <cell r="J2118">
            <v>42605</v>
          </cell>
        </row>
        <row r="2119">
          <cell r="A2119" t="str">
            <v>44046-SB51</v>
          </cell>
          <cell r="B2119" t="str">
            <v>TUC2 - U&amp;U HP/IP Stationary Seals</v>
          </cell>
          <cell r="C2119" t="str">
            <v>FIN Approval - Internal</v>
          </cell>
          <cell r="D2119">
            <v>26</v>
          </cell>
          <cell r="E2119" t="str">
            <v>APPROVED</v>
          </cell>
          <cell r="F2119">
            <v>41363</v>
          </cell>
          <cell r="G2119">
            <v>42216</v>
          </cell>
          <cell r="H2119">
            <v>498769.99</v>
          </cell>
          <cell r="I2119" t="str">
            <v>FIN Submission</v>
          </cell>
          <cell r="J2119">
            <v>42605</v>
          </cell>
        </row>
        <row r="2120">
          <cell r="A2120" t="str">
            <v>46833-SD58</v>
          </cell>
          <cell r="B2120" t="str">
            <v>LIN1 UU Burner Front Ext. Weld Ref</v>
          </cell>
          <cell r="C2120" t="str">
            <v>FIN Approval - Internal</v>
          </cell>
          <cell r="D2120">
            <v>29</v>
          </cell>
          <cell r="E2120" t="str">
            <v>APPROVED</v>
          </cell>
          <cell r="F2120">
            <v>42035</v>
          </cell>
          <cell r="G2120">
            <v>42094</v>
          </cell>
          <cell r="H2120">
            <v>77273.009999999995</v>
          </cell>
          <cell r="I2120" t="str">
            <v>FIN Submission</v>
          </cell>
          <cell r="J2120">
            <v>42605</v>
          </cell>
        </row>
        <row r="2121">
          <cell r="A2121" t="str">
            <v>44247-SB75</v>
          </cell>
          <cell r="B2121" t="str">
            <v>TUC2 - U&amp;U Refurbish Turbine Valves</v>
          </cell>
          <cell r="C2121" t="str">
            <v>FIN Approval - Internal</v>
          </cell>
          <cell r="D2121">
            <v>32</v>
          </cell>
          <cell r="E2121" t="str">
            <v>APPROVED</v>
          </cell>
          <cell r="F2121">
            <v>41365</v>
          </cell>
          <cell r="G2121">
            <v>42460</v>
          </cell>
          <cell r="H2121">
            <v>793921.87</v>
          </cell>
          <cell r="I2121" t="str">
            <v>FIN Submission</v>
          </cell>
          <cell r="J2121">
            <v>42605</v>
          </cell>
        </row>
        <row r="2122">
          <cell r="A2122" t="str">
            <v>46532-SD67</v>
          </cell>
          <cell r="B2122" t="str">
            <v xml:space="preserve">LIN3 Condenser Tube Protec. Coat. </v>
          </cell>
          <cell r="C2122" t="str">
            <v>FIN Approval - Internal</v>
          </cell>
          <cell r="D2122">
            <v>33</v>
          </cell>
          <cell r="E2122" t="str">
            <v>APPROVED</v>
          </cell>
          <cell r="F2122">
            <v>42180</v>
          </cell>
          <cell r="G2122">
            <v>42363</v>
          </cell>
          <cell r="H2122">
            <v>246739.48</v>
          </cell>
          <cell r="I2122" t="str">
            <v>FIN Submission</v>
          </cell>
          <cell r="J2122">
            <v>42605</v>
          </cell>
        </row>
        <row r="2123">
          <cell r="A2123" t="str">
            <v>47052-SD85</v>
          </cell>
          <cell r="B2123" t="str">
            <v>LIN3-UU-SH5 Tube Replacement</v>
          </cell>
          <cell r="C2123" t="str">
            <v>FIN Approval - Internal</v>
          </cell>
          <cell r="D2123">
            <v>33</v>
          </cell>
          <cell r="E2123" t="str">
            <v>APPROVED</v>
          </cell>
          <cell r="F2123">
            <v>42155</v>
          </cell>
          <cell r="G2123">
            <v>42369</v>
          </cell>
          <cell r="H2123">
            <v>583558.57999999996</v>
          </cell>
          <cell r="I2123" t="str">
            <v>FIN Submission</v>
          </cell>
          <cell r="J2123">
            <v>42605</v>
          </cell>
        </row>
        <row r="2124">
          <cell r="A2124" t="str">
            <v>46472-SD63</v>
          </cell>
          <cell r="B2124" t="str">
            <v>LIN3 - Boiler Chemical Treatment</v>
          </cell>
          <cell r="C2124" t="str">
            <v>FIN Approval - Internal</v>
          </cell>
          <cell r="D2124">
            <v>34</v>
          </cell>
          <cell r="E2124" t="str">
            <v>APPROVED</v>
          </cell>
          <cell r="F2124">
            <v>42173</v>
          </cell>
          <cell r="G2124">
            <v>42356</v>
          </cell>
          <cell r="H2124">
            <v>465400.48</v>
          </cell>
          <cell r="I2124" t="str">
            <v>FIN Submission</v>
          </cell>
          <cell r="J2124">
            <v>42605</v>
          </cell>
        </row>
        <row r="2125">
          <cell r="A2125" t="str">
            <v>46467-SD84</v>
          </cell>
          <cell r="B2125" t="str">
            <v>LIN3 - Division Wall Replacement</v>
          </cell>
          <cell r="C2125" t="str">
            <v>FIN Approval - Internal</v>
          </cell>
          <cell r="D2125">
            <v>34</v>
          </cell>
          <cell r="E2125" t="str">
            <v>APPROVED</v>
          </cell>
          <cell r="F2125">
            <v>42173</v>
          </cell>
          <cell r="G2125">
            <v>42356</v>
          </cell>
          <cell r="H2125">
            <v>735356.4</v>
          </cell>
          <cell r="I2125" t="str">
            <v>FIN Submission</v>
          </cell>
          <cell r="J2125">
            <v>42605</v>
          </cell>
        </row>
        <row r="2126">
          <cell r="A2126" t="str">
            <v>46463-SD47</v>
          </cell>
          <cell r="B2126" t="str">
            <v>LIN3 - Air Heater Refurbishment</v>
          </cell>
          <cell r="C2126" t="str">
            <v>FIN Approval - Internal</v>
          </cell>
          <cell r="D2126">
            <v>35</v>
          </cell>
          <cell r="E2126" t="str">
            <v>APPROVED</v>
          </cell>
          <cell r="F2126">
            <v>42142</v>
          </cell>
          <cell r="G2126">
            <v>42326</v>
          </cell>
          <cell r="H2126">
            <v>566275.26</v>
          </cell>
          <cell r="I2126" t="str">
            <v>FIN Submission</v>
          </cell>
          <cell r="J2126">
            <v>42605</v>
          </cell>
        </row>
        <row r="2127">
          <cell r="A2127" t="str">
            <v>46482-SD55</v>
          </cell>
          <cell r="B2127" t="str">
            <v>LIN3 Burner Front Refurbishment</v>
          </cell>
          <cell r="C2127" t="str">
            <v>FIN Approval - External</v>
          </cell>
          <cell r="D2127">
            <v>35</v>
          </cell>
          <cell r="E2127" t="str">
            <v>APPROVED</v>
          </cell>
          <cell r="F2127">
            <v>42144</v>
          </cell>
          <cell r="G2127">
            <v>42358</v>
          </cell>
          <cell r="H2127">
            <v>338873.72</v>
          </cell>
          <cell r="I2127" t="str">
            <v>FIN Submission</v>
          </cell>
          <cell r="J2127">
            <v>42605</v>
          </cell>
        </row>
        <row r="2128">
          <cell r="A2128" t="str">
            <v>46070-SD73</v>
          </cell>
          <cell r="B2128" t="str">
            <v>LIN3 Bottom Ash Replacement</v>
          </cell>
          <cell r="C2128" t="str">
            <v>FIN Approval - Internal</v>
          </cell>
          <cell r="D2128">
            <v>36</v>
          </cell>
          <cell r="E2128" t="str">
            <v>APPROVED</v>
          </cell>
          <cell r="F2128">
            <v>42154</v>
          </cell>
          <cell r="G2128">
            <v>42338</v>
          </cell>
          <cell r="H2128">
            <v>570686.68000000005</v>
          </cell>
          <cell r="I2128" t="str">
            <v>FIN Submission</v>
          </cell>
          <cell r="J2128">
            <v>42605</v>
          </cell>
        </row>
        <row r="2129">
          <cell r="A2129" t="str">
            <v>45474-SC25</v>
          </cell>
          <cell r="B2129" t="str">
            <v>TUC3 South BFP Refurbishment</v>
          </cell>
          <cell r="C2129" t="str">
            <v>FIN Approval - Internal</v>
          </cell>
          <cell r="D2129">
            <v>42</v>
          </cell>
          <cell r="E2129" t="str">
            <v>APPROVED</v>
          </cell>
          <cell r="F2129">
            <v>41988</v>
          </cell>
          <cell r="G2129">
            <v>42035</v>
          </cell>
          <cell r="H2129">
            <v>233151.85</v>
          </cell>
          <cell r="I2129" t="str">
            <v>FIN Submission</v>
          </cell>
          <cell r="J2129">
            <v>42605</v>
          </cell>
        </row>
        <row r="2130">
          <cell r="A2130" t="str">
            <v>45710-SC46</v>
          </cell>
          <cell r="B2130" t="str">
            <v>LIN3&amp;4 - UU Back-Up Generator Repl.</v>
          </cell>
          <cell r="C2130" t="str">
            <v>FIN Approval - Internal</v>
          </cell>
          <cell r="D2130">
            <v>44</v>
          </cell>
          <cell r="E2130" t="str">
            <v>APPROVED</v>
          </cell>
          <cell r="F2130">
            <v>41850</v>
          </cell>
          <cell r="G2130">
            <v>42185</v>
          </cell>
          <cell r="H2130">
            <v>233139.61</v>
          </cell>
          <cell r="I2130" t="str">
            <v>FIN Submission</v>
          </cell>
          <cell r="J2130">
            <v>42605</v>
          </cell>
        </row>
        <row r="2131">
          <cell r="A2131" t="str">
            <v>45188-SC23</v>
          </cell>
          <cell r="B2131" t="str">
            <v>LIN UU C Transport Air Compressor R</v>
          </cell>
          <cell r="C2131" t="str">
            <v>FIN Approval - Internal</v>
          </cell>
          <cell r="D2131">
            <v>49</v>
          </cell>
          <cell r="E2131" t="str">
            <v>APPROVED</v>
          </cell>
          <cell r="F2131">
            <v>41654</v>
          </cell>
          <cell r="G2131">
            <v>42003</v>
          </cell>
          <cell r="H2131">
            <v>163748.44</v>
          </cell>
          <cell r="I2131" t="str">
            <v>FIN Submission</v>
          </cell>
          <cell r="J2131">
            <v>42605</v>
          </cell>
        </row>
        <row r="2132">
          <cell r="A2132" t="str">
            <v>44728-SD53</v>
          </cell>
          <cell r="B2132" t="str">
            <v>TUC - 4KV/600V Motor Refurbishment</v>
          </cell>
          <cell r="C2132" t="str">
            <v>FIN Approval - Internal</v>
          </cell>
          <cell r="D2132">
            <v>49</v>
          </cell>
          <cell r="E2132" t="str">
            <v>APPROVED</v>
          </cell>
          <cell r="F2132">
            <v>42004</v>
          </cell>
          <cell r="G2132">
            <v>42094</v>
          </cell>
          <cell r="H2132">
            <v>46100.52</v>
          </cell>
          <cell r="I2132" t="str">
            <v>FIN Submission</v>
          </cell>
          <cell r="J2132">
            <v>42605</v>
          </cell>
        </row>
        <row r="2133">
          <cell r="A2133" t="str">
            <v>45108-SC95</v>
          </cell>
          <cell r="B2133" t="str">
            <v xml:space="preserve">LIN34 Inclined Bottom Ash Conveyor </v>
          </cell>
          <cell r="C2133" t="str">
            <v>FIN Approval - External</v>
          </cell>
          <cell r="D2133">
            <v>50</v>
          </cell>
          <cell r="E2133" t="str">
            <v>APPROVED</v>
          </cell>
          <cell r="F2133">
            <v>41883</v>
          </cell>
          <cell r="G2133">
            <v>42155</v>
          </cell>
          <cell r="H2133">
            <v>170445.81</v>
          </cell>
          <cell r="I2133" t="str">
            <v>FIN Submission</v>
          </cell>
          <cell r="J2133">
            <v>42605</v>
          </cell>
        </row>
        <row r="2134">
          <cell r="A2134" t="str">
            <v>44736-SD16</v>
          </cell>
          <cell r="B2134" t="str">
            <v>TUC2 - DC Battery Bank Replacement</v>
          </cell>
          <cell r="C2134" t="str">
            <v>FIN Approval - Internal</v>
          </cell>
          <cell r="D2134">
            <v>50</v>
          </cell>
          <cell r="E2134" t="str">
            <v>APPROVED</v>
          </cell>
          <cell r="F2134">
            <v>42124</v>
          </cell>
          <cell r="G2134">
            <v>42460</v>
          </cell>
          <cell r="H2134">
            <v>109143.69</v>
          </cell>
          <cell r="I2134" t="str">
            <v>FIN Submission</v>
          </cell>
          <cell r="J2134">
            <v>42605</v>
          </cell>
        </row>
        <row r="2135">
          <cell r="A2135" t="str">
            <v>44351-SC45</v>
          </cell>
          <cell r="B2135" t="str">
            <v>LIN Mill Refurbish 2014</v>
          </cell>
          <cell r="C2135" t="str">
            <v>FIN Approval - Internal</v>
          </cell>
          <cell r="D2135">
            <v>52</v>
          </cell>
          <cell r="E2135" t="str">
            <v>APPROVED</v>
          </cell>
          <cell r="F2135">
            <v>41991</v>
          </cell>
          <cell r="G2135">
            <v>42081</v>
          </cell>
          <cell r="H2135">
            <v>623834.18000000005</v>
          </cell>
          <cell r="I2135" t="str">
            <v>FIN Submission</v>
          </cell>
          <cell r="J2135">
            <v>42605</v>
          </cell>
        </row>
        <row r="2136">
          <cell r="A2136" t="str">
            <v>43867-SB27</v>
          </cell>
          <cell r="B2136" t="str">
            <v>TUC1- U&amp;U South BFP Motor Refurb.</v>
          </cell>
          <cell r="C2136" t="str">
            <v>FIN Approval - Internal</v>
          </cell>
          <cell r="D2136">
            <v>58</v>
          </cell>
          <cell r="E2136" t="str">
            <v>APPROVED</v>
          </cell>
          <cell r="F2136">
            <v>41577</v>
          </cell>
          <cell r="G2136">
            <v>42139</v>
          </cell>
          <cell r="H2136">
            <v>243664.07</v>
          </cell>
          <cell r="I2136" t="str">
            <v>FIN Submission</v>
          </cell>
          <cell r="J2136">
            <v>42605</v>
          </cell>
        </row>
        <row r="2137">
          <cell r="A2137" t="str">
            <v>41279-SA79</v>
          </cell>
          <cell r="B2137" t="str">
            <v>TUC - 4KV Motor Refurbishment 2012</v>
          </cell>
          <cell r="C2137" t="str">
            <v>FIN Approval - Internal</v>
          </cell>
          <cell r="D2137">
            <v>62</v>
          </cell>
          <cell r="E2137" t="str">
            <v>APPROVED</v>
          </cell>
          <cell r="F2137">
            <v>41361</v>
          </cell>
          <cell r="G2137">
            <v>42247</v>
          </cell>
          <cell r="H2137">
            <v>66024.52</v>
          </cell>
          <cell r="I2137" t="str">
            <v>FIN Submission</v>
          </cell>
          <cell r="J2137">
            <v>42605</v>
          </cell>
        </row>
        <row r="2138">
          <cell r="A2138" t="str">
            <v>43567-SB71</v>
          </cell>
          <cell r="B2138" t="str">
            <v>TUC3- CW Travelling Screens Refurb.</v>
          </cell>
          <cell r="C2138" t="str">
            <v>FIN Approval - Internal</v>
          </cell>
          <cell r="D2138">
            <v>63</v>
          </cell>
          <cell r="E2138" t="str">
            <v>APPROVED</v>
          </cell>
          <cell r="F2138">
            <v>41835</v>
          </cell>
          <cell r="G2138">
            <v>42292</v>
          </cell>
          <cell r="H2138">
            <v>256203.04</v>
          </cell>
          <cell r="I2138" t="str">
            <v>FIN Submission</v>
          </cell>
          <cell r="J2138">
            <v>42605</v>
          </cell>
        </row>
        <row r="2139">
          <cell r="A2139" t="str">
            <v>43350-SC42</v>
          </cell>
          <cell r="B2139" t="str">
            <v xml:space="preserve">LIN Replace D Belts </v>
          </cell>
          <cell r="C2139" t="str">
            <v>FIN Approval - External</v>
          </cell>
          <cell r="D2139">
            <v>65</v>
          </cell>
          <cell r="E2139" t="str">
            <v>APPROVED</v>
          </cell>
          <cell r="F2139">
            <v>42128</v>
          </cell>
          <cell r="G2139">
            <v>42400</v>
          </cell>
          <cell r="H2139">
            <v>160413.46</v>
          </cell>
          <cell r="I2139" t="str">
            <v>FIN Submission</v>
          </cell>
          <cell r="J2139">
            <v>42605</v>
          </cell>
        </row>
        <row r="2140">
          <cell r="A2140" t="str">
            <v>42972-SC06</v>
          </cell>
          <cell r="B2140" t="str">
            <v>TUC- 4KV/600V Breaker Replacement</v>
          </cell>
          <cell r="C2140" t="str">
            <v>FIN Approval - Internal</v>
          </cell>
          <cell r="D2140">
            <v>65</v>
          </cell>
          <cell r="E2140" t="str">
            <v>APPROVED</v>
          </cell>
          <cell r="F2140">
            <v>41639</v>
          </cell>
          <cell r="G2140">
            <v>42527</v>
          </cell>
          <cell r="H2140">
            <v>91509.26</v>
          </cell>
          <cell r="I2140" t="str">
            <v>FIN Submission</v>
          </cell>
          <cell r="J2140">
            <v>42605</v>
          </cell>
        </row>
        <row r="2141">
          <cell r="A2141" t="str">
            <v>42962-SC27</v>
          </cell>
          <cell r="B2141" t="str">
            <v>TUC-Shoreline Lighting and Fencing</v>
          </cell>
          <cell r="C2141" t="str">
            <v>FIN Approval - Internal</v>
          </cell>
          <cell r="D2141">
            <v>66</v>
          </cell>
          <cell r="E2141" t="str">
            <v>APPROVED</v>
          </cell>
          <cell r="F2141">
            <v>42019</v>
          </cell>
          <cell r="G2141">
            <v>42308</v>
          </cell>
          <cell r="H2141">
            <v>219851.54</v>
          </cell>
          <cell r="I2141" t="str">
            <v>FIN Submission</v>
          </cell>
          <cell r="J2141">
            <v>42605</v>
          </cell>
        </row>
        <row r="2142">
          <cell r="A2142" t="str">
            <v>43166-SB56</v>
          </cell>
          <cell r="B2142" t="str">
            <v>LIN Mill Refurbishment</v>
          </cell>
          <cell r="C2142" t="str">
            <v>FIN Approval - Internal</v>
          </cell>
          <cell r="D2142">
            <v>68</v>
          </cell>
          <cell r="E2142" t="str">
            <v>APPROVED</v>
          </cell>
          <cell r="F2142">
            <v>41540</v>
          </cell>
          <cell r="G2142">
            <v>41973</v>
          </cell>
          <cell r="H2142">
            <v>539867.4</v>
          </cell>
          <cell r="I2142" t="str">
            <v>FIN Submission</v>
          </cell>
          <cell r="J2142">
            <v>42605</v>
          </cell>
        </row>
        <row r="2143">
          <cell r="A2143" t="str">
            <v>43165-SC11</v>
          </cell>
          <cell r="B2143" t="str">
            <v>LIN4 Boiler Refurbish</v>
          </cell>
          <cell r="C2143" t="str">
            <v>FIN Approval - Internal</v>
          </cell>
          <cell r="D2143">
            <v>73</v>
          </cell>
          <cell r="E2143" t="str">
            <v>APPROVED</v>
          </cell>
          <cell r="F2143">
            <v>41539</v>
          </cell>
          <cell r="G2143">
            <v>42428</v>
          </cell>
          <cell r="H2143">
            <v>692949.69</v>
          </cell>
          <cell r="I2143" t="str">
            <v>FIN Submission</v>
          </cell>
          <cell r="J2143">
            <v>42605</v>
          </cell>
        </row>
        <row r="2144">
          <cell r="A2144" t="str">
            <v>41233-SB59</v>
          </cell>
          <cell r="B2144" t="str">
            <v>LIN3 Boiler Refurbishment</v>
          </cell>
          <cell r="C2144" t="str">
            <v>FIN Approval - Internal</v>
          </cell>
          <cell r="D2144">
            <v>100</v>
          </cell>
          <cell r="E2144" t="str">
            <v>APPROVED</v>
          </cell>
          <cell r="F2144">
            <v>42124</v>
          </cell>
          <cell r="G2144">
            <v>42368</v>
          </cell>
          <cell r="H2144">
            <v>896863.39</v>
          </cell>
          <cell r="I2144" t="str">
            <v>FIN Submission</v>
          </cell>
          <cell r="J2144">
            <v>42605</v>
          </cell>
        </row>
        <row r="2145">
          <cell r="A2145" t="str">
            <v>39923-SA18</v>
          </cell>
          <cell r="B2145" t="str">
            <v>TUC2 - Generator Excitation and AVR</v>
          </cell>
          <cell r="C2145" t="str">
            <v>FIN Approval - Internal</v>
          </cell>
          <cell r="D2145">
            <v>116</v>
          </cell>
          <cell r="E2145" t="str">
            <v>APPROVED</v>
          </cell>
          <cell r="F2145">
            <v>41353</v>
          </cell>
          <cell r="G2145">
            <v>42004</v>
          </cell>
          <cell r="H2145">
            <v>770476.4</v>
          </cell>
          <cell r="I2145" t="str">
            <v>FIN Submission</v>
          </cell>
          <cell r="J2145">
            <v>42605</v>
          </cell>
        </row>
        <row r="2146">
          <cell r="A2146" t="str">
            <v>36603-SB92</v>
          </cell>
          <cell r="B2146" t="str">
            <v>LIN3- DAS Upgrades</v>
          </cell>
          <cell r="C2146" t="str">
            <v>FIN Approval - Internal</v>
          </cell>
          <cell r="D2146">
            <v>135</v>
          </cell>
          <cell r="E2146" t="str">
            <v>APPROVED</v>
          </cell>
          <cell r="F2146">
            <v>42185</v>
          </cell>
          <cell r="G2146">
            <v>42368</v>
          </cell>
          <cell r="H2146">
            <v>646673.47</v>
          </cell>
          <cell r="I2146" t="str">
            <v>FIN Submission</v>
          </cell>
          <cell r="J2146">
            <v>42605</v>
          </cell>
        </row>
        <row r="2147">
          <cell r="A2147" t="str">
            <v>26308-P685</v>
          </cell>
          <cell r="B2147" t="str">
            <v>2005 CLASS 3 - LIGHT WORK VEHICLE -</v>
          </cell>
          <cell r="C2147" t="str">
            <v>FIN Approval - Internal</v>
          </cell>
          <cell r="D2147">
            <v>6</v>
          </cell>
          <cell r="E2147" t="str">
            <v>APPROVED</v>
          </cell>
          <cell r="F2147">
            <v>38881</v>
          </cell>
          <cell r="G2147">
            <v>42460</v>
          </cell>
          <cell r="H2147">
            <v>371138.05</v>
          </cell>
          <cell r="I2147" t="str">
            <v>FIN Submission</v>
          </cell>
          <cell r="J2147">
            <v>42478</v>
          </cell>
        </row>
        <row r="2148">
          <cell r="A2148" t="str">
            <v>16103-T405</v>
          </cell>
          <cell r="B2148" t="str">
            <v>FARRELL ST. - CONSTRUCT 69-12KV SUB</v>
          </cell>
          <cell r="C2148" t="str">
            <v>FIN Approval - Internal</v>
          </cell>
          <cell r="D2148">
            <v>6</v>
          </cell>
          <cell r="E2148" t="str">
            <v>APPROVED</v>
          </cell>
          <cell r="F2148">
            <v>37407</v>
          </cell>
          <cell r="G2148">
            <v>42459</v>
          </cell>
          <cell r="H2148">
            <v>595250.07999999996</v>
          </cell>
          <cell r="I2148" t="str">
            <v>FIN Submission</v>
          </cell>
          <cell r="J2148">
            <v>42478</v>
          </cell>
        </row>
        <row r="2149">
          <cell r="A2149" t="str">
            <v>27337-T498</v>
          </cell>
          <cell r="B2149" t="str">
            <v>OVERHAUL 1H-635 &amp; 1H-633 BREAKERS W</v>
          </cell>
          <cell r="C2149" t="str">
            <v>FIN Approval - Internal</v>
          </cell>
          <cell r="D2149">
            <v>6</v>
          </cell>
          <cell r="E2149" t="str">
            <v>APPROVED</v>
          </cell>
          <cell r="F2149">
            <v>38672</v>
          </cell>
          <cell r="G2149">
            <v>42460</v>
          </cell>
          <cell r="H2149">
            <v>374683.58</v>
          </cell>
          <cell r="I2149" t="str">
            <v>FIN Submission</v>
          </cell>
          <cell r="J2149">
            <v>42478</v>
          </cell>
        </row>
        <row r="2150">
          <cell r="A2150" t="str">
            <v>20895-P598</v>
          </cell>
          <cell r="B2150" t="str">
            <v>RADIO TOWER UPGRADE 2003</v>
          </cell>
          <cell r="C2150" t="str">
            <v>FIN Approval - Internal</v>
          </cell>
          <cell r="D2150">
            <v>7</v>
          </cell>
          <cell r="E2150" t="str">
            <v>APPROVED</v>
          </cell>
          <cell r="F2150">
            <v>38405</v>
          </cell>
          <cell r="G2150">
            <v>42460</v>
          </cell>
          <cell r="H2150">
            <v>387904.91</v>
          </cell>
          <cell r="I2150" t="str">
            <v>FIN Submission</v>
          </cell>
          <cell r="J2150">
            <v>42478</v>
          </cell>
        </row>
        <row r="2151">
          <cell r="A2151" t="str">
            <v>45226-SC22</v>
          </cell>
          <cell r="B2151" t="str">
            <v>LIN2 UU Turbine Control Valves Refu</v>
          </cell>
          <cell r="C2151" t="str">
            <v>FIN Approval - Internal</v>
          </cell>
          <cell r="D2151">
            <v>14</v>
          </cell>
          <cell r="E2151" t="str">
            <v>APPROVED</v>
          </cell>
          <cell r="F2151">
            <v>41525</v>
          </cell>
          <cell r="G2151">
            <v>41638</v>
          </cell>
          <cell r="H2151">
            <v>129005.6</v>
          </cell>
          <cell r="I2151" t="str">
            <v>FIN Submission</v>
          </cell>
          <cell r="J2151">
            <v>42478</v>
          </cell>
        </row>
        <row r="2152">
          <cell r="A2152" t="str">
            <v>47213-P961</v>
          </cell>
          <cell r="B2152" t="str">
            <v xml:space="preserve">ICP UU Rail Maintenance Truck </v>
          </cell>
          <cell r="C2152" t="str">
            <v>FIN Approval - Internal</v>
          </cell>
          <cell r="D2152">
            <v>18</v>
          </cell>
          <cell r="E2152" t="str">
            <v>APPROVED</v>
          </cell>
          <cell r="F2152">
            <v>42136</v>
          </cell>
          <cell r="G2152">
            <v>42350</v>
          </cell>
          <cell r="H2152">
            <v>61676.77</v>
          </cell>
          <cell r="I2152" t="str">
            <v>FIN Submission</v>
          </cell>
          <cell r="J2152">
            <v>42478</v>
          </cell>
        </row>
        <row r="2153">
          <cell r="A2153" t="str">
            <v>46616-SD36</v>
          </cell>
          <cell r="B2153" t="str">
            <v>ICP UU Rail Center Boiler Re-Tube</v>
          </cell>
          <cell r="C2153" t="str">
            <v>FIN Approval - Internal</v>
          </cell>
          <cell r="D2153">
            <v>26</v>
          </cell>
          <cell r="E2153" t="str">
            <v>APPROVED</v>
          </cell>
          <cell r="F2153">
            <v>42155</v>
          </cell>
          <cell r="G2153">
            <v>42308</v>
          </cell>
          <cell r="H2153">
            <v>31958.91</v>
          </cell>
          <cell r="I2153" t="str">
            <v>FIN Submission</v>
          </cell>
          <cell r="J2153">
            <v>42478</v>
          </cell>
        </row>
        <row r="2154">
          <cell r="A2154" t="str">
            <v>46617-SD37</v>
          </cell>
          <cell r="B2154" t="str">
            <v>ICP UU Ranger Belt Replacement</v>
          </cell>
          <cell r="C2154" t="str">
            <v>FIN Approval - Internal</v>
          </cell>
          <cell r="D2154">
            <v>26</v>
          </cell>
          <cell r="E2154" t="str">
            <v>APPROVED</v>
          </cell>
          <cell r="F2154">
            <v>42083</v>
          </cell>
          <cell r="G2154">
            <v>42216</v>
          </cell>
          <cell r="H2154">
            <v>149239.18</v>
          </cell>
          <cell r="I2154" t="str">
            <v>FIN Submission</v>
          </cell>
          <cell r="J2154">
            <v>42478</v>
          </cell>
        </row>
        <row r="2155">
          <cell r="A2155" t="str">
            <v>46380-SD20</v>
          </cell>
          <cell r="B2155" t="str">
            <v>ICP UU #4 Coal Belt Replacement</v>
          </cell>
          <cell r="C2155" t="str">
            <v>FIN Approval - Internal</v>
          </cell>
          <cell r="D2155">
            <v>31</v>
          </cell>
          <cell r="E2155" t="str">
            <v>APPROVED</v>
          </cell>
          <cell r="F2155">
            <v>41942</v>
          </cell>
          <cell r="G2155">
            <v>42122</v>
          </cell>
          <cell r="H2155">
            <v>91481.03</v>
          </cell>
          <cell r="I2155" t="str">
            <v>FIN Submission</v>
          </cell>
          <cell r="J2155">
            <v>42478</v>
          </cell>
        </row>
        <row r="2156">
          <cell r="A2156" t="str">
            <v>45993-SD07</v>
          </cell>
          <cell r="B2156" t="str">
            <v>LIN2 - UU Low Load Line Refurb.</v>
          </cell>
          <cell r="C2156" t="str">
            <v>FIN Approval - Internal</v>
          </cell>
          <cell r="D2156">
            <v>31</v>
          </cell>
          <cell r="E2156" t="str">
            <v>APPROVED</v>
          </cell>
          <cell r="F2156">
            <v>41789</v>
          </cell>
          <cell r="G2156">
            <v>42085</v>
          </cell>
          <cell r="H2156">
            <v>85165.05</v>
          </cell>
          <cell r="I2156" t="str">
            <v>FIN Submission</v>
          </cell>
          <cell r="J2156">
            <v>42478</v>
          </cell>
        </row>
        <row r="2157">
          <cell r="A2157" t="str">
            <v>45990-SD04</v>
          </cell>
          <cell r="B2157" t="str">
            <v>LIN3 UU Boiler External Weld Refurb</v>
          </cell>
          <cell r="C2157" t="str">
            <v>FIN Approval - Internal</v>
          </cell>
          <cell r="D2157">
            <v>32</v>
          </cell>
          <cell r="E2157" t="str">
            <v>APPROVED</v>
          </cell>
          <cell r="F2157">
            <v>41850</v>
          </cell>
          <cell r="G2157">
            <v>42035</v>
          </cell>
          <cell r="H2157">
            <v>110019.9</v>
          </cell>
          <cell r="I2157" t="str">
            <v>FIN Submission</v>
          </cell>
          <cell r="J2157">
            <v>42478</v>
          </cell>
        </row>
        <row r="2158">
          <cell r="A2158" t="str">
            <v>45187-SC18</v>
          </cell>
          <cell r="B2158" t="str">
            <v>LIN2 UU Bottom Ash Refurbishment</v>
          </cell>
          <cell r="C2158" t="str">
            <v>FIN Approval - Internal</v>
          </cell>
          <cell r="D2158">
            <v>39</v>
          </cell>
          <cell r="E2158" t="str">
            <v>APPROVED</v>
          </cell>
          <cell r="F2158">
            <v>41578</v>
          </cell>
          <cell r="G2158">
            <v>41882</v>
          </cell>
          <cell r="H2158">
            <v>195603.37</v>
          </cell>
          <cell r="I2158" t="str">
            <v>FIN Submission</v>
          </cell>
          <cell r="J2158">
            <v>42478</v>
          </cell>
        </row>
        <row r="2159">
          <cell r="A2159" t="str">
            <v>41744-S869</v>
          </cell>
          <cell r="B2159" t="str">
            <v>LIN Coal Dozer Safety Upgrades</v>
          </cell>
          <cell r="C2159" t="str">
            <v>FIN Approval - Internal</v>
          </cell>
          <cell r="D2159">
            <v>40</v>
          </cell>
          <cell r="E2159" t="str">
            <v>APPROVED</v>
          </cell>
          <cell r="F2159">
            <v>40898</v>
          </cell>
          <cell r="G2159">
            <v>41120</v>
          </cell>
          <cell r="H2159">
            <v>97280.83</v>
          </cell>
          <cell r="I2159" t="str">
            <v>FIN Submission</v>
          </cell>
          <cell r="J2159">
            <v>42478</v>
          </cell>
        </row>
        <row r="2160">
          <cell r="A2160" t="str">
            <v>45114-SC52</v>
          </cell>
          <cell r="B2160" t="str">
            <v>PHB - Analytical Panel</v>
          </cell>
          <cell r="C2160" t="str">
            <v>FIN Approval - Internal</v>
          </cell>
          <cell r="D2160">
            <v>41</v>
          </cell>
          <cell r="E2160" t="str">
            <v>APPROVED</v>
          </cell>
          <cell r="F2160">
            <v>42064</v>
          </cell>
          <cell r="G2160">
            <v>42216</v>
          </cell>
          <cell r="H2160">
            <v>108391.28</v>
          </cell>
          <cell r="I2160" t="str">
            <v>FIN Submission</v>
          </cell>
          <cell r="J2160">
            <v>42478</v>
          </cell>
        </row>
        <row r="2161">
          <cell r="A2161" t="str">
            <v>45045-SC44</v>
          </cell>
          <cell r="B2161" t="str">
            <v>PHB - Evacuation alarm</v>
          </cell>
          <cell r="C2161" t="str">
            <v>FIN Approval - Internal</v>
          </cell>
          <cell r="D2161">
            <v>41</v>
          </cell>
          <cell r="E2161" t="str">
            <v>APPROVED</v>
          </cell>
          <cell r="F2161">
            <v>42034</v>
          </cell>
          <cell r="G2161">
            <v>42401</v>
          </cell>
          <cell r="H2161">
            <v>64105.62</v>
          </cell>
          <cell r="I2161" t="str">
            <v>FIN Submission</v>
          </cell>
          <cell r="J2161">
            <v>42478</v>
          </cell>
        </row>
        <row r="2162">
          <cell r="A2162" t="str">
            <v>44355-SC70</v>
          </cell>
          <cell r="B2162" t="str">
            <v xml:space="preserve">LIN Crusher Dumper Fire Protection </v>
          </cell>
          <cell r="C2162" t="str">
            <v>FIN Approval - Internal</v>
          </cell>
          <cell r="D2162">
            <v>46</v>
          </cell>
          <cell r="E2162" t="str">
            <v>APPROVED</v>
          </cell>
          <cell r="F2162">
            <v>42061</v>
          </cell>
          <cell r="G2162">
            <v>42308</v>
          </cell>
          <cell r="H2162">
            <v>105718.8</v>
          </cell>
          <cell r="I2162" t="str">
            <v>FIN Submission</v>
          </cell>
          <cell r="J2162">
            <v>42478</v>
          </cell>
        </row>
        <row r="2163">
          <cell r="A2163" t="str">
            <v>44308-D498</v>
          </cell>
          <cell r="B2163" t="str">
            <v>16W-301 Hebron Neutral Reconductor</v>
          </cell>
          <cell r="C2163" t="str">
            <v>FIN Approval - Internal</v>
          </cell>
          <cell r="D2163">
            <v>48</v>
          </cell>
          <cell r="E2163" t="str">
            <v>APPROVED</v>
          </cell>
          <cell r="F2163">
            <v>41516</v>
          </cell>
          <cell r="G2163">
            <v>42459</v>
          </cell>
          <cell r="H2163">
            <v>41316.410000000003</v>
          </cell>
          <cell r="I2163" t="str">
            <v>FIN Submission</v>
          </cell>
          <cell r="J2163">
            <v>42478</v>
          </cell>
        </row>
        <row r="2164">
          <cell r="A2164" t="str">
            <v>43212-SC01</v>
          </cell>
          <cell r="B2164" t="str">
            <v xml:space="preserve">LIN 4160 and 600V Breakers </v>
          </cell>
          <cell r="C2164" t="str">
            <v>FIN Approval - Internal</v>
          </cell>
          <cell r="D2164">
            <v>59</v>
          </cell>
          <cell r="E2164" t="str">
            <v>APPROVED</v>
          </cell>
          <cell r="F2164">
            <v>41602</v>
          </cell>
          <cell r="G2164">
            <v>41698</v>
          </cell>
          <cell r="H2164">
            <v>54669.47</v>
          </cell>
          <cell r="I2164" t="str">
            <v>FIN Submission</v>
          </cell>
          <cell r="J2164">
            <v>42478</v>
          </cell>
        </row>
        <row r="2165">
          <cell r="A2165" t="str">
            <v>40338-D355</v>
          </cell>
          <cell r="B2165" t="str">
            <v>16W-301 Hebron Reconductor</v>
          </cell>
          <cell r="C2165" t="str">
            <v>FIN Approval - Internal</v>
          </cell>
          <cell r="D2165">
            <v>61</v>
          </cell>
          <cell r="E2165" t="str">
            <v>APPROVED</v>
          </cell>
          <cell r="F2165">
            <v>40907</v>
          </cell>
          <cell r="G2165">
            <v>42460</v>
          </cell>
          <cell r="H2165">
            <v>605670.18000000005</v>
          </cell>
          <cell r="I2165" t="str">
            <v>FIN Submission</v>
          </cell>
          <cell r="J2165">
            <v>42478</v>
          </cell>
        </row>
        <row r="2166">
          <cell r="A2166" t="str">
            <v>41033-D371</v>
          </cell>
          <cell r="B2166" t="str">
            <v>Thistle Grove Subdivision Phase 1</v>
          </cell>
          <cell r="C2166" t="str">
            <v>FIN Approval - Internal</v>
          </cell>
          <cell r="D2166">
            <v>62</v>
          </cell>
          <cell r="E2166" t="str">
            <v>APPROVED</v>
          </cell>
          <cell r="F2166">
            <v>40967</v>
          </cell>
          <cell r="G2166">
            <v>42460</v>
          </cell>
          <cell r="H2166">
            <v>24513.78</v>
          </cell>
          <cell r="I2166" t="str">
            <v>FIN Submission</v>
          </cell>
          <cell r="J2166">
            <v>42478</v>
          </cell>
        </row>
        <row r="2167">
          <cell r="A2167" t="str">
            <v>42526-T711</v>
          </cell>
          <cell r="B2167" t="str">
            <v>L6004 Replacements</v>
          </cell>
          <cell r="C2167" t="str">
            <v>FIN Approval - Internal</v>
          </cell>
          <cell r="D2167">
            <v>63</v>
          </cell>
          <cell r="E2167" t="str">
            <v>APPROVED</v>
          </cell>
          <cell r="F2167">
            <v>41262</v>
          </cell>
          <cell r="G2167">
            <v>42460</v>
          </cell>
          <cell r="H2167">
            <v>179250.98</v>
          </cell>
          <cell r="I2167" t="str">
            <v>FIN Submission</v>
          </cell>
          <cell r="J2167">
            <v>42478</v>
          </cell>
        </row>
        <row r="2168">
          <cell r="A2168" t="str">
            <v>40983-D365</v>
          </cell>
          <cell r="B2168" t="str">
            <v>70W-322 89W-301 Tie Line</v>
          </cell>
          <cell r="C2168" t="str">
            <v>FIN Approval - Internal</v>
          </cell>
          <cell r="D2168">
            <v>65</v>
          </cell>
          <cell r="E2168" t="str">
            <v>APPROVED</v>
          </cell>
          <cell r="F2168">
            <v>40907</v>
          </cell>
          <cell r="G2168">
            <v>42459</v>
          </cell>
          <cell r="H2168">
            <v>306130.90000000002</v>
          </cell>
          <cell r="I2168" t="str">
            <v>FIN Submission</v>
          </cell>
          <cell r="J2168">
            <v>42478</v>
          </cell>
        </row>
        <row r="2169">
          <cell r="A2169" t="str">
            <v>40184-S747</v>
          </cell>
          <cell r="B2169" t="str">
            <v>LIN2 Turbine Fire Suppression</v>
          </cell>
          <cell r="C2169" t="str">
            <v>FIN Approval - Internal</v>
          </cell>
          <cell r="D2169">
            <v>70</v>
          </cell>
          <cell r="E2169" t="str">
            <v>APPROVED</v>
          </cell>
          <cell r="F2169">
            <v>40938</v>
          </cell>
          <cell r="G2169">
            <v>41273</v>
          </cell>
          <cell r="H2169">
            <v>303705.40999999997</v>
          </cell>
          <cell r="I2169" t="str">
            <v>FIN Submission</v>
          </cell>
          <cell r="J2169">
            <v>42478</v>
          </cell>
        </row>
        <row r="2170">
          <cell r="A2170" t="str">
            <v>40290-P854</v>
          </cell>
          <cell r="B2170" t="str">
            <v>Enterprise GIS</v>
          </cell>
          <cell r="C2170" t="str">
            <v>FIN Approval - Internal</v>
          </cell>
          <cell r="D2170">
            <v>82</v>
          </cell>
          <cell r="E2170" t="str">
            <v>APPROVED</v>
          </cell>
          <cell r="F2170">
            <v>40908</v>
          </cell>
          <cell r="G2170">
            <v>42460</v>
          </cell>
          <cell r="H2170">
            <v>288842.74</v>
          </cell>
          <cell r="I2170" t="str">
            <v>FIN Submission</v>
          </cell>
          <cell r="J2170">
            <v>42478</v>
          </cell>
        </row>
        <row r="2171">
          <cell r="A2171" t="str">
            <v>41151-SA53</v>
          </cell>
          <cell r="B2171" t="str">
            <v xml:space="preserve"> LIN4 - Polisher Resin Replacement</v>
          </cell>
          <cell r="C2171" t="str">
            <v>FIN Approval - Internal</v>
          </cell>
          <cell r="D2171">
            <v>83</v>
          </cell>
          <cell r="E2171" t="str">
            <v>APPROVED</v>
          </cell>
          <cell r="F2171">
            <v>41243</v>
          </cell>
          <cell r="G2171">
            <v>42035</v>
          </cell>
          <cell r="H2171">
            <v>85155.46</v>
          </cell>
          <cell r="I2171" t="str">
            <v>FIN Submission</v>
          </cell>
          <cell r="J2171">
            <v>42478</v>
          </cell>
        </row>
        <row r="2172">
          <cell r="A2172" t="str">
            <v>40246-S750</v>
          </cell>
          <cell r="B2172" t="str">
            <v>CW Pump Refurbishment</v>
          </cell>
          <cell r="C2172" t="str">
            <v>FIN Approval - Internal</v>
          </cell>
          <cell r="D2172">
            <v>85</v>
          </cell>
          <cell r="E2172" t="str">
            <v>APPROVED</v>
          </cell>
          <cell r="F2172">
            <v>41250</v>
          </cell>
          <cell r="G2172">
            <v>41636</v>
          </cell>
          <cell r="H2172">
            <v>533462.67000000004</v>
          </cell>
          <cell r="I2172" t="str">
            <v>FIN Submission</v>
          </cell>
          <cell r="J2172">
            <v>42478</v>
          </cell>
        </row>
        <row r="2173">
          <cell r="A2173" t="str">
            <v>40270-T672</v>
          </cell>
          <cell r="B2173" t="str">
            <v>Upgrade 69 kV Circuit to Bridge Ave</v>
          </cell>
          <cell r="C2173" t="str">
            <v>FIN Approval - Internal</v>
          </cell>
          <cell r="D2173">
            <v>86</v>
          </cell>
          <cell r="E2173" t="str">
            <v>APPROVED</v>
          </cell>
          <cell r="F2173">
            <v>40907</v>
          </cell>
          <cell r="G2173">
            <v>41243</v>
          </cell>
          <cell r="H2173">
            <v>718294.04</v>
          </cell>
          <cell r="I2173" t="str">
            <v>FIN Submission</v>
          </cell>
          <cell r="J2173">
            <v>42478</v>
          </cell>
        </row>
        <row r="2174">
          <cell r="A2174" t="str">
            <v>41121-SB16</v>
          </cell>
          <cell r="B2174" t="str">
            <v>LIN- Cooling Water (CW) Pump Refurb</v>
          </cell>
          <cell r="C2174" t="str">
            <v>FIN Approval - Internal</v>
          </cell>
          <cell r="D2174">
            <v>88</v>
          </cell>
          <cell r="E2174" t="str">
            <v>APPROVED</v>
          </cell>
          <cell r="F2174">
            <v>41540</v>
          </cell>
          <cell r="G2174">
            <v>41882</v>
          </cell>
          <cell r="H2174">
            <v>453759.86</v>
          </cell>
          <cell r="I2174" t="str">
            <v>FIN Submission</v>
          </cell>
          <cell r="J2174">
            <v>42478</v>
          </cell>
        </row>
        <row r="2175">
          <cell r="A2175" t="str">
            <v>36624-S539</v>
          </cell>
          <cell r="B2175" t="str">
            <v>LIN - 4160 Motor Refurbishment</v>
          </cell>
          <cell r="C2175" t="str">
            <v>FIN Approval - Internal</v>
          </cell>
          <cell r="D2175">
            <v>95</v>
          </cell>
          <cell r="E2175" t="str">
            <v>APPROVED</v>
          </cell>
          <cell r="F2175">
            <v>40542</v>
          </cell>
          <cell r="G2175">
            <v>42490</v>
          </cell>
          <cell r="H2175">
            <v>148625.76</v>
          </cell>
          <cell r="I2175" t="str">
            <v>FIN Submission</v>
          </cell>
          <cell r="J2175">
            <v>42478</v>
          </cell>
        </row>
        <row r="2176">
          <cell r="A2176" t="str">
            <v>39272-D370</v>
          </cell>
          <cell r="B2176" t="str">
            <v>2011 Distribution Feeder Ties</v>
          </cell>
          <cell r="C2176" t="str">
            <v>FIN Approval - Internal</v>
          </cell>
          <cell r="D2176">
            <v>99</v>
          </cell>
          <cell r="E2176" t="str">
            <v>APPROVED</v>
          </cell>
          <cell r="F2176">
            <v>40878</v>
          </cell>
          <cell r="G2176">
            <v>42459</v>
          </cell>
          <cell r="H2176">
            <v>614636.19999999995</v>
          </cell>
          <cell r="I2176" t="str">
            <v>FIN Submission</v>
          </cell>
          <cell r="J2176">
            <v>42478</v>
          </cell>
        </row>
        <row r="2177">
          <cell r="A2177" t="str">
            <v>38850-S873</v>
          </cell>
          <cell r="B2177" t="str">
            <v xml:space="preserve">LIN Flyash System Upgrade </v>
          </cell>
          <cell r="C2177" t="str">
            <v>FIN Approval - Internal</v>
          </cell>
          <cell r="D2177">
            <v>105</v>
          </cell>
          <cell r="E2177" t="str">
            <v>APPROVED</v>
          </cell>
          <cell r="F2177">
            <v>41273</v>
          </cell>
          <cell r="G2177">
            <v>41455</v>
          </cell>
          <cell r="H2177">
            <v>162188.1</v>
          </cell>
          <cell r="I2177" t="str">
            <v>FIN Submission</v>
          </cell>
          <cell r="J2177">
            <v>42478</v>
          </cell>
        </row>
        <row r="2178">
          <cell r="A2178" t="str">
            <v>40224-D456</v>
          </cell>
          <cell r="B2178" t="str">
            <v>78W-301 Second Peninsula</v>
          </cell>
          <cell r="C2178" t="str">
            <v>FIN Approval - Internal</v>
          </cell>
          <cell r="D2178">
            <v>113</v>
          </cell>
          <cell r="E2178" t="str">
            <v>APPROVED</v>
          </cell>
          <cell r="F2178">
            <v>41261</v>
          </cell>
          <cell r="G2178">
            <v>41729</v>
          </cell>
          <cell r="H2178">
            <v>623495.14</v>
          </cell>
          <cell r="I2178" t="str">
            <v>FIN Submission</v>
          </cell>
          <cell r="J2178">
            <v>42478</v>
          </cell>
        </row>
        <row r="2179">
          <cell r="A2179" t="str">
            <v>33902-D193</v>
          </cell>
          <cell r="B2179" t="str">
            <v>Port Saxon</v>
          </cell>
          <cell r="C2179" t="str">
            <v>FIN Approval - Internal</v>
          </cell>
          <cell r="D2179">
            <v>119</v>
          </cell>
          <cell r="E2179" t="str">
            <v>APPROVED</v>
          </cell>
          <cell r="F2179">
            <v>39964</v>
          </cell>
          <cell r="G2179">
            <v>42460</v>
          </cell>
          <cell r="H2179">
            <v>-1945.65</v>
          </cell>
          <cell r="I2179" t="str">
            <v>FIN Submission</v>
          </cell>
          <cell r="J2179">
            <v>42478</v>
          </cell>
        </row>
        <row r="2180">
          <cell r="A2180" t="str">
            <v>28332-S249</v>
          </cell>
          <cell r="B2180" t="str">
            <v>LIN - MODIFY SOLID FUEL FEEDER CHUT</v>
          </cell>
          <cell r="C2180" t="str">
            <v>FIN Approval - Internal</v>
          </cell>
          <cell r="D2180">
            <v>122</v>
          </cell>
          <cell r="E2180" t="str">
            <v>APPROVED</v>
          </cell>
          <cell r="F2180">
            <v>39447</v>
          </cell>
          <cell r="G2180">
            <v>40177</v>
          </cell>
          <cell r="H2180">
            <v>470188.14</v>
          </cell>
          <cell r="I2180" t="str">
            <v>FIN Submission</v>
          </cell>
          <cell r="J2180">
            <v>42478</v>
          </cell>
        </row>
        <row r="2181">
          <cell r="A2181" t="str">
            <v>43172-SB91</v>
          </cell>
          <cell r="B2181" t="str">
            <v>TRE6 UU Precip Inlet Vane Refurbish</v>
          </cell>
          <cell r="C2181" t="str">
            <v>FIN Approval - Internal</v>
          </cell>
          <cell r="D2181">
            <v>31</v>
          </cell>
          <cell r="E2181" t="str">
            <v>APPROVED</v>
          </cell>
          <cell r="F2181">
            <v>41470</v>
          </cell>
          <cell r="G2181">
            <v>41532</v>
          </cell>
          <cell r="H2181">
            <v>93272.639999999999</v>
          </cell>
          <cell r="I2181" t="str">
            <v>FIN Submission</v>
          </cell>
          <cell r="J2181">
            <v>42423</v>
          </cell>
        </row>
        <row r="2182">
          <cell r="A2182" t="str">
            <v>43293-T755</v>
          </cell>
          <cell r="B2182" t="str">
            <v>Brushy Hill Protect Upgrade (138KV)</v>
          </cell>
          <cell r="C2182" t="str">
            <v>FIN Approval - Internal</v>
          </cell>
          <cell r="D2182">
            <v>54</v>
          </cell>
          <cell r="E2182" t="str">
            <v>APPROVED</v>
          </cell>
          <cell r="F2182">
            <v>41733</v>
          </cell>
          <cell r="G2182">
            <v>42091</v>
          </cell>
          <cell r="H2182">
            <v>2650781.44</v>
          </cell>
          <cell r="I2182" t="str">
            <v>FIN Submission</v>
          </cell>
          <cell r="J2182">
            <v>42423</v>
          </cell>
        </row>
        <row r="2183">
          <cell r="A2183" t="str">
            <v>43292-T754</v>
          </cell>
          <cell r="B2183" t="str">
            <v>120H-Brushy Hill BPS Upgrades 230KV</v>
          </cell>
          <cell r="C2183" t="str">
            <v>FIN Approval - Internal</v>
          </cell>
          <cell r="D2183">
            <v>57</v>
          </cell>
          <cell r="E2183" t="str">
            <v>APPROVED</v>
          </cell>
          <cell r="F2183">
            <v>41901</v>
          </cell>
          <cell r="G2183">
            <v>42247</v>
          </cell>
          <cell r="H2183">
            <v>1680583.65</v>
          </cell>
          <cell r="I2183" t="str">
            <v>FIN Submission</v>
          </cell>
          <cell r="J2183">
            <v>42423</v>
          </cell>
        </row>
        <row r="2184">
          <cell r="A2184" t="str">
            <v>41565-P881</v>
          </cell>
          <cell r="B2184" t="str">
            <v>AMO Generation NERC CIP Upgrades</v>
          </cell>
          <cell r="C2184" t="str">
            <v>FIN Approval - Internal</v>
          </cell>
          <cell r="D2184">
            <v>58</v>
          </cell>
          <cell r="E2184" t="str">
            <v>APPROVED</v>
          </cell>
          <cell r="F2184">
            <v>41425</v>
          </cell>
          <cell r="G2184">
            <v>41608</v>
          </cell>
          <cell r="H2184">
            <v>136562.53</v>
          </cell>
          <cell r="I2184" t="str">
            <v>FIN Submission</v>
          </cell>
          <cell r="J2184">
            <v>42423</v>
          </cell>
        </row>
        <row r="2185">
          <cell r="A2185" t="str">
            <v>41526-SA06</v>
          </cell>
          <cell r="B2185" t="str">
            <v>TRE - Ash Site Management (2012)</v>
          </cell>
          <cell r="C2185" t="str">
            <v>FIN Approval - Internal</v>
          </cell>
          <cell r="D2185">
            <v>59</v>
          </cell>
          <cell r="E2185" t="str">
            <v>APPROVED</v>
          </cell>
          <cell r="F2185">
            <v>41277</v>
          </cell>
          <cell r="G2185">
            <v>41440</v>
          </cell>
          <cell r="H2185">
            <v>128258.84</v>
          </cell>
          <cell r="I2185" t="str">
            <v>FIN Submission</v>
          </cell>
          <cell r="J2185">
            <v>42423</v>
          </cell>
        </row>
        <row r="2186">
          <cell r="A2186" t="str">
            <v>40230-S823</v>
          </cell>
          <cell r="B2186" t="str">
            <v>TRE - Roof Drain Replacements</v>
          </cell>
          <cell r="C2186" t="str">
            <v>FIN Approval - Internal</v>
          </cell>
          <cell r="D2186">
            <v>84</v>
          </cell>
          <cell r="E2186" t="str">
            <v>APPROVED</v>
          </cell>
          <cell r="F2186">
            <v>41258</v>
          </cell>
          <cell r="G2186">
            <v>41532</v>
          </cell>
          <cell r="H2186">
            <v>200552.04</v>
          </cell>
          <cell r="I2186" t="str">
            <v>FIN Submission</v>
          </cell>
          <cell r="J2186">
            <v>42423</v>
          </cell>
        </row>
        <row r="2187">
          <cell r="A2187" t="str">
            <v>41503-S920</v>
          </cell>
          <cell r="B2187" t="str">
            <v>TRE6 - Turbine Control Valve Refurb</v>
          </cell>
          <cell r="C2187" t="str">
            <v>FIN Approval - Internal</v>
          </cell>
          <cell r="D2187">
            <v>85</v>
          </cell>
          <cell r="E2187" t="str">
            <v>APPROVED</v>
          </cell>
          <cell r="F2187">
            <v>41440</v>
          </cell>
          <cell r="G2187">
            <v>41670</v>
          </cell>
          <cell r="H2187">
            <v>421240.51</v>
          </cell>
          <cell r="I2187" t="str">
            <v>FIN Submission</v>
          </cell>
          <cell r="J2187">
            <v>42423</v>
          </cell>
        </row>
        <row r="2188">
          <cell r="A2188" t="str">
            <v>41545-SA65</v>
          </cell>
          <cell r="B2188" t="str">
            <v>TRE5 - O2 Sensor Replacement</v>
          </cell>
          <cell r="C2188" t="str">
            <v>FIN Approval - Internal</v>
          </cell>
          <cell r="D2188">
            <v>86</v>
          </cell>
          <cell r="E2188" t="str">
            <v>APPROVED</v>
          </cell>
          <cell r="F2188">
            <v>41988</v>
          </cell>
          <cell r="G2188">
            <v>41988</v>
          </cell>
          <cell r="H2188">
            <v>31031.06</v>
          </cell>
          <cell r="I2188" t="str">
            <v>FIN Submission</v>
          </cell>
          <cell r="J2188">
            <v>42423</v>
          </cell>
        </row>
        <row r="2189">
          <cell r="A2189" t="str">
            <v>39943-S746</v>
          </cell>
          <cell r="B2189" t="str">
            <v>TRE6 - 6B CW Screen Refurbishment</v>
          </cell>
          <cell r="C2189" t="str">
            <v>FIN Approval - Internal</v>
          </cell>
          <cell r="D2189">
            <v>86</v>
          </cell>
          <cell r="E2189" t="str">
            <v>APPROVED</v>
          </cell>
          <cell r="F2189">
            <v>41440</v>
          </cell>
          <cell r="G2189">
            <v>41532</v>
          </cell>
          <cell r="H2189">
            <v>211428.12</v>
          </cell>
          <cell r="I2189" t="str">
            <v>FIN Submission</v>
          </cell>
          <cell r="J2189">
            <v>42423</v>
          </cell>
        </row>
        <row r="2190">
          <cell r="A2190" t="str">
            <v>39939-S778</v>
          </cell>
          <cell r="B2190" t="str">
            <v xml:space="preserve">TRE - Security Improvements (Phase </v>
          </cell>
          <cell r="C2190" t="str">
            <v>FIN Approval - Internal</v>
          </cell>
          <cell r="D2190">
            <v>87</v>
          </cell>
          <cell r="E2190" t="str">
            <v>APPROVED</v>
          </cell>
          <cell r="F2190">
            <v>41440</v>
          </cell>
          <cell r="G2190">
            <v>41532</v>
          </cell>
          <cell r="H2190">
            <v>160373.26</v>
          </cell>
          <cell r="I2190" t="str">
            <v>FIN Submission</v>
          </cell>
          <cell r="J2190">
            <v>42423</v>
          </cell>
        </row>
        <row r="2191">
          <cell r="A2191" t="str">
            <v>41525-SA05</v>
          </cell>
          <cell r="B2191" t="str">
            <v>TRE5 - 5-1 Pulverizer Refurbishment</v>
          </cell>
          <cell r="C2191" t="str">
            <v>FIN Approval - Internal</v>
          </cell>
          <cell r="D2191">
            <v>87</v>
          </cell>
          <cell r="E2191" t="str">
            <v>APPROVED</v>
          </cell>
          <cell r="F2191">
            <v>41988</v>
          </cell>
          <cell r="G2191">
            <v>42109</v>
          </cell>
          <cell r="H2191">
            <v>566250.18999999994</v>
          </cell>
          <cell r="I2191" t="str">
            <v>FIN Submission</v>
          </cell>
          <cell r="J2191">
            <v>42423</v>
          </cell>
        </row>
        <row r="2192">
          <cell r="A2192" t="str">
            <v>40403-P880</v>
          </cell>
          <cell r="B2192" t="str">
            <v>Work &amp; Asset Management</v>
          </cell>
          <cell r="C2192" t="str">
            <v>FIN Approval - Internal</v>
          </cell>
          <cell r="D2192">
            <v>108</v>
          </cell>
          <cell r="E2192" t="str">
            <v>APPROVED</v>
          </cell>
          <cell r="F2192">
            <v>41274</v>
          </cell>
          <cell r="G2192">
            <v>42246</v>
          </cell>
          <cell r="H2192">
            <v>6086554.79</v>
          </cell>
          <cell r="I2192" t="str">
            <v>FIN Submission</v>
          </cell>
          <cell r="J2192">
            <v>42423</v>
          </cell>
        </row>
        <row r="2193">
          <cell r="A2193" t="str">
            <v>24842-S807</v>
          </cell>
          <cell r="B2193" t="str">
            <v>TRE5 - ADD A THIRD CONDENSATE POLIS</v>
          </cell>
          <cell r="C2193" t="str">
            <v>FIN Approval - Internal</v>
          </cell>
          <cell r="D2193">
            <v>6</v>
          </cell>
          <cell r="E2193" t="str">
            <v>APPROVED</v>
          </cell>
          <cell r="F2193">
            <v>38814</v>
          </cell>
          <cell r="G2193">
            <v>39172</v>
          </cell>
          <cell r="H2193">
            <v>184026.29</v>
          </cell>
          <cell r="I2193" t="str">
            <v>FIN Submission</v>
          </cell>
          <cell r="J2193">
            <v>42419</v>
          </cell>
        </row>
        <row r="2194">
          <cell r="A2194" t="str">
            <v>46851-SD60</v>
          </cell>
          <cell r="B2194" t="str">
            <v>LIN3 UU Burner Front Ext. Weld Ref.</v>
          </cell>
          <cell r="C2194" t="str">
            <v>FIN Approval - Internal</v>
          </cell>
          <cell r="D2194">
            <v>12</v>
          </cell>
          <cell r="E2194" t="str">
            <v>APPROVED</v>
          </cell>
          <cell r="F2194">
            <v>42019</v>
          </cell>
          <cell r="G2194">
            <v>42063</v>
          </cell>
          <cell r="H2194">
            <v>82627.16</v>
          </cell>
          <cell r="I2194" t="str">
            <v>FIN Submission</v>
          </cell>
          <cell r="J2194">
            <v>42419</v>
          </cell>
        </row>
        <row r="2195">
          <cell r="A2195" t="str">
            <v>44189-SB85</v>
          </cell>
          <cell r="B2195" t="str">
            <v>TRE UU GPS Coal Pile Safety Upgrade</v>
          </cell>
          <cell r="C2195" t="str">
            <v>FIN Approval - Internal</v>
          </cell>
          <cell r="D2195">
            <v>21</v>
          </cell>
          <cell r="E2195" t="str">
            <v>APPROVED</v>
          </cell>
          <cell r="F2195">
            <v>41501</v>
          </cell>
          <cell r="G2195">
            <v>41562</v>
          </cell>
          <cell r="H2195">
            <v>194645.9</v>
          </cell>
          <cell r="I2195" t="str">
            <v>FIN Submission</v>
          </cell>
          <cell r="J2195">
            <v>42419</v>
          </cell>
        </row>
        <row r="2196">
          <cell r="A2196" t="str">
            <v>43807-SB15</v>
          </cell>
          <cell r="B2196" t="str">
            <v>TRE UU Oil Reconciliation Upgrades</v>
          </cell>
          <cell r="C2196" t="str">
            <v>FIN Approval - Internal</v>
          </cell>
          <cell r="D2196">
            <v>25</v>
          </cell>
          <cell r="E2196" t="str">
            <v>APPROVED</v>
          </cell>
          <cell r="F2196">
            <v>41440</v>
          </cell>
          <cell r="G2196">
            <v>41623</v>
          </cell>
          <cell r="H2196">
            <v>104083.77</v>
          </cell>
          <cell r="I2196" t="str">
            <v>FIN Submission</v>
          </cell>
          <cell r="J2196">
            <v>42419</v>
          </cell>
        </row>
        <row r="2197">
          <cell r="A2197" t="str">
            <v>43469-H669</v>
          </cell>
          <cell r="B2197" t="str">
            <v>HYD-U&amp;U Raynard's Lake Fish Ladder</v>
          </cell>
          <cell r="C2197" t="str">
            <v>FIN Approval - Internal</v>
          </cell>
          <cell r="D2197">
            <v>29</v>
          </cell>
          <cell r="E2197" t="str">
            <v>APPROVED</v>
          </cell>
          <cell r="F2197">
            <v>41248</v>
          </cell>
          <cell r="G2197">
            <v>41639</v>
          </cell>
          <cell r="H2197">
            <v>320861.56</v>
          </cell>
          <cell r="I2197" t="str">
            <v>FIN Submission</v>
          </cell>
          <cell r="J2197">
            <v>42419</v>
          </cell>
        </row>
        <row r="2198">
          <cell r="A2198" t="str">
            <v>44888-SC72</v>
          </cell>
          <cell r="B2198" t="str">
            <v>PHB - Boiler Refurbishment 2014</v>
          </cell>
          <cell r="C2198" t="str">
            <v>FIN Approval - Internal</v>
          </cell>
          <cell r="D2198">
            <v>30</v>
          </cell>
          <cell r="E2198" t="str">
            <v>APPROVED</v>
          </cell>
          <cell r="F2198">
            <v>41825</v>
          </cell>
          <cell r="G2198">
            <v>42190</v>
          </cell>
          <cell r="H2198">
            <v>783355.44</v>
          </cell>
          <cell r="I2198" t="str">
            <v>FIN Submission</v>
          </cell>
          <cell r="J2198">
            <v>42419</v>
          </cell>
        </row>
        <row r="2199">
          <cell r="A2199" t="str">
            <v>41883-S885</v>
          </cell>
          <cell r="B2199" t="str">
            <v>TUC1 U&amp;U Air Preheater Repairs</v>
          </cell>
          <cell r="C2199" t="str">
            <v>FIN Approval - Internal</v>
          </cell>
          <cell r="D2199">
            <v>41</v>
          </cell>
          <cell r="E2199" t="str">
            <v>APPROVED</v>
          </cell>
          <cell r="F2199">
            <v>40907</v>
          </cell>
          <cell r="G2199">
            <v>42185</v>
          </cell>
          <cell r="H2199">
            <v>98818.33</v>
          </cell>
          <cell r="I2199" t="str">
            <v>FIN Submission</v>
          </cell>
          <cell r="J2199">
            <v>42419</v>
          </cell>
        </row>
        <row r="2200">
          <cell r="A2200" t="str">
            <v>41796-S876</v>
          </cell>
          <cell r="B2200" t="str">
            <v>TUC1 U&amp;U CW Screens Refurbishement</v>
          </cell>
          <cell r="C2200" t="str">
            <v>FIN Approval - Internal</v>
          </cell>
          <cell r="D2200">
            <v>42</v>
          </cell>
          <cell r="E2200" t="str">
            <v>APPROVED</v>
          </cell>
          <cell r="F2200">
            <v>40907</v>
          </cell>
          <cell r="G2200">
            <v>42185</v>
          </cell>
          <cell r="H2200">
            <v>148007.42000000001</v>
          </cell>
          <cell r="I2200" t="str">
            <v>FIN Submission</v>
          </cell>
          <cell r="J2200">
            <v>42419</v>
          </cell>
        </row>
        <row r="2201">
          <cell r="A2201" t="str">
            <v>43409-SC03</v>
          </cell>
          <cell r="B2201" t="str">
            <v>TRE Ash Site Covering 2013</v>
          </cell>
          <cell r="C2201" t="str">
            <v>FIN Approval - Internal</v>
          </cell>
          <cell r="D2201">
            <v>54</v>
          </cell>
          <cell r="E2201" t="str">
            <v>APPROVED</v>
          </cell>
          <cell r="F2201">
            <v>41927</v>
          </cell>
          <cell r="G2201">
            <v>42063</v>
          </cell>
          <cell r="H2201">
            <v>156818.97</v>
          </cell>
          <cell r="I2201" t="str">
            <v>FIN Submission</v>
          </cell>
          <cell r="J2201">
            <v>42419</v>
          </cell>
        </row>
        <row r="2202">
          <cell r="A2202" t="str">
            <v>41324-H625</v>
          </cell>
          <cell r="B2202" t="str">
            <v>HYD-U&amp;U Aylesford Spillway Culvert</v>
          </cell>
          <cell r="C2202" t="str">
            <v>zINVALID FIN Approval - Internal</v>
          </cell>
          <cell r="D2202">
            <v>56</v>
          </cell>
          <cell r="E2202" t="str">
            <v>APPROVED</v>
          </cell>
          <cell r="F2202">
            <v>40831</v>
          </cell>
          <cell r="G2202">
            <v>40892</v>
          </cell>
          <cell r="H2202">
            <v>80124.95</v>
          </cell>
          <cell r="I2202" t="str">
            <v>FIN Submission</v>
          </cell>
          <cell r="J2202">
            <v>42419</v>
          </cell>
        </row>
        <row r="2203">
          <cell r="A2203" t="str">
            <v>41138-H640</v>
          </cell>
          <cell r="B2203" t="str">
            <v>HYD-Hollow Bridge Surge Tank</v>
          </cell>
          <cell r="C2203" t="str">
            <v>FIN Approval - Internal</v>
          </cell>
          <cell r="D2203">
            <v>58</v>
          </cell>
          <cell r="E2203" t="str">
            <v>APPROVED</v>
          </cell>
          <cell r="F2203">
            <v>41517</v>
          </cell>
          <cell r="G2203">
            <v>41639</v>
          </cell>
          <cell r="H2203">
            <v>1037489.57</v>
          </cell>
          <cell r="I2203" t="str">
            <v>FIN Submission</v>
          </cell>
          <cell r="J2203">
            <v>42419</v>
          </cell>
        </row>
        <row r="2204">
          <cell r="A2204" t="str">
            <v>41620-SA25</v>
          </cell>
          <cell r="B2204" t="str">
            <v>TUC3 Turbine-Generator Fire Protect</v>
          </cell>
          <cell r="C2204" t="str">
            <v>FIN Approval - Internal</v>
          </cell>
          <cell r="D2204">
            <v>58</v>
          </cell>
          <cell r="E2204" t="str">
            <v>APPROVED</v>
          </cell>
          <cell r="F2204">
            <v>41608</v>
          </cell>
          <cell r="G2204">
            <v>42247</v>
          </cell>
          <cell r="H2204">
            <v>116169.22</v>
          </cell>
          <cell r="I2204" t="str">
            <v>FIN Submission</v>
          </cell>
          <cell r="J2204">
            <v>42419</v>
          </cell>
        </row>
        <row r="2205">
          <cell r="A2205" t="str">
            <v>41251-SA04</v>
          </cell>
          <cell r="B2205" t="str">
            <v>TUC3 - Turbine HP Cylinder Bolting</v>
          </cell>
          <cell r="C2205" t="str">
            <v>FIN Approval - Internal</v>
          </cell>
          <cell r="D2205">
            <v>62</v>
          </cell>
          <cell r="E2205" t="str">
            <v>APPROVED</v>
          </cell>
          <cell r="F2205">
            <v>41152</v>
          </cell>
          <cell r="G2205">
            <v>42185</v>
          </cell>
          <cell r="H2205">
            <v>224797.38</v>
          </cell>
          <cell r="I2205" t="str">
            <v>FIN Submission</v>
          </cell>
          <cell r="J2205">
            <v>42419</v>
          </cell>
        </row>
        <row r="2206">
          <cell r="A2206" t="str">
            <v>41248-SA69</v>
          </cell>
          <cell r="B2206" t="str">
            <v>TUC - Lube Oil Storage Building</v>
          </cell>
          <cell r="C2206" t="str">
            <v>FIN Approval - Internal</v>
          </cell>
          <cell r="D2206">
            <v>65</v>
          </cell>
          <cell r="E2206" t="str">
            <v>APPROVED</v>
          </cell>
          <cell r="F2206">
            <v>41273</v>
          </cell>
          <cell r="G2206">
            <v>42185</v>
          </cell>
          <cell r="H2206">
            <v>273817.62</v>
          </cell>
          <cell r="I2206" t="str">
            <v>FIN Submission</v>
          </cell>
          <cell r="J2206">
            <v>42419</v>
          </cell>
        </row>
        <row r="2207">
          <cell r="A2207" t="str">
            <v>40843-S785</v>
          </cell>
          <cell r="B2207" t="str">
            <v>TUC3-U&amp;U Rebuild CW Pump(S) Mtr Brg</v>
          </cell>
          <cell r="C2207" t="str">
            <v>FIN Approval - Internal</v>
          </cell>
          <cell r="D2207">
            <v>69</v>
          </cell>
          <cell r="E2207" t="str">
            <v>APPROVED</v>
          </cell>
          <cell r="F2207">
            <v>40877</v>
          </cell>
          <cell r="G2207">
            <v>42185</v>
          </cell>
          <cell r="H2207">
            <v>98851.68</v>
          </cell>
          <cell r="I2207" t="str">
            <v>FIN Submission</v>
          </cell>
          <cell r="J2207">
            <v>42419</v>
          </cell>
        </row>
        <row r="2208">
          <cell r="A2208" t="str">
            <v>25185-T479</v>
          </cell>
          <cell r="B2208" t="str">
            <v xml:space="preserve">CONNECTION OF PUBNICO WIND FARM TO </v>
          </cell>
          <cell r="C2208" t="str">
            <v>zINVALID FIN Approval - Internal</v>
          </cell>
          <cell r="D2208">
            <v>79</v>
          </cell>
          <cell r="E2208" t="str">
            <v>APPROVED</v>
          </cell>
          <cell r="F2208">
            <v>38341</v>
          </cell>
          <cell r="G2208">
            <v>41450</v>
          </cell>
          <cell r="H2208">
            <v>-4662.67</v>
          </cell>
          <cell r="I2208" t="str">
            <v>FIN Submission</v>
          </cell>
          <cell r="J2208">
            <v>42419</v>
          </cell>
        </row>
        <row r="2209">
          <cell r="A2209" t="str">
            <v>40551-S830</v>
          </cell>
          <cell r="B2209" t="str">
            <v>TUC - HFO Piping Containment</v>
          </cell>
          <cell r="C2209" t="str">
            <v>FIN Approval - Internal</v>
          </cell>
          <cell r="D2209">
            <v>79</v>
          </cell>
          <cell r="E2209" t="str">
            <v>APPROVED</v>
          </cell>
          <cell r="F2209">
            <v>41394</v>
          </cell>
          <cell r="G2209">
            <v>42216</v>
          </cell>
          <cell r="H2209">
            <v>82110.490000000005</v>
          </cell>
          <cell r="I2209" t="str">
            <v>FIN Submission</v>
          </cell>
          <cell r="J2209">
            <v>42419</v>
          </cell>
        </row>
        <row r="2210">
          <cell r="A2210" t="str">
            <v>40026-S812</v>
          </cell>
          <cell r="B2210" t="str">
            <v>TUC-North Yard Ditch Pipe Extension</v>
          </cell>
          <cell r="C2210" t="str">
            <v>FIN Approval - Internal</v>
          </cell>
          <cell r="D2210">
            <v>85</v>
          </cell>
          <cell r="E2210" t="str">
            <v>APPROVED</v>
          </cell>
          <cell r="F2210">
            <v>41151</v>
          </cell>
          <cell r="G2210">
            <v>42247</v>
          </cell>
          <cell r="H2210">
            <v>72330.61</v>
          </cell>
          <cell r="I2210" t="str">
            <v>FIN Submission</v>
          </cell>
          <cell r="J2210">
            <v>42419</v>
          </cell>
        </row>
        <row r="2211">
          <cell r="A2211" t="str">
            <v>35862-T622</v>
          </cell>
          <cell r="B2211" t="str">
            <v>2009 Transmission Switching Improve</v>
          </cell>
          <cell r="C2211" t="str">
            <v>FIN Approval - Internal</v>
          </cell>
          <cell r="D2211">
            <v>86</v>
          </cell>
          <cell r="E2211" t="str">
            <v>APPROVED</v>
          </cell>
          <cell r="F2211">
            <v>40268</v>
          </cell>
          <cell r="G2211">
            <v>41120</v>
          </cell>
          <cell r="H2211">
            <v>804676.01</v>
          </cell>
          <cell r="I2211" t="str">
            <v>FIN Submission</v>
          </cell>
          <cell r="J2211">
            <v>42419</v>
          </cell>
        </row>
        <row r="2212">
          <cell r="A2212" t="str">
            <v>41672-D388</v>
          </cell>
          <cell r="B2212" t="str">
            <v>Morris St/Water St Underground U&amp;U</v>
          </cell>
          <cell r="C2212" t="str">
            <v>FIN Approval - External</v>
          </cell>
          <cell r="D2212">
            <v>88</v>
          </cell>
          <cell r="E2212" t="str">
            <v>APPROVED</v>
          </cell>
          <cell r="F2212">
            <v>41638</v>
          </cell>
          <cell r="G2212">
            <v>42069</v>
          </cell>
          <cell r="H2212">
            <v>948561.5</v>
          </cell>
          <cell r="I2212" t="str">
            <v>FIN Submission</v>
          </cell>
          <cell r="J2212">
            <v>42419</v>
          </cell>
        </row>
        <row r="2213">
          <cell r="A2213" t="str">
            <v>39762-S699</v>
          </cell>
          <cell r="B2213" t="str">
            <v>TUC #3 CW Intake SSP Refurbishment</v>
          </cell>
          <cell r="C2213" t="str">
            <v>FIN Approval - Internal</v>
          </cell>
          <cell r="D2213">
            <v>88</v>
          </cell>
          <cell r="E2213" t="str">
            <v>APPROVED</v>
          </cell>
          <cell r="F2213">
            <v>41273</v>
          </cell>
          <cell r="G2213">
            <v>42185</v>
          </cell>
          <cell r="H2213">
            <v>191761.09</v>
          </cell>
          <cell r="I2213" t="str">
            <v>FIN Submission</v>
          </cell>
          <cell r="J2213">
            <v>42419</v>
          </cell>
        </row>
        <row r="2214">
          <cell r="A2214" t="str">
            <v>39786-S777</v>
          </cell>
          <cell r="B2214" t="str">
            <v>TUC1- HP Govenor Valves Refurbish</v>
          </cell>
          <cell r="C2214" t="str">
            <v>FIN Approval - Internal</v>
          </cell>
          <cell r="D2214">
            <v>94</v>
          </cell>
          <cell r="E2214" t="str">
            <v>APPROVED</v>
          </cell>
          <cell r="F2214">
            <v>40907</v>
          </cell>
          <cell r="G2214">
            <v>42185</v>
          </cell>
          <cell r="H2214">
            <v>159720.68</v>
          </cell>
          <cell r="I2214" t="str">
            <v>FIN Submission</v>
          </cell>
          <cell r="J2214">
            <v>42419</v>
          </cell>
        </row>
        <row r="2215">
          <cell r="A2215" t="str">
            <v>38907-H587</v>
          </cell>
          <cell r="B2215" t="str">
            <v xml:space="preserve">HYD Fall Protection - Fundy </v>
          </cell>
          <cell r="C2215" t="str">
            <v>zINVALID FIN Approval - Internal</v>
          </cell>
          <cell r="D2215">
            <v>99</v>
          </cell>
          <cell r="E2215" t="str">
            <v>APPROVED</v>
          </cell>
          <cell r="F2215">
            <v>40632</v>
          </cell>
          <cell r="G2215">
            <v>40905</v>
          </cell>
          <cell r="H2215">
            <v>140962.45000000001</v>
          </cell>
          <cell r="I2215" t="str">
            <v>FIN Submission</v>
          </cell>
          <cell r="J2215">
            <v>42419</v>
          </cell>
        </row>
        <row r="2216">
          <cell r="A2216" t="str">
            <v>38873-H583</v>
          </cell>
          <cell r="B2216" t="str">
            <v>HYD Fall Protection - Mersey</v>
          </cell>
          <cell r="C2216" t="str">
            <v>zINVALID FIN Approval - Internal</v>
          </cell>
          <cell r="D2216">
            <v>99</v>
          </cell>
          <cell r="E2216" t="str">
            <v>APPROVED</v>
          </cell>
          <cell r="F2216">
            <v>40575</v>
          </cell>
          <cell r="G2216">
            <v>40691</v>
          </cell>
          <cell r="H2216">
            <v>141717.19</v>
          </cell>
          <cell r="I2216" t="str">
            <v>FIN Submission</v>
          </cell>
          <cell r="J2216">
            <v>42419</v>
          </cell>
        </row>
        <row r="2217">
          <cell r="A2217" t="str">
            <v>38906-H586</v>
          </cell>
          <cell r="B2217" t="str">
            <v>HYD Fall Protection - St Margaret's</v>
          </cell>
          <cell r="C2217" t="str">
            <v>zINVALID FIN Approval - Internal</v>
          </cell>
          <cell r="D2217">
            <v>99</v>
          </cell>
          <cell r="E2217" t="str">
            <v>APPROVED</v>
          </cell>
          <cell r="F2217">
            <v>40630</v>
          </cell>
          <cell r="G2217">
            <v>40814</v>
          </cell>
          <cell r="H2217">
            <v>106413.61</v>
          </cell>
          <cell r="I2217" t="str">
            <v>FIN Submission</v>
          </cell>
          <cell r="J2217">
            <v>42419</v>
          </cell>
        </row>
        <row r="2218">
          <cell r="A2218" t="str">
            <v>35842-P787</v>
          </cell>
          <cell r="B2218" t="str">
            <v xml:space="preserve">Nuttby Mount. Wind Land Rights U&amp;U </v>
          </cell>
          <cell r="C2218" t="str">
            <v>zINVALID FIN Approval - Internal</v>
          </cell>
          <cell r="D2218">
            <v>104</v>
          </cell>
          <cell r="E2218" t="str">
            <v>APPROVED</v>
          </cell>
          <cell r="F2218">
            <v>40543</v>
          </cell>
          <cell r="G2218">
            <v>40543</v>
          </cell>
          <cell r="H2218">
            <v>648885.47</v>
          </cell>
          <cell r="I2218" t="str">
            <v>FIN Submission</v>
          </cell>
          <cell r="J2218">
            <v>42419</v>
          </cell>
        </row>
        <row r="2219">
          <cell r="A2219" t="str">
            <v>39782-S741</v>
          </cell>
          <cell r="B2219" t="str">
            <v>TUC #1&amp;3 Replacement of CEMS</v>
          </cell>
          <cell r="C2219" t="str">
            <v>FIN Approval - Internal</v>
          </cell>
          <cell r="D2219">
            <v>104</v>
          </cell>
          <cell r="E2219" t="str">
            <v>APPROVED</v>
          </cell>
          <cell r="F2219">
            <v>40907</v>
          </cell>
          <cell r="G2219">
            <v>42185</v>
          </cell>
          <cell r="H2219">
            <v>206925.51</v>
          </cell>
          <cell r="I2219" t="str">
            <v/>
          </cell>
          <cell r="J2219">
            <v>42419</v>
          </cell>
        </row>
        <row r="2220">
          <cell r="A2220" t="str">
            <v>39761-S775</v>
          </cell>
          <cell r="B2220" t="str">
            <v>TUC #3 Analytical Panel Replacement</v>
          </cell>
          <cell r="C2220" t="str">
            <v>FIN Approval - Internal</v>
          </cell>
          <cell r="D2220">
            <v>104</v>
          </cell>
          <cell r="E2220" t="str">
            <v>APPROVED</v>
          </cell>
          <cell r="F2220">
            <v>41212</v>
          </cell>
          <cell r="G2220">
            <v>41759</v>
          </cell>
          <cell r="H2220">
            <v>192734.38</v>
          </cell>
          <cell r="I2220" t="str">
            <v>FIN Submission</v>
          </cell>
          <cell r="J2220">
            <v>42419</v>
          </cell>
        </row>
        <row r="2221">
          <cell r="A2221" t="str">
            <v>17753-H345</v>
          </cell>
          <cell r="B2221" t="str">
            <v>HYD - ANN GOVERNOR REPLACEMENT</v>
          </cell>
          <cell r="C2221" t="str">
            <v>zINVALID FIN Approval - Internal</v>
          </cell>
          <cell r="D2221">
            <v>105</v>
          </cell>
          <cell r="E2221" t="str">
            <v>APPROVED</v>
          </cell>
          <cell r="F2221">
            <v>40452</v>
          </cell>
          <cell r="G2221">
            <v>40452</v>
          </cell>
          <cell r="H2221">
            <v>20416.97</v>
          </cell>
          <cell r="I2221" t="str">
            <v>FIN Submission</v>
          </cell>
          <cell r="J2221">
            <v>42419</v>
          </cell>
        </row>
        <row r="2222">
          <cell r="A2222" t="str">
            <v>39563-S673</v>
          </cell>
          <cell r="B2222" t="str">
            <v>TUC-U&amp;U Burner Front Sprinkler Sys.</v>
          </cell>
          <cell r="C2222" t="str">
            <v>FIN Approval - Internal</v>
          </cell>
          <cell r="D2222">
            <v>105</v>
          </cell>
          <cell r="E2222" t="str">
            <v>APPROVED</v>
          </cell>
          <cell r="F2222">
            <v>40908</v>
          </cell>
          <cell r="G2222">
            <v>42185</v>
          </cell>
          <cell r="H2222">
            <v>55432.17</v>
          </cell>
          <cell r="I2222" t="str">
            <v>FIN Submission</v>
          </cell>
          <cell r="J2222">
            <v>42419</v>
          </cell>
        </row>
        <row r="2223">
          <cell r="A2223" t="str">
            <v>25210-S255</v>
          </cell>
          <cell r="B2223" t="str">
            <v>TRE5 Bag House Addition</v>
          </cell>
          <cell r="C2223" t="str">
            <v>zINVALID FIN Approval - External</v>
          </cell>
          <cell r="D2223">
            <v>120</v>
          </cell>
          <cell r="E2223" t="str">
            <v>APPROVED</v>
          </cell>
          <cell r="F2223">
            <v>40086</v>
          </cell>
          <cell r="G2223">
            <v>41305</v>
          </cell>
          <cell r="H2223">
            <v>28938572.109999999</v>
          </cell>
          <cell r="I2223" t="str">
            <v>FIN Submission</v>
          </cell>
          <cell r="J2223">
            <v>42419</v>
          </cell>
        </row>
        <row r="2224">
          <cell r="A2224" t="str">
            <v>18458-S754</v>
          </cell>
          <cell r="B2224" t="str">
            <v>TUC1-Generator H2 Dryer Replacement</v>
          </cell>
          <cell r="C2224" t="str">
            <v>FIN Approval - Internal</v>
          </cell>
          <cell r="D2224">
            <v>127</v>
          </cell>
          <cell r="E2224" t="str">
            <v>APPROVED</v>
          </cell>
          <cell r="F2224">
            <v>40907</v>
          </cell>
          <cell r="G2224">
            <v>42185</v>
          </cell>
          <cell r="H2224">
            <v>84797.42</v>
          </cell>
          <cell r="I2224" t="str">
            <v/>
          </cell>
          <cell r="J2224">
            <v>42419</v>
          </cell>
        </row>
        <row r="2225">
          <cell r="A2225" t="str">
            <v>28281-H512</v>
          </cell>
          <cell r="B2225" t="str">
            <v>WRECK COVE COOLING WATER PIPE REFUR</v>
          </cell>
          <cell r="C2225" t="str">
            <v>zINVALID FIN Approval - Internal</v>
          </cell>
          <cell r="D2225">
            <v>131</v>
          </cell>
          <cell r="E2225" t="str">
            <v>APPROVED</v>
          </cell>
          <cell r="F2225">
            <v>39449</v>
          </cell>
          <cell r="G2225">
            <v>40694</v>
          </cell>
          <cell r="H2225">
            <v>125606.24</v>
          </cell>
          <cell r="I2225" t="str">
            <v/>
          </cell>
          <cell r="J2225">
            <v>42419</v>
          </cell>
        </row>
        <row r="2226">
          <cell r="A2226" t="str">
            <v>17618-H448</v>
          </cell>
          <cell r="B2226" t="str">
            <v xml:space="preserve">HYD - BER RIDGE TAILRACE DECK </v>
          </cell>
          <cell r="C2226" t="str">
            <v>FIN Approval - Internal</v>
          </cell>
          <cell r="D2226">
            <v>134</v>
          </cell>
          <cell r="E2226" t="str">
            <v>APPROVED</v>
          </cell>
          <cell r="F2226">
            <v>40846</v>
          </cell>
          <cell r="G2226">
            <v>41197</v>
          </cell>
          <cell r="H2226">
            <v>268907.25</v>
          </cell>
          <cell r="I2226" t="str">
            <v>FIN Submission</v>
          </cell>
          <cell r="J2226">
            <v>42419</v>
          </cell>
        </row>
        <row r="2227">
          <cell r="A2227" t="str">
            <v>26331-P687</v>
          </cell>
          <cell r="B2227" t="str">
            <v>INSTALLATION OF COMMUNICATION FOR L</v>
          </cell>
          <cell r="C2227" t="str">
            <v>FIN Approval - Internal</v>
          </cell>
          <cell r="D2227">
            <v>8</v>
          </cell>
          <cell r="E2227" t="str">
            <v>APPROVED</v>
          </cell>
          <cell r="F2227">
            <v>39069</v>
          </cell>
          <cell r="G2227">
            <v>42301</v>
          </cell>
          <cell r="H2227">
            <v>48774.42</v>
          </cell>
          <cell r="I2227" t="str">
            <v>FIN Submission</v>
          </cell>
          <cell r="J2227">
            <v>42418</v>
          </cell>
        </row>
        <row r="2228">
          <cell r="A2228" t="str">
            <v>24586-H410</v>
          </cell>
          <cell r="B2228" t="str">
            <v>ANN SLUCIE GATE # 2 REFURBISHMENT</v>
          </cell>
          <cell r="C2228" t="str">
            <v>FIN Approval - Internal</v>
          </cell>
          <cell r="D2228">
            <v>11</v>
          </cell>
          <cell r="E2228" t="str">
            <v>APPROVED</v>
          </cell>
          <cell r="F2228">
            <v>38223</v>
          </cell>
          <cell r="G2228">
            <v>38807</v>
          </cell>
          <cell r="H2228">
            <v>711200.72</v>
          </cell>
          <cell r="I2228" t="str">
            <v>FIN Submission</v>
          </cell>
          <cell r="J2228">
            <v>42418</v>
          </cell>
        </row>
        <row r="2229">
          <cell r="A2229" t="str">
            <v>45183-SC21</v>
          </cell>
          <cell r="B2229" t="str">
            <v>TRE5 UU 5-1 FD Fan Repairs</v>
          </cell>
          <cell r="C2229" t="str">
            <v>FIN Approval - Internal</v>
          </cell>
          <cell r="D2229">
            <v>13</v>
          </cell>
          <cell r="E2229" t="str">
            <v>APPROVED</v>
          </cell>
          <cell r="F2229">
            <v>41593</v>
          </cell>
          <cell r="G2229">
            <v>41623</v>
          </cell>
          <cell r="H2229">
            <v>140304.63</v>
          </cell>
          <cell r="I2229" t="str">
            <v>FIN Submission</v>
          </cell>
          <cell r="J2229">
            <v>42418</v>
          </cell>
        </row>
        <row r="2230">
          <cell r="A2230" t="str">
            <v>45146-SC14</v>
          </cell>
          <cell r="B2230" t="str">
            <v>TRE6 UU Economizer Ductwork Refurbi</v>
          </cell>
          <cell r="C2230" t="str">
            <v>FIN Approval - Internal</v>
          </cell>
          <cell r="D2230">
            <v>13</v>
          </cell>
          <cell r="E2230" t="str">
            <v>APPROVED</v>
          </cell>
          <cell r="F2230">
            <v>41532</v>
          </cell>
          <cell r="G2230">
            <v>41562</v>
          </cell>
          <cell r="H2230">
            <v>121021.13</v>
          </cell>
          <cell r="I2230" t="str">
            <v>FIN Submission</v>
          </cell>
          <cell r="J2230">
            <v>42418</v>
          </cell>
        </row>
        <row r="2231">
          <cell r="A2231" t="str">
            <v>46758-SD56</v>
          </cell>
          <cell r="B2231" t="str">
            <v>LIN UU Frozen Coal Breaker Refurb.</v>
          </cell>
          <cell r="C2231" t="str">
            <v>FIN Approval - Internal</v>
          </cell>
          <cell r="D2231">
            <v>14</v>
          </cell>
          <cell r="E2231" t="str">
            <v>APPROVED</v>
          </cell>
          <cell r="F2231">
            <v>42063</v>
          </cell>
          <cell r="G2231">
            <v>42183</v>
          </cell>
          <cell r="H2231">
            <v>192187.92</v>
          </cell>
          <cell r="I2231" t="str">
            <v>FIN Submission</v>
          </cell>
          <cell r="J2231">
            <v>42418</v>
          </cell>
        </row>
        <row r="2232">
          <cell r="A2232" t="str">
            <v>45168-SC19</v>
          </cell>
          <cell r="B2232" t="str">
            <v>TRE6 UU 6A BFP Repair</v>
          </cell>
          <cell r="C2232" t="str">
            <v>FIN Approval - Internal</v>
          </cell>
          <cell r="D2232">
            <v>14</v>
          </cell>
          <cell r="E2232" t="str">
            <v>APPROVED</v>
          </cell>
          <cell r="F2232">
            <v>41593</v>
          </cell>
          <cell r="G2232">
            <v>41639</v>
          </cell>
          <cell r="H2232">
            <v>61581.11</v>
          </cell>
          <cell r="I2232" t="str">
            <v>FIN Submission</v>
          </cell>
          <cell r="J2232">
            <v>42418</v>
          </cell>
        </row>
        <row r="2233">
          <cell r="A2233" t="str">
            <v>45107-SC13</v>
          </cell>
          <cell r="B2233" t="str">
            <v>TRE6 UU Reheat Stop Valve Refurbish</v>
          </cell>
          <cell r="C2233" t="str">
            <v>FIN Approval - Internal</v>
          </cell>
          <cell r="D2233">
            <v>14</v>
          </cell>
          <cell r="E2233" t="str">
            <v>APPROVED</v>
          </cell>
          <cell r="F2233">
            <v>41532</v>
          </cell>
          <cell r="G2233">
            <v>41562</v>
          </cell>
          <cell r="H2233">
            <v>111612.41</v>
          </cell>
          <cell r="I2233" t="str">
            <v>FIN Submission</v>
          </cell>
          <cell r="J2233">
            <v>42418</v>
          </cell>
        </row>
        <row r="2234">
          <cell r="A2234" t="str">
            <v>46131-SD10</v>
          </cell>
          <cell r="B2234" t="str">
            <v>TRE6 UU Stack Exp Joint Replacement</v>
          </cell>
          <cell r="C2234" t="str">
            <v>FIN Approval - Internal</v>
          </cell>
          <cell r="D2234">
            <v>16</v>
          </cell>
          <cell r="E2234" t="str">
            <v>APPROVED</v>
          </cell>
          <cell r="F2234">
            <v>41897</v>
          </cell>
          <cell r="G2234">
            <v>41988</v>
          </cell>
          <cell r="H2234">
            <v>132454.46</v>
          </cell>
          <cell r="I2234" t="str">
            <v>FIN Submission</v>
          </cell>
          <cell r="J2234">
            <v>42418</v>
          </cell>
        </row>
        <row r="2235">
          <cell r="A2235" t="str">
            <v>46132-D585</v>
          </cell>
          <cell r="B2235" t="str">
            <v>81S-306 Hub Insulator Replacement</v>
          </cell>
          <cell r="C2235" t="str">
            <v>FIN Approval - Internal</v>
          </cell>
          <cell r="D2235">
            <v>18</v>
          </cell>
          <cell r="E2235" t="str">
            <v>APPROVED</v>
          </cell>
          <cell r="F2235">
            <v>41973</v>
          </cell>
          <cell r="G2235">
            <v>42138</v>
          </cell>
          <cell r="H2235">
            <v>34907.279999999999</v>
          </cell>
          <cell r="I2235" t="str">
            <v>FIN Submission</v>
          </cell>
          <cell r="J2235">
            <v>42418</v>
          </cell>
        </row>
        <row r="2236">
          <cell r="A2236" t="str">
            <v>44026-H680</v>
          </cell>
          <cell r="B2236" t="str">
            <v>HYD-Dickie Brook #2 Bearings U&amp;U</v>
          </cell>
          <cell r="C2236" t="str">
            <v>zINVALID FIN Approval - Internal</v>
          </cell>
          <cell r="D2236">
            <v>20</v>
          </cell>
          <cell r="E2236" t="str">
            <v>APPROVED</v>
          </cell>
          <cell r="F2236">
            <v>41257</v>
          </cell>
          <cell r="G2236">
            <v>41547</v>
          </cell>
          <cell r="H2236">
            <v>133305.34</v>
          </cell>
          <cell r="I2236" t="str">
            <v/>
          </cell>
          <cell r="J2236">
            <v>42418</v>
          </cell>
        </row>
        <row r="2237">
          <cell r="A2237" t="str">
            <v>46091-SD14</v>
          </cell>
          <cell r="B2237" t="str">
            <v>LIN1 - UU Low Load Line Refurb.</v>
          </cell>
          <cell r="C2237" t="str">
            <v>FIN Approval - Internal</v>
          </cell>
          <cell r="D2237">
            <v>20</v>
          </cell>
          <cell r="E2237" t="str">
            <v>APPROVED</v>
          </cell>
          <cell r="F2237">
            <v>41816</v>
          </cell>
          <cell r="G2237">
            <v>41999</v>
          </cell>
          <cell r="H2237">
            <v>124200.29</v>
          </cell>
          <cell r="I2237" t="str">
            <v>FIN Submission</v>
          </cell>
          <cell r="J2237">
            <v>42418</v>
          </cell>
        </row>
        <row r="2238">
          <cell r="A2238" t="str">
            <v>45878-D576</v>
          </cell>
          <cell r="B2238" t="str">
            <v>534N Duchess Avenue Overload</v>
          </cell>
          <cell r="C2238" t="str">
            <v>FIN Approval - Internal</v>
          </cell>
          <cell r="D2238">
            <v>21</v>
          </cell>
          <cell r="E2238" t="str">
            <v>APPROVED</v>
          </cell>
          <cell r="F2238">
            <v>41851</v>
          </cell>
          <cell r="G2238">
            <v>42139</v>
          </cell>
          <cell r="H2238">
            <v>91656.77</v>
          </cell>
          <cell r="I2238" t="str">
            <v>FIN Submission</v>
          </cell>
          <cell r="J2238">
            <v>42418</v>
          </cell>
        </row>
        <row r="2239">
          <cell r="A2239" t="str">
            <v>45911-D575</v>
          </cell>
          <cell r="B2239" t="str">
            <v>698H Hunts Brook Rd Stepdown Upgrad</v>
          </cell>
          <cell r="C2239" t="str">
            <v>FIN Approval - Internal</v>
          </cell>
          <cell r="D2239">
            <v>21</v>
          </cell>
          <cell r="E2239" t="str">
            <v>APPROVED</v>
          </cell>
          <cell r="F2239">
            <v>41941</v>
          </cell>
          <cell r="G2239">
            <v>42138</v>
          </cell>
          <cell r="H2239">
            <v>29354.78</v>
          </cell>
          <cell r="I2239" t="str">
            <v>FIN Submission</v>
          </cell>
          <cell r="J2239">
            <v>42418</v>
          </cell>
        </row>
        <row r="2240">
          <cell r="A2240" t="str">
            <v>44108-D486</v>
          </cell>
          <cell r="B2240" t="str">
            <v>89W-301 Dayspring Reconductor</v>
          </cell>
          <cell r="C2240" t="str">
            <v>FIN Approval - Internal</v>
          </cell>
          <cell r="D2240">
            <v>21</v>
          </cell>
          <cell r="E2240" t="str">
            <v>APPROVED</v>
          </cell>
          <cell r="F2240">
            <v>41455</v>
          </cell>
          <cell r="G2240">
            <v>41638</v>
          </cell>
          <cell r="H2240">
            <v>253874.62</v>
          </cell>
          <cell r="I2240" t="str">
            <v>FIN Submission</v>
          </cell>
          <cell r="J2240">
            <v>42418</v>
          </cell>
        </row>
        <row r="2241">
          <cell r="A2241" t="str">
            <v>45992-SD05</v>
          </cell>
          <cell r="B2241" t="str">
            <v>LIN2 UU Burner Front Refurbishment</v>
          </cell>
          <cell r="C2241" t="str">
            <v>FIN Approval - Internal</v>
          </cell>
          <cell r="D2241">
            <v>21</v>
          </cell>
          <cell r="E2241" t="str">
            <v>APPROVED</v>
          </cell>
          <cell r="F2241">
            <v>41790</v>
          </cell>
          <cell r="G2241">
            <v>42094</v>
          </cell>
          <cell r="H2241">
            <v>80361.759999999995</v>
          </cell>
          <cell r="I2241" t="str">
            <v>FIN Submission</v>
          </cell>
          <cell r="J2241">
            <v>42418</v>
          </cell>
        </row>
        <row r="2242">
          <cell r="A2242" t="str">
            <v>44146-SB49</v>
          </cell>
          <cell r="B2242" t="str">
            <v>TUC2 U&amp;U SSH Supports Replacement</v>
          </cell>
          <cell r="C2242" t="str">
            <v>FIN Approval - Internal</v>
          </cell>
          <cell r="D2242">
            <v>21</v>
          </cell>
          <cell r="E2242" t="str">
            <v>APPROVED</v>
          </cell>
          <cell r="F2242">
            <v>41343</v>
          </cell>
          <cell r="G2242">
            <v>42216</v>
          </cell>
          <cell r="H2242">
            <v>157237.82999999999</v>
          </cell>
          <cell r="I2242" t="str">
            <v>FIN Submission</v>
          </cell>
          <cell r="J2242">
            <v>42418</v>
          </cell>
        </row>
        <row r="2243">
          <cell r="A2243" t="str">
            <v>45583-D553</v>
          </cell>
          <cell r="B2243" t="str">
            <v>682N -Greenfield Rd - Stepdown</v>
          </cell>
          <cell r="C2243" t="str">
            <v>FIN Approval - Internal</v>
          </cell>
          <cell r="D2243">
            <v>22</v>
          </cell>
          <cell r="E2243" t="str">
            <v>APPROVED</v>
          </cell>
          <cell r="F2243">
            <v>41881</v>
          </cell>
          <cell r="G2243">
            <v>42139</v>
          </cell>
          <cell r="H2243">
            <v>39647.71</v>
          </cell>
          <cell r="I2243" t="str">
            <v>FIN Submission</v>
          </cell>
          <cell r="J2243">
            <v>42418</v>
          </cell>
        </row>
        <row r="2244">
          <cell r="A2244" t="str">
            <v>45953-D579</v>
          </cell>
          <cell r="B2244" t="str">
            <v>93V-311- Little Brook - Reconductor</v>
          </cell>
          <cell r="C2244" t="str">
            <v>FIN Approval - Internal</v>
          </cell>
          <cell r="D2244">
            <v>22</v>
          </cell>
          <cell r="E2244" t="str">
            <v>APPROVED</v>
          </cell>
          <cell r="F2244">
            <v>41973</v>
          </cell>
          <cell r="G2244">
            <v>42094</v>
          </cell>
          <cell r="H2244">
            <v>293849.53999999998</v>
          </cell>
          <cell r="I2244" t="str">
            <v>FIN Submission</v>
          </cell>
          <cell r="J2244">
            <v>42418</v>
          </cell>
        </row>
        <row r="2245">
          <cell r="A2245" t="str">
            <v>43927-H679</v>
          </cell>
          <cell r="B2245" t="str">
            <v>HYD - WRC #1 Rotor Repairs U&amp;U</v>
          </cell>
          <cell r="C2245" t="str">
            <v>zINVALID FIN Approval - Internal</v>
          </cell>
          <cell r="D2245">
            <v>22</v>
          </cell>
          <cell r="E2245" t="str">
            <v>APPROVED</v>
          </cell>
          <cell r="F2245">
            <v>41261</v>
          </cell>
          <cell r="G2245">
            <v>41547</v>
          </cell>
          <cell r="H2245">
            <v>151787.92000000001</v>
          </cell>
          <cell r="I2245" t="str">
            <v/>
          </cell>
          <cell r="J2245">
            <v>42418</v>
          </cell>
        </row>
        <row r="2246">
          <cell r="A2246" t="str">
            <v>45952-SD03</v>
          </cell>
          <cell r="B2246" t="str">
            <v>LIN2 - UU Ext. Boiler Weld Refurb.</v>
          </cell>
          <cell r="C2246" t="str">
            <v>FIN Approval - Internal</v>
          </cell>
          <cell r="D2246">
            <v>22</v>
          </cell>
          <cell r="E2246" t="str">
            <v>APPROVED</v>
          </cell>
          <cell r="F2246">
            <v>41759</v>
          </cell>
          <cell r="G2246">
            <v>42155</v>
          </cell>
          <cell r="H2246">
            <v>106610.15</v>
          </cell>
          <cell r="I2246" t="str">
            <v>FIN Submission</v>
          </cell>
          <cell r="J2246">
            <v>42418</v>
          </cell>
        </row>
        <row r="2247">
          <cell r="A2247" t="str">
            <v>44090-SB38</v>
          </cell>
          <cell r="B2247" t="str">
            <v>TUC1 -Stack Rail Runner Replacement</v>
          </cell>
          <cell r="C2247" t="str">
            <v>FIN Approval - Internal</v>
          </cell>
          <cell r="D2247">
            <v>22</v>
          </cell>
          <cell r="E2247" t="str">
            <v>APPROVED</v>
          </cell>
          <cell r="F2247">
            <v>41333</v>
          </cell>
          <cell r="G2247">
            <v>42216</v>
          </cell>
          <cell r="H2247">
            <v>42569.19</v>
          </cell>
          <cell r="I2247" t="str">
            <v>FIN Submission</v>
          </cell>
          <cell r="J2247">
            <v>42418</v>
          </cell>
        </row>
        <row r="2248">
          <cell r="A2248" t="str">
            <v>44091-SB39</v>
          </cell>
          <cell r="B2248" t="str">
            <v>TUC3 -Stack Rail Runner Replacement</v>
          </cell>
          <cell r="C2248" t="str">
            <v>FIN Approval - Internal</v>
          </cell>
          <cell r="D2248">
            <v>22</v>
          </cell>
          <cell r="E2248" t="str">
            <v>APPROVED</v>
          </cell>
          <cell r="F2248">
            <v>41363</v>
          </cell>
          <cell r="G2248">
            <v>42216</v>
          </cell>
          <cell r="H2248">
            <v>42229.48</v>
          </cell>
          <cell r="I2248" t="str">
            <v>FIN Submission</v>
          </cell>
          <cell r="J2248">
            <v>42418</v>
          </cell>
        </row>
        <row r="2249">
          <cell r="A2249" t="str">
            <v>45652-D542</v>
          </cell>
          <cell r="B2249" t="str">
            <v>517W-311 - New Canada - Stepdown</v>
          </cell>
          <cell r="C2249" t="str">
            <v>FIN Approval - Internal</v>
          </cell>
          <cell r="D2249">
            <v>24</v>
          </cell>
          <cell r="E2249" t="str">
            <v>APPROVED</v>
          </cell>
          <cell r="F2249">
            <v>41967</v>
          </cell>
          <cell r="G2249">
            <v>42138</v>
          </cell>
          <cell r="H2249">
            <v>4222.58</v>
          </cell>
          <cell r="I2249" t="str">
            <v>FIN Submission</v>
          </cell>
          <cell r="J2249">
            <v>42418</v>
          </cell>
        </row>
        <row r="2250">
          <cell r="A2250" t="str">
            <v>46512-SD29</v>
          </cell>
          <cell r="B2250" t="str">
            <v>TRE5 UU 4kV Bus Replacements</v>
          </cell>
          <cell r="C2250" t="str">
            <v>FIN Approval - Internal</v>
          </cell>
          <cell r="D2250">
            <v>24</v>
          </cell>
          <cell r="E2250" t="str">
            <v>APPROVED</v>
          </cell>
          <cell r="F2250">
            <v>41897</v>
          </cell>
          <cell r="G2250">
            <v>41927</v>
          </cell>
          <cell r="H2250">
            <v>114890.86</v>
          </cell>
          <cell r="I2250" t="str">
            <v>FIN Submission</v>
          </cell>
          <cell r="J2250">
            <v>42418</v>
          </cell>
        </row>
        <row r="2251">
          <cell r="A2251" t="str">
            <v>46431-SD27</v>
          </cell>
          <cell r="B2251" t="str">
            <v>TRE5 UU 5-2 CW Screens Refurbishmen</v>
          </cell>
          <cell r="C2251" t="str">
            <v>FIN Approval - Internal</v>
          </cell>
          <cell r="D2251">
            <v>24</v>
          </cell>
          <cell r="E2251" t="str">
            <v>APPROVED</v>
          </cell>
          <cell r="F2251">
            <v>41897</v>
          </cell>
          <cell r="G2251">
            <v>41988</v>
          </cell>
          <cell r="H2251">
            <v>139924.9</v>
          </cell>
          <cell r="I2251" t="str">
            <v>FIN Submission</v>
          </cell>
          <cell r="J2251">
            <v>42418</v>
          </cell>
        </row>
        <row r="2252">
          <cell r="A2252" t="str">
            <v>44266-SB76</v>
          </cell>
          <cell r="B2252" t="str">
            <v>TRE5 UU 5-2 Mill Refurbishment</v>
          </cell>
          <cell r="C2252" t="str">
            <v>FIN Approval - Internal</v>
          </cell>
          <cell r="D2252">
            <v>24</v>
          </cell>
          <cell r="E2252" t="str">
            <v>APPROVED</v>
          </cell>
          <cell r="F2252">
            <v>41409</v>
          </cell>
          <cell r="G2252">
            <v>41623</v>
          </cell>
          <cell r="H2252">
            <v>610663.89</v>
          </cell>
          <cell r="I2252" t="str">
            <v>FIN Submission</v>
          </cell>
          <cell r="J2252">
            <v>42418</v>
          </cell>
        </row>
        <row r="2253">
          <cell r="A2253" t="str">
            <v>44086-SB52</v>
          </cell>
          <cell r="B2253" t="str">
            <v>TRE5 UU 5-4 Mill Refurbishment</v>
          </cell>
          <cell r="C2253" t="str">
            <v>FIN Approval - Internal</v>
          </cell>
          <cell r="D2253">
            <v>25</v>
          </cell>
          <cell r="E2253" t="str">
            <v>APPROVED</v>
          </cell>
          <cell r="F2253">
            <v>41348</v>
          </cell>
          <cell r="G2253">
            <v>41562</v>
          </cell>
          <cell r="H2253">
            <v>629300.93000000005</v>
          </cell>
          <cell r="I2253" t="str">
            <v>FIN Submission</v>
          </cell>
          <cell r="J2253">
            <v>42418</v>
          </cell>
        </row>
        <row r="2254">
          <cell r="A2254" t="str">
            <v>46291-SD19</v>
          </cell>
          <cell r="B2254" t="str">
            <v>TRE6 UU Air Heater Refurbishment</v>
          </cell>
          <cell r="C2254" t="str">
            <v>FIN Approval - Internal</v>
          </cell>
          <cell r="D2254">
            <v>25</v>
          </cell>
          <cell r="E2254" t="str">
            <v>APPROVED</v>
          </cell>
          <cell r="F2254">
            <v>41835</v>
          </cell>
          <cell r="G2254">
            <v>41897</v>
          </cell>
          <cell r="H2254">
            <v>119616.83</v>
          </cell>
          <cell r="I2254" t="str">
            <v>FIN Submission</v>
          </cell>
          <cell r="J2254">
            <v>42418</v>
          </cell>
        </row>
        <row r="2255">
          <cell r="A2255" t="str">
            <v>45472-D538</v>
          </cell>
          <cell r="B2255" t="str">
            <v xml:space="preserve">12V-302 Allains Creek Crossing </v>
          </cell>
          <cell r="C2255" t="str">
            <v>FIN Approval - Internal</v>
          </cell>
          <cell r="D2255">
            <v>26</v>
          </cell>
          <cell r="E2255" t="str">
            <v>APPROVED</v>
          </cell>
          <cell r="F2255">
            <v>41774</v>
          </cell>
          <cell r="G2255">
            <v>42139</v>
          </cell>
          <cell r="H2255">
            <v>71928.23</v>
          </cell>
          <cell r="I2255" t="str">
            <v>FIN Submission</v>
          </cell>
          <cell r="J2255">
            <v>42418</v>
          </cell>
        </row>
        <row r="2256">
          <cell r="A2256" t="str">
            <v>46010-D583</v>
          </cell>
          <cell r="B2256" t="str">
            <v>82V-402 637V Milford Stepdown</v>
          </cell>
          <cell r="C2256" t="str">
            <v>FIN Approval - Internal</v>
          </cell>
          <cell r="D2256">
            <v>26</v>
          </cell>
          <cell r="E2256" t="str">
            <v>APPROVED</v>
          </cell>
          <cell r="F2256">
            <v>42003</v>
          </cell>
          <cell r="G2256">
            <v>42093</v>
          </cell>
          <cell r="H2256">
            <v>20735.580000000002</v>
          </cell>
          <cell r="I2256" t="str">
            <v>FIN Submission</v>
          </cell>
          <cell r="J2256">
            <v>42418</v>
          </cell>
        </row>
        <row r="2257">
          <cell r="A2257" t="str">
            <v>46085-D590</v>
          </cell>
          <cell r="B2257" t="str">
            <v>92H-331G Boutiliers Cove Rd Recondu</v>
          </cell>
          <cell r="C2257" t="str">
            <v>FIN Approval - Internal</v>
          </cell>
          <cell r="D2257">
            <v>26</v>
          </cell>
          <cell r="E2257" t="str">
            <v>APPROVED</v>
          </cell>
          <cell r="F2257">
            <v>42003</v>
          </cell>
          <cell r="G2257">
            <v>42093</v>
          </cell>
          <cell r="H2257">
            <v>23075.26</v>
          </cell>
          <cell r="I2257" t="str">
            <v>FIN Submission</v>
          </cell>
          <cell r="J2257">
            <v>42418</v>
          </cell>
        </row>
        <row r="2258">
          <cell r="A2258" t="str">
            <v>45959-D582</v>
          </cell>
          <cell r="B2258" t="str">
            <v>629N-311 Hart Lake Pole Replacemen</v>
          </cell>
          <cell r="C2258" t="str">
            <v>FIN Approval - Internal</v>
          </cell>
          <cell r="D2258">
            <v>27</v>
          </cell>
          <cell r="E2258" t="str">
            <v>APPROVED</v>
          </cell>
          <cell r="F2258">
            <v>42003</v>
          </cell>
          <cell r="G2258">
            <v>42093</v>
          </cell>
          <cell r="H2258">
            <v>164031.63</v>
          </cell>
          <cell r="I2258" t="str">
            <v>FIN Submission</v>
          </cell>
          <cell r="J2258">
            <v>42418</v>
          </cell>
        </row>
        <row r="2259">
          <cell r="A2259" t="str">
            <v>44226-SB96</v>
          </cell>
          <cell r="B2259" t="str">
            <v>TRE Bunker C Piping Replacements</v>
          </cell>
          <cell r="C2259" t="str">
            <v>FIN Approval - Internal</v>
          </cell>
          <cell r="D2259">
            <v>27</v>
          </cell>
          <cell r="E2259" t="str">
            <v>APPROVED</v>
          </cell>
          <cell r="F2259">
            <v>41440</v>
          </cell>
          <cell r="G2259">
            <v>41623</v>
          </cell>
          <cell r="H2259">
            <v>221290.71</v>
          </cell>
          <cell r="I2259" t="str">
            <v>FIN Submission</v>
          </cell>
          <cell r="J2259">
            <v>42418</v>
          </cell>
        </row>
        <row r="2260">
          <cell r="A2260" t="str">
            <v>44329-D500</v>
          </cell>
          <cell r="B2260" t="str">
            <v>11S-302/303 Keltic Drive Removals</v>
          </cell>
          <cell r="C2260" t="str">
            <v>FIN Approval - Internal</v>
          </cell>
          <cell r="D2260">
            <v>30</v>
          </cell>
          <cell r="E2260" t="str">
            <v>APPROVED</v>
          </cell>
          <cell r="F2260">
            <v>41517</v>
          </cell>
          <cell r="G2260">
            <v>42094</v>
          </cell>
          <cell r="H2260">
            <v>245712.12</v>
          </cell>
          <cell r="I2260" t="str">
            <v>FIN Submission</v>
          </cell>
          <cell r="J2260">
            <v>42418</v>
          </cell>
        </row>
        <row r="2261">
          <cell r="A2261" t="str">
            <v>43546-D470</v>
          </cell>
          <cell r="B2261" t="str">
            <v>70W-313 Lehave River Reconductor</v>
          </cell>
          <cell r="C2261" t="str">
            <v>FIN Approval - Internal</v>
          </cell>
          <cell r="D2261">
            <v>30</v>
          </cell>
          <cell r="E2261" t="str">
            <v>APPROVED</v>
          </cell>
          <cell r="F2261">
            <v>41333</v>
          </cell>
          <cell r="G2261">
            <v>41667</v>
          </cell>
          <cell r="H2261">
            <v>257620.22</v>
          </cell>
          <cell r="I2261" t="str">
            <v>FIN Submission</v>
          </cell>
          <cell r="J2261">
            <v>42418</v>
          </cell>
        </row>
        <row r="2262">
          <cell r="A2262" t="str">
            <v>44723-SC59</v>
          </cell>
          <cell r="B2262" t="str">
            <v>TRE6 Bottom Ash Chain Replacement</v>
          </cell>
          <cell r="C2262" t="str">
            <v>FIN Approval - Internal</v>
          </cell>
          <cell r="D2262">
            <v>30</v>
          </cell>
          <cell r="E2262" t="str">
            <v>APPROVED</v>
          </cell>
          <cell r="F2262">
            <v>41866</v>
          </cell>
          <cell r="G2262">
            <v>42109</v>
          </cell>
          <cell r="H2262">
            <v>191593.01</v>
          </cell>
          <cell r="I2262" t="str">
            <v>FIN Submission</v>
          </cell>
          <cell r="J2262">
            <v>42418</v>
          </cell>
        </row>
        <row r="2263">
          <cell r="A2263" t="str">
            <v>43419-SB30</v>
          </cell>
          <cell r="B2263" t="str">
            <v>TUC2-U&amp;U FD Fan Bearing Replacement</v>
          </cell>
          <cell r="C2263" t="str">
            <v>FIN Approval - Internal</v>
          </cell>
          <cell r="D2263">
            <v>30</v>
          </cell>
          <cell r="E2263" t="str">
            <v>APPROVED</v>
          </cell>
          <cell r="F2263">
            <v>41341</v>
          </cell>
          <cell r="G2263">
            <v>42216</v>
          </cell>
          <cell r="H2263">
            <v>523603.82</v>
          </cell>
          <cell r="I2263" t="str">
            <v>FIN Submission</v>
          </cell>
          <cell r="J2263">
            <v>42418</v>
          </cell>
        </row>
        <row r="2264">
          <cell r="A2264" t="str">
            <v>42964-SB36</v>
          </cell>
          <cell r="B2264" t="str">
            <v>TUC-Asbestos Abatement Program 2013</v>
          </cell>
          <cell r="C2264" t="str">
            <v>FIN Approval - Internal</v>
          </cell>
          <cell r="D2264">
            <v>31</v>
          </cell>
          <cell r="E2264" t="str">
            <v>APPROVED</v>
          </cell>
          <cell r="F2264">
            <v>41453</v>
          </cell>
          <cell r="G2264">
            <v>42216</v>
          </cell>
          <cell r="H2264">
            <v>224507.63</v>
          </cell>
          <cell r="I2264" t="str">
            <v>FIN Submission</v>
          </cell>
          <cell r="J2264">
            <v>42418</v>
          </cell>
        </row>
        <row r="2265">
          <cell r="A2265" t="str">
            <v>45610-D552</v>
          </cell>
          <cell r="B2265" t="str">
            <v>65V-303 Gates Mtn Rd Reconductor</v>
          </cell>
          <cell r="C2265" t="str">
            <v>FIN Approval - Internal</v>
          </cell>
          <cell r="D2265">
            <v>32</v>
          </cell>
          <cell r="E2265" t="str">
            <v>APPROVED</v>
          </cell>
          <cell r="F2265">
            <v>42003</v>
          </cell>
          <cell r="G2265">
            <v>42093</v>
          </cell>
          <cell r="H2265">
            <v>104582.36</v>
          </cell>
          <cell r="I2265" t="str">
            <v>FIN Submission</v>
          </cell>
          <cell r="J2265">
            <v>42418</v>
          </cell>
        </row>
        <row r="2266">
          <cell r="A2266" t="str">
            <v>42506-H639</v>
          </cell>
          <cell r="B2266" t="str">
            <v>HYD - U&amp;U Dickie Brook Penstock</v>
          </cell>
          <cell r="C2266" t="str">
            <v>zINVALID FIN Approval - Internal</v>
          </cell>
          <cell r="D2266">
            <v>32</v>
          </cell>
          <cell r="E2266" t="str">
            <v>APPROVED</v>
          </cell>
          <cell r="F2266">
            <v>41014</v>
          </cell>
          <cell r="G2266">
            <v>41363</v>
          </cell>
          <cell r="H2266">
            <v>134794.82999999999</v>
          </cell>
          <cell r="I2266" t="str">
            <v/>
          </cell>
          <cell r="J2266">
            <v>42418</v>
          </cell>
        </row>
        <row r="2267">
          <cell r="A2267" t="str">
            <v>45059-SC50</v>
          </cell>
          <cell r="B2267" t="str">
            <v>LIN - Membrane Replacements RO</v>
          </cell>
          <cell r="C2267" t="str">
            <v>FIN Approval - Internal</v>
          </cell>
          <cell r="D2267">
            <v>32</v>
          </cell>
          <cell r="E2267" t="str">
            <v>APPROVED</v>
          </cell>
          <cell r="F2267">
            <v>41852</v>
          </cell>
          <cell r="G2267">
            <v>42004</v>
          </cell>
          <cell r="H2267">
            <v>38308.92</v>
          </cell>
          <cell r="I2267" t="str">
            <v>FIN Submission</v>
          </cell>
          <cell r="J2267">
            <v>42418</v>
          </cell>
        </row>
        <row r="2268">
          <cell r="A2268" t="str">
            <v>42967-SB34</v>
          </cell>
          <cell r="B2268" t="str">
            <v>TUC2 Replace Stack Rail Runner Syst</v>
          </cell>
          <cell r="C2268" t="str">
            <v>FIN Approval - Internal</v>
          </cell>
          <cell r="D2268">
            <v>32</v>
          </cell>
          <cell r="E2268" t="str">
            <v>APPROVED</v>
          </cell>
          <cell r="F2268">
            <v>41349</v>
          </cell>
          <cell r="G2268">
            <v>42247</v>
          </cell>
          <cell r="H2268">
            <v>42229.48</v>
          </cell>
          <cell r="I2268" t="str">
            <v>FIN Submission</v>
          </cell>
          <cell r="J2268">
            <v>42418</v>
          </cell>
        </row>
        <row r="2269">
          <cell r="A2269" t="str">
            <v>43326-SA88</v>
          </cell>
          <cell r="B2269" t="str">
            <v>TUC3 U&amp;U HP Feedwater Piping Repl.</v>
          </cell>
          <cell r="C2269" t="str">
            <v>FIN Approval - Internal</v>
          </cell>
          <cell r="D2269">
            <v>32</v>
          </cell>
          <cell r="E2269" t="str">
            <v>APPROVED</v>
          </cell>
          <cell r="F2269">
            <v>41213</v>
          </cell>
          <cell r="G2269">
            <v>42185</v>
          </cell>
          <cell r="H2269">
            <v>552227.44999999995</v>
          </cell>
          <cell r="I2269" t="str">
            <v>FIN Submission</v>
          </cell>
          <cell r="J2269">
            <v>42418</v>
          </cell>
        </row>
        <row r="2270">
          <cell r="A2270" t="str">
            <v>44315-T770</v>
          </cell>
          <cell r="B2270" t="str">
            <v>L6002 Upgrade</v>
          </cell>
          <cell r="C2270" t="str">
            <v>FIN Approval - Internal</v>
          </cell>
          <cell r="D2270">
            <v>33</v>
          </cell>
          <cell r="E2270" t="str">
            <v>APPROVED</v>
          </cell>
          <cell r="F2270">
            <v>41516</v>
          </cell>
          <cell r="G2270">
            <v>42307</v>
          </cell>
          <cell r="H2270">
            <v>725241.78</v>
          </cell>
          <cell r="I2270" t="str">
            <v>FIN Submission</v>
          </cell>
          <cell r="J2270">
            <v>42418</v>
          </cell>
        </row>
        <row r="2271">
          <cell r="A2271" t="str">
            <v>44087-SB43</v>
          </cell>
          <cell r="B2271" t="str">
            <v>TRE6 UU Low Load FW Line Replacemen</v>
          </cell>
          <cell r="C2271" t="str">
            <v>FIN Approval - Internal</v>
          </cell>
          <cell r="D2271">
            <v>34</v>
          </cell>
          <cell r="E2271" t="str">
            <v>APPROVED</v>
          </cell>
          <cell r="F2271">
            <v>41289</v>
          </cell>
          <cell r="G2271">
            <v>42124</v>
          </cell>
          <cell r="H2271">
            <v>150107.84</v>
          </cell>
          <cell r="I2271" t="str">
            <v>FIN Submission</v>
          </cell>
          <cell r="J2271">
            <v>42418</v>
          </cell>
        </row>
        <row r="2272">
          <cell r="A2272" t="str">
            <v>44471-D514</v>
          </cell>
          <cell r="B2272" t="str">
            <v xml:space="preserve">36V-302 Main Street Canning </v>
          </cell>
          <cell r="C2272" t="str">
            <v>FIN Approval - Internal</v>
          </cell>
          <cell r="D2272">
            <v>35</v>
          </cell>
          <cell r="E2272" t="str">
            <v>APPROVED</v>
          </cell>
          <cell r="F2272">
            <v>41575</v>
          </cell>
          <cell r="G2272">
            <v>42094</v>
          </cell>
          <cell r="H2272">
            <v>218856.57</v>
          </cell>
          <cell r="I2272" t="str">
            <v>FIN Submission</v>
          </cell>
          <cell r="J2272">
            <v>42418</v>
          </cell>
        </row>
        <row r="2273">
          <cell r="A2273" t="str">
            <v>44530-D512</v>
          </cell>
          <cell r="B2273" t="str">
            <v>625V Mt. Uniacke Overload Stepdown</v>
          </cell>
          <cell r="C2273" t="str">
            <v>FIN Approval - Internal</v>
          </cell>
          <cell r="D2273">
            <v>35</v>
          </cell>
          <cell r="E2273" t="str">
            <v>APPROVED</v>
          </cell>
          <cell r="F2273">
            <v>41542</v>
          </cell>
          <cell r="G2273">
            <v>42094</v>
          </cell>
          <cell r="H2273">
            <v>62046.93</v>
          </cell>
          <cell r="I2273" t="str">
            <v>FIN Submission</v>
          </cell>
          <cell r="J2273">
            <v>42418</v>
          </cell>
        </row>
        <row r="2274">
          <cell r="A2274" t="str">
            <v>44832-D543</v>
          </cell>
          <cell r="B2274" t="str">
            <v>73W-411G East Dalhousie Load Shift</v>
          </cell>
          <cell r="C2274" t="str">
            <v>FIN Approval - Internal</v>
          </cell>
          <cell r="D2274">
            <v>35</v>
          </cell>
          <cell r="E2274" t="str">
            <v>APPROVED</v>
          </cell>
          <cell r="F2274">
            <v>41941</v>
          </cell>
          <cell r="G2274">
            <v>42094</v>
          </cell>
          <cell r="H2274">
            <v>247352.48</v>
          </cell>
          <cell r="I2274" t="str">
            <v>FIN Submission</v>
          </cell>
          <cell r="J2274">
            <v>42418</v>
          </cell>
        </row>
        <row r="2275">
          <cell r="A2275" t="str">
            <v>42046-H636</v>
          </cell>
          <cell r="B2275" t="str">
            <v>HYD-U&amp;U Gulch Pipeline Repairs</v>
          </cell>
          <cell r="C2275" t="str">
            <v>zINVALID FIN Approval - Internal</v>
          </cell>
          <cell r="D2275">
            <v>35</v>
          </cell>
          <cell r="E2275" t="str">
            <v>APPROVED</v>
          </cell>
          <cell r="F2275">
            <v>41105</v>
          </cell>
          <cell r="G2275">
            <v>41289</v>
          </cell>
          <cell r="H2275">
            <v>48021.31</v>
          </cell>
          <cell r="I2275" t="str">
            <v/>
          </cell>
          <cell r="J2275">
            <v>42418</v>
          </cell>
        </row>
        <row r="2276">
          <cell r="A2276" t="str">
            <v>43290-SA95</v>
          </cell>
          <cell r="B2276" t="str">
            <v>TUC3 U&amp;U Refurbish Turbine Valves</v>
          </cell>
          <cell r="C2276" t="str">
            <v>FIN Approval - Internal</v>
          </cell>
          <cell r="D2276">
            <v>35</v>
          </cell>
          <cell r="E2276" t="str">
            <v>APPROVED</v>
          </cell>
          <cell r="F2276">
            <v>41152</v>
          </cell>
          <cell r="G2276">
            <v>42185</v>
          </cell>
          <cell r="H2276">
            <v>333064.82</v>
          </cell>
          <cell r="I2276" t="str">
            <v/>
          </cell>
          <cell r="J2276">
            <v>42418</v>
          </cell>
        </row>
        <row r="2277">
          <cell r="A2277" t="str">
            <v>44310-D492</v>
          </cell>
          <cell r="B2277" t="str">
            <v xml:space="preserve">14C-211 Petit de Grat Rebuild Pt 2 </v>
          </cell>
          <cell r="C2277" t="str">
            <v>FIN Approval - Internal</v>
          </cell>
          <cell r="D2277">
            <v>36</v>
          </cell>
          <cell r="E2277" t="str">
            <v>APPROVED</v>
          </cell>
          <cell r="F2277">
            <v>41443</v>
          </cell>
          <cell r="G2277">
            <v>42138</v>
          </cell>
          <cell r="H2277">
            <v>321120.96999999997</v>
          </cell>
          <cell r="I2277" t="str">
            <v>FIN Submission</v>
          </cell>
          <cell r="J2277">
            <v>42418</v>
          </cell>
        </row>
        <row r="2278">
          <cell r="A2278" t="str">
            <v>44361-SC68</v>
          </cell>
          <cell r="B2278" t="str">
            <v xml:space="preserve">LIN4 Replace Boiler Fronts </v>
          </cell>
          <cell r="C2278" t="str">
            <v>FIN Approval - Internal</v>
          </cell>
          <cell r="D2278">
            <v>36</v>
          </cell>
          <cell r="E2278" t="str">
            <v>APPROVED</v>
          </cell>
          <cell r="F2278">
            <v>41816</v>
          </cell>
          <cell r="G2278">
            <v>42089</v>
          </cell>
          <cell r="H2278">
            <v>129218.97</v>
          </cell>
          <cell r="I2278" t="str">
            <v>FIN Submission</v>
          </cell>
          <cell r="J2278">
            <v>42418</v>
          </cell>
        </row>
        <row r="2279">
          <cell r="A2279" t="str">
            <v>44053-D482</v>
          </cell>
          <cell r="B2279" t="str">
            <v>79S Cape North Transformer Replace</v>
          </cell>
          <cell r="C2279" t="str">
            <v>FIN Approval - Internal</v>
          </cell>
          <cell r="D2279">
            <v>38</v>
          </cell>
          <cell r="E2279" t="str">
            <v>APPROVED</v>
          </cell>
          <cell r="F2279">
            <v>41547</v>
          </cell>
          <cell r="G2279">
            <v>41850</v>
          </cell>
          <cell r="H2279">
            <v>77914.179999999993</v>
          </cell>
          <cell r="I2279" t="str">
            <v>FIN Submission</v>
          </cell>
          <cell r="J2279">
            <v>42418</v>
          </cell>
        </row>
        <row r="2280">
          <cell r="A2280" t="str">
            <v>44827-D537</v>
          </cell>
          <cell r="B2280" t="str">
            <v>2014 Distribution Cutout Replacemen</v>
          </cell>
          <cell r="C2280" t="str">
            <v>FIN Approval - Internal</v>
          </cell>
          <cell r="D2280">
            <v>39</v>
          </cell>
          <cell r="E2280" t="str">
            <v>APPROVED</v>
          </cell>
          <cell r="F2280">
            <v>41725</v>
          </cell>
          <cell r="G2280">
            <v>42308</v>
          </cell>
          <cell r="H2280">
            <v>106018.93</v>
          </cell>
          <cell r="I2280" t="str">
            <v>FIN Submission</v>
          </cell>
          <cell r="J2280">
            <v>42418</v>
          </cell>
        </row>
        <row r="2281">
          <cell r="A2281" t="str">
            <v>45027-D560</v>
          </cell>
          <cell r="B2281" t="str">
            <v>535N - Powell Road Phase 1</v>
          </cell>
          <cell r="C2281" t="str">
            <v>FIN Approval - Internal</v>
          </cell>
          <cell r="D2281">
            <v>39</v>
          </cell>
          <cell r="E2281" t="str">
            <v>APPROVED</v>
          </cell>
          <cell r="F2281">
            <v>41882</v>
          </cell>
          <cell r="G2281">
            <v>42094</v>
          </cell>
          <cell r="H2281">
            <v>239312.61</v>
          </cell>
          <cell r="I2281" t="str">
            <v>FIN Submission</v>
          </cell>
          <cell r="J2281">
            <v>42418</v>
          </cell>
        </row>
        <row r="2282">
          <cell r="A2282" t="str">
            <v>44721-SD33</v>
          </cell>
          <cell r="B2282" t="str">
            <v>TRE Ash Site Covering (2014)</v>
          </cell>
          <cell r="C2282" t="str">
            <v>FIN Approval - Internal</v>
          </cell>
          <cell r="D2282">
            <v>40</v>
          </cell>
          <cell r="E2282" t="str">
            <v>APPROVED</v>
          </cell>
          <cell r="F2282">
            <v>41988</v>
          </cell>
          <cell r="G2282">
            <v>41988</v>
          </cell>
          <cell r="H2282">
            <v>120600.3</v>
          </cell>
          <cell r="I2282" t="str">
            <v>FIN Submission</v>
          </cell>
          <cell r="J2282">
            <v>42418</v>
          </cell>
        </row>
        <row r="2283">
          <cell r="A2283" t="str">
            <v>44766-SD23</v>
          </cell>
          <cell r="B2283" t="str">
            <v>TRE5 5-3 Mill Refurbishment</v>
          </cell>
          <cell r="C2283" t="str">
            <v>FIN Approval - Internal</v>
          </cell>
          <cell r="D2283">
            <v>40</v>
          </cell>
          <cell r="E2283" t="str">
            <v>APPROVED</v>
          </cell>
          <cell r="F2283">
            <v>41897</v>
          </cell>
          <cell r="G2283">
            <v>42139</v>
          </cell>
          <cell r="H2283">
            <v>187840.3</v>
          </cell>
          <cell r="I2283" t="str">
            <v>FIN Submission</v>
          </cell>
          <cell r="J2283">
            <v>42418</v>
          </cell>
        </row>
        <row r="2284">
          <cell r="A2284" t="str">
            <v>41987-S897</v>
          </cell>
          <cell r="B2284" t="str">
            <v>TRE6 (UU) 6-5 FW Heater Refurbishme</v>
          </cell>
          <cell r="C2284" t="str">
            <v>FIN Approval - Internal</v>
          </cell>
          <cell r="D2284">
            <v>40</v>
          </cell>
          <cell r="E2284" t="str">
            <v>APPROVED</v>
          </cell>
          <cell r="F2284">
            <v>40892</v>
          </cell>
          <cell r="G2284">
            <v>42353</v>
          </cell>
          <cell r="H2284">
            <v>58500.37</v>
          </cell>
          <cell r="I2284" t="str">
            <v>FIN Submission</v>
          </cell>
          <cell r="J2284">
            <v>42418</v>
          </cell>
        </row>
        <row r="2285">
          <cell r="A2285" t="str">
            <v>43986-SB28</v>
          </cell>
          <cell r="B2285" t="str">
            <v>TUC - U&amp;U Heat Tracing NG Lines</v>
          </cell>
          <cell r="C2285" t="str">
            <v>FIN Approval - Internal</v>
          </cell>
          <cell r="D2285">
            <v>40</v>
          </cell>
          <cell r="E2285" t="str">
            <v>APPROVED</v>
          </cell>
          <cell r="F2285">
            <v>41327</v>
          </cell>
          <cell r="G2285">
            <v>41699</v>
          </cell>
          <cell r="H2285">
            <v>231860.3</v>
          </cell>
          <cell r="I2285" t="str">
            <v>FIN Submission</v>
          </cell>
          <cell r="J2285">
            <v>42418</v>
          </cell>
        </row>
        <row r="2286">
          <cell r="A2286" t="str">
            <v>42626-T715</v>
          </cell>
          <cell r="B2286" t="str">
            <v>Upgrade L7009</v>
          </cell>
          <cell r="C2286" t="str">
            <v>FIN Approval - Internal</v>
          </cell>
          <cell r="D2286">
            <v>40</v>
          </cell>
          <cell r="E2286" t="str">
            <v>APPROVED</v>
          </cell>
          <cell r="F2286">
            <v>41182</v>
          </cell>
          <cell r="G2286">
            <v>42139</v>
          </cell>
          <cell r="H2286">
            <v>585387.34</v>
          </cell>
          <cell r="I2286" t="str">
            <v>FIN Submission</v>
          </cell>
          <cell r="J2286">
            <v>42418</v>
          </cell>
        </row>
        <row r="2287">
          <cell r="A2287" t="str">
            <v>44307-D511</v>
          </cell>
          <cell r="B2287" t="str">
            <v>16W-301 Port Maitland Rebuild</v>
          </cell>
          <cell r="C2287" t="str">
            <v>FIN Approval - Internal</v>
          </cell>
          <cell r="D2287">
            <v>41</v>
          </cell>
          <cell r="E2287" t="str">
            <v>APPROVED</v>
          </cell>
          <cell r="F2287">
            <v>41638</v>
          </cell>
          <cell r="G2287">
            <v>41789</v>
          </cell>
          <cell r="H2287">
            <v>120461.52</v>
          </cell>
          <cell r="I2287" t="str">
            <v>FIN Submission</v>
          </cell>
          <cell r="J2287">
            <v>42418</v>
          </cell>
        </row>
        <row r="2288">
          <cell r="A2288" t="str">
            <v>44732-SD24</v>
          </cell>
          <cell r="B2288" t="str">
            <v>TRE5 Boiler Refurbishment</v>
          </cell>
          <cell r="C2288" t="str">
            <v>FIN Approval - Internal</v>
          </cell>
          <cell r="D2288">
            <v>41</v>
          </cell>
          <cell r="E2288" t="str">
            <v>APPROVED</v>
          </cell>
          <cell r="F2288">
            <v>41897</v>
          </cell>
          <cell r="G2288">
            <v>42109</v>
          </cell>
          <cell r="H2288">
            <v>669247.54</v>
          </cell>
          <cell r="I2288" t="str">
            <v>FIN Submission</v>
          </cell>
          <cell r="J2288">
            <v>42418</v>
          </cell>
        </row>
        <row r="2289">
          <cell r="A2289" t="str">
            <v>44725-SC47</v>
          </cell>
          <cell r="B2289" t="str">
            <v>TRE5 Baghouse Filter Replacements</v>
          </cell>
          <cell r="C2289" t="str">
            <v>FIN Approval - Internal</v>
          </cell>
          <cell r="D2289">
            <v>42</v>
          </cell>
          <cell r="E2289" t="str">
            <v>APPROVED</v>
          </cell>
          <cell r="F2289">
            <v>41897</v>
          </cell>
          <cell r="G2289">
            <v>42063</v>
          </cell>
          <cell r="H2289">
            <v>450457.63</v>
          </cell>
          <cell r="I2289" t="str">
            <v>FIN Submission</v>
          </cell>
          <cell r="J2289">
            <v>42418</v>
          </cell>
        </row>
        <row r="2290">
          <cell r="A2290" t="str">
            <v>41803-D385</v>
          </cell>
          <cell r="B2290" t="str">
            <v>36V-302 Blomidon Deteriorated Poles</v>
          </cell>
          <cell r="C2290" t="str">
            <v>FIN Approval - Internal</v>
          </cell>
          <cell r="D2290">
            <v>43</v>
          </cell>
          <cell r="E2290" t="str">
            <v>APPROVED</v>
          </cell>
          <cell r="F2290">
            <v>40907</v>
          </cell>
          <cell r="G2290">
            <v>42307</v>
          </cell>
          <cell r="H2290">
            <v>54086.94</v>
          </cell>
          <cell r="I2290" t="str">
            <v>FIN Submission</v>
          </cell>
          <cell r="J2290">
            <v>42418</v>
          </cell>
        </row>
        <row r="2291">
          <cell r="A2291" t="str">
            <v>43194-D469</v>
          </cell>
          <cell r="B2291" t="str">
            <v xml:space="preserve">3S-303 North Sydney ICP </v>
          </cell>
          <cell r="C2291" t="str">
            <v>FIN Approval - Internal</v>
          </cell>
          <cell r="D2291">
            <v>45</v>
          </cell>
          <cell r="E2291" t="str">
            <v>APPROVED</v>
          </cell>
          <cell r="F2291">
            <v>41517</v>
          </cell>
          <cell r="G2291">
            <v>42094</v>
          </cell>
          <cell r="H2291">
            <v>315864.32000000001</v>
          </cell>
          <cell r="I2291" t="str">
            <v>FIN Submission</v>
          </cell>
          <cell r="J2291">
            <v>42418</v>
          </cell>
        </row>
        <row r="2292">
          <cell r="A2292" t="str">
            <v>22796-P631</v>
          </cell>
          <cell r="B2292" t="str">
            <v>DICKIE BROOK ROOF</v>
          </cell>
          <cell r="C2292" t="str">
            <v>FIN Approval - Internal</v>
          </cell>
          <cell r="D2292">
            <v>45</v>
          </cell>
          <cell r="E2292" t="str">
            <v>APPROVED</v>
          </cell>
          <cell r="F2292">
            <v>37925</v>
          </cell>
          <cell r="G2292">
            <v>39844</v>
          </cell>
          <cell r="H2292">
            <v>14734</v>
          </cell>
          <cell r="I2292" t="str">
            <v>FIN Submission</v>
          </cell>
          <cell r="J2292">
            <v>42418</v>
          </cell>
        </row>
        <row r="2293">
          <cell r="A2293" t="str">
            <v>44372-SC15</v>
          </cell>
          <cell r="B2293" t="str">
            <v>TRE U&amp;U Bulk Caustic Storage Tank</v>
          </cell>
          <cell r="C2293" t="str">
            <v>FIN Approval - Internal</v>
          </cell>
          <cell r="D2293">
            <v>45</v>
          </cell>
          <cell r="E2293" t="str">
            <v>APPROVED</v>
          </cell>
          <cell r="F2293">
            <v>41897</v>
          </cell>
          <cell r="G2293">
            <v>42109</v>
          </cell>
          <cell r="H2293">
            <v>169042.02</v>
          </cell>
          <cell r="I2293" t="str">
            <v>FIN Submission</v>
          </cell>
          <cell r="J2293">
            <v>42418</v>
          </cell>
        </row>
        <row r="2294">
          <cell r="A2294" t="str">
            <v>43686-SA99</v>
          </cell>
          <cell r="B2294" t="str">
            <v>TUC3 UU DC Battery Bank Replacement</v>
          </cell>
          <cell r="C2294" t="str">
            <v>FIN Approval - Internal</v>
          </cell>
          <cell r="D2294">
            <v>47</v>
          </cell>
          <cell r="E2294" t="str">
            <v>APPROVED</v>
          </cell>
          <cell r="F2294">
            <v>41258</v>
          </cell>
          <cell r="G2294">
            <v>42247</v>
          </cell>
          <cell r="H2294">
            <v>56296.85</v>
          </cell>
          <cell r="I2294" t="str">
            <v>FIN Submission</v>
          </cell>
          <cell r="J2294">
            <v>42418</v>
          </cell>
        </row>
        <row r="2295">
          <cell r="A2295" t="str">
            <v>43750-T760</v>
          </cell>
          <cell r="B2295" t="str">
            <v>U&amp;U 22W Barrington Passage</v>
          </cell>
          <cell r="C2295" t="str">
            <v>FIN Approval - Internal</v>
          </cell>
          <cell r="D2295">
            <v>47</v>
          </cell>
          <cell r="E2295" t="str">
            <v>APPROVED</v>
          </cell>
          <cell r="F2295">
            <v>41514</v>
          </cell>
          <cell r="G2295">
            <v>42003</v>
          </cell>
          <cell r="H2295">
            <v>455031.48</v>
          </cell>
          <cell r="I2295" t="str">
            <v>FIN Submission</v>
          </cell>
          <cell r="J2295">
            <v>42418</v>
          </cell>
        </row>
        <row r="2296">
          <cell r="A2296" t="str">
            <v>42969-SB77</v>
          </cell>
          <cell r="B2296" t="str">
            <v>TUC-WWTP Sludge Press Refurbishment</v>
          </cell>
          <cell r="C2296" t="str">
            <v>FIN Approval - Internal</v>
          </cell>
          <cell r="D2296">
            <v>48</v>
          </cell>
          <cell r="E2296" t="str">
            <v>APPROVED</v>
          </cell>
          <cell r="F2296">
            <v>41638</v>
          </cell>
          <cell r="G2296">
            <v>42216</v>
          </cell>
          <cell r="H2296">
            <v>36444.910000000003</v>
          </cell>
          <cell r="I2296" t="str">
            <v>FIN Submission</v>
          </cell>
          <cell r="J2296">
            <v>42418</v>
          </cell>
        </row>
        <row r="2297">
          <cell r="A2297" t="str">
            <v>43164-SC92</v>
          </cell>
          <cell r="B2297" t="str">
            <v>LIN1 Boiler Refurbishment 2014</v>
          </cell>
          <cell r="C2297" t="str">
            <v>FIN Approval - Internal</v>
          </cell>
          <cell r="D2297">
            <v>49</v>
          </cell>
          <cell r="E2297" t="str">
            <v>APPROVED</v>
          </cell>
          <cell r="F2297">
            <v>41797</v>
          </cell>
          <cell r="G2297">
            <v>41930</v>
          </cell>
          <cell r="H2297">
            <v>249919.99</v>
          </cell>
          <cell r="I2297" t="str">
            <v>FIN Submission</v>
          </cell>
          <cell r="J2297">
            <v>42418</v>
          </cell>
        </row>
        <row r="2298">
          <cell r="A2298" t="str">
            <v>44027-SB72</v>
          </cell>
          <cell r="B2298" t="str">
            <v>TUC2 - U&amp;U HP Nozzles Replacement</v>
          </cell>
          <cell r="C2298" t="str">
            <v>FIN Approval - Internal</v>
          </cell>
          <cell r="D2298">
            <v>49</v>
          </cell>
          <cell r="E2298" t="str">
            <v>APPROVED</v>
          </cell>
          <cell r="F2298">
            <v>41394</v>
          </cell>
          <cell r="G2298">
            <v>42216</v>
          </cell>
          <cell r="H2298">
            <v>631605.86</v>
          </cell>
          <cell r="I2298" t="str">
            <v>FIN Submission</v>
          </cell>
          <cell r="J2298">
            <v>42418</v>
          </cell>
        </row>
        <row r="2299">
          <cell r="A2299" t="str">
            <v>42634-T721</v>
          </cell>
          <cell r="B2299" t="str">
            <v xml:space="preserve"> L7003 Upgrade</v>
          </cell>
          <cell r="C2299" t="str">
            <v>FIN Approval - Internal</v>
          </cell>
          <cell r="D2299">
            <v>50</v>
          </cell>
          <cell r="E2299" t="str">
            <v>APPROVED</v>
          </cell>
          <cell r="F2299">
            <v>41813</v>
          </cell>
          <cell r="G2299">
            <v>42139</v>
          </cell>
          <cell r="H2299">
            <v>91653.759999999995</v>
          </cell>
          <cell r="I2299" t="str">
            <v>FIN Submission</v>
          </cell>
          <cell r="J2299">
            <v>42418</v>
          </cell>
        </row>
        <row r="2300">
          <cell r="A2300" t="str">
            <v>41946-S907</v>
          </cell>
          <cell r="B2300" t="str">
            <v>TUC2 U&amp;U CW Screens Refurbishment</v>
          </cell>
          <cell r="C2300" t="str">
            <v>FIN Approval - Internal</v>
          </cell>
          <cell r="D2300">
            <v>50</v>
          </cell>
          <cell r="E2300" t="str">
            <v>APPROVED</v>
          </cell>
          <cell r="F2300">
            <v>41363</v>
          </cell>
          <cell r="G2300">
            <v>42216</v>
          </cell>
          <cell r="H2300">
            <v>380432.99</v>
          </cell>
          <cell r="I2300" t="str">
            <v>FIN Submission</v>
          </cell>
          <cell r="J2300">
            <v>42418</v>
          </cell>
        </row>
        <row r="2301">
          <cell r="A2301" t="str">
            <v>43551-D526</v>
          </cell>
          <cell r="B2301" t="str">
            <v>56N-401 Pictou Rebuild &amp; Conversion</v>
          </cell>
          <cell r="C2301" t="str">
            <v>FIN Approval - Internal</v>
          </cell>
          <cell r="D2301">
            <v>51</v>
          </cell>
          <cell r="E2301" t="str">
            <v>APPROVED</v>
          </cell>
          <cell r="F2301">
            <v>41542</v>
          </cell>
          <cell r="G2301">
            <v>42094</v>
          </cell>
          <cell r="H2301">
            <v>527623.93000000005</v>
          </cell>
          <cell r="I2301" t="str">
            <v>FIN Submission</v>
          </cell>
          <cell r="J2301">
            <v>42418</v>
          </cell>
        </row>
        <row r="2302">
          <cell r="A2302" t="str">
            <v>43162-SC88</v>
          </cell>
          <cell r="B2302" t="str">
            <v>LIN2 Boiler Refurbish 2014</v>
          </cell>
          <cell r="C2302" t="str">
            <v>FIN Approval - Internal</v>
          </cell>
          <cell r="D2302">
            <v>51</v>
          </cell>
          <cell r="E2302" t="str">
            <v>APPROVED</v>
          </cell>
          <cell r="F2302">
            <v>41869</v>
          </cell>
          <cell r="G2302">
            <v>41900</v>
          </cell>
          <cell r="H2302">
            <v>215578.27</v>
          </cell>
          <cell r="I2302" t="str">
            <v>FIN Submission</v>
          </cell>
          <cell r="J2302">
            <v>42418</v>
          </cell>
        </row>
        <row r="2303">
          <cell r="A2303" t="str">
            <v>42708-SA26</v>
          </cell>
          <cell r="B2303" t="str">
            <v>TUC3-U&amp;U Replace Motor Relay Contr.</v>
          </cell>
          <cell r="C2303" t="str">
            <v>FIN Approval - Internal</v>
          </cell>
          <cell r="D2303">
            <v>51</v>
          </cell>
          <cell r="E2303" t="str">
            <v>APPROVED</v>
          </cell>
          <cell r="F2303">
            <v>41273</v>
          </cell>
          <cell r="G2303">
            <v>41882</v>
          </cell>
          <cell r="H2303">
            <v>178768.71</v>
          </cell>
          <cell r="I2303" t="str">
            <v>FIN Submission</v>
          </cell>
          <cell r="J2303">
            <v>42418</v>
          </cell>
        </row>
        <row r="2304">
          <cell r="A2304" t="str">
            <v>40967-D358</v>
          </cell>
          <cell r="B2304" t="str">
            <v>Brunello Estates Overhead</v>
          </cell>
          <cell r="C2304" t="str">
            <v>zINVALID FIN Approval - Internal</v>
          </cell>
          <cell r="D2304">
            <v>53</v>
          </cell>
          <cell r="E2304" t="str">
            <v>APPROVED</v>
          </cell>
          <cell r="F2304">
            <v>40755</v>
          </cell>
          <cell r="G2304">
            <v>41639</v>
          </cell>
          <cell r="H2304">
            <v>68400.91</v>
          </cell>
          <cell r="I2304" t="str">
            <v>FIN Submission</v>
          </cell>
          <cell r="J2304">
            <v>42418</v>
          </cell>
        </row>
        <row r="2305">
          <cell r="A2305" t="str">
            <v>43273-D513</v>
          </cell>
          <cell r="B2305" t="str">
            <v>2013 Padmount Transformer Replace</v>
          </cell>
          <cell r="C2305" t="str">
            <v>FIN Approval - Internal</v>
          </cell>
          <cell r="D2305">
            <v>54</v>
          </cell>
          <cell r="E2305" t="str">
            <v>APPROVED</v>
          </cell>
          <cell r="F2305">
            <v>42003</v>
          </cell>
          <cell r="G2305">
            <v>42093</v>
          </cell>
          <cell r="H2305">
            <v>294092.44</v>
          </cell>
          <cell r="I2305" t="str">
            <v>FIN Submission</v>
          </cell>
          <cell r="J2305">
            <v>42418</v>
          </cell>
        </row>
        <row r="2306">
          <cell r="A2306" t="str">
            <v>43186-P914</v>
          </cell>
          <cell r="B2306" t="str">
            <v>2013 Telecom 48VDC Battery&amp;Chargers</v>
          </cell>
          <cell r="C2306" t="str">
            <v>FIN Approval - Internal</v>
          </cell>
          <cell r="D2306">
            <v>54</v>
          </cell>
          <cell r="E2306" t="str">
            <v>APPROVED</v>
          </cell>
          <cell r="F2306">
            <v>41669</v>
          </cell>
          <cell r="G2306">
            <v>42308</v>
          </cell>
          <cell r="H2306">
            <v>115431.21</v>
          </cell>
          <cell r="I2306" t="str">
            <v>FIN Submission</v>
          </cell>
          <cell r="J2306">
            <v>42418</v>
          </cell>
        </row>
        <row r="2307">
          <cell r="A2307" t="str">
            <v>43190-P912</v>
          </cell>
          <cell r="B2307" t="str">
            <v>Replace Microwave Radio System 2013</v>
          </cell>
          <cell r="C2307" t="str">
            <v>FIN Approval - Internal</v>
          </cell>
          <cell r="D2307">
            <v>54</v>
          </cell>
          <cell r="E2307" t="str">
            <v>APPROVED</v>
          </cell>
          <cell r="F2307">
            <v>41881</v>
          </cell>
          <cell r="G2307">
            <v>42308</v>
          </cell>
          <cell r="H2307">
            <v>389197.33</v>
          </cell>
          <cell r="I2307" t="str">
            <v>FIN Submission</v>
          </cell>
          <cell r="J2307">
            <v>42418</v>
          </cell>
        </row>
        <row r="2308">
          <cell r="A2308" t="str">
            <v>43416-SD32</v>
          </cell>
          <cell r="B2308" t="str">
            <v>TRE5 Resin Replacement</v>
          </cell>
          <cell r="C2308" t="str">
            <v>FIN Approval - Internal</v>
          </cell>
          <cell r="D2308">
            <v>54</v>
          </cell>
          <cell r="E2308" t="str">
            <v>APPROVED</v>
          </cell>
          <cell r="F2308">
            <v>41988</v>
          </cell>
          <cell r="G2308">
            <v>41988</v>
          </cell>
          <cell r="H2308">
            <v>69413.91</v>
          </cell>
          <cell r="I2308" t="str">
            <v>FIN Submission</v>
          </cell>
          <cell r="J2308">
            <v>42418</v>
          </cell>
        </row>
        <row r="2309">
          <cell r="A2309" t="str">
            <v>41674-D384</v>
          </cell>
          <cell r="B2309" t="str">
            <v>15N -203 Truro Rebuild</v>
          </cell>
          <cell r="C2309" t="str">
            <v>FIN Approval - Internal</v>
          </cell>
          <cell r="D2309">
            <v>56</v>
          </cell>
          <cell r="E2309" t="str">
            <v>APPROVED</v>
          </cell>
          <cell r="F2309">
            <v>41090</v>
          </cell>
          <cell r="G2309">
            <v>41726</v>
          </cell>
          <cell r="H2309">
            <v>81582.97</v>
          </cell>
          <cell r="I2309" t="str">
            <v>FIN Submission</v>
          </cell>
          <cell r="J2309">
            <v>42418</v>
          </cell>
        </row>
        <row r="2310">
          <cell r="A2310" t="str">
            <v>43219-D490</v>
          </cell>
          <cell r="B2310" t="str">
            <v>93V-311 Saulnierville Recon Ph 2</v>
          </cell>
          <cell r="C2310" t="str">
            <v>FIN Approval - Internal</v>
          </cell>
          <cell r="D2310">
            <v>56</v>
          </cell>
          <cell r="E2310" t="str">
            <v>APPROVED</v>
          </cell>
          <cell r="F2310">
            <v>41698</v>
          </cell>
          <cell r="G2310">
            <v>42308</v>
          </cell>
          <cell r="H2310">
            <v>362525</v>
          </cell>
          <cell r="I2310" t="str">
            <v>FIN Submission</v>
          </cell>
          <cell r="J2310">
            <v>42418</v>
          </cell>
        </row>
        <row r="2311">
          <cell r="A2311" t="str">
            <v>42829-D432</v>
          </cell>
          <cell r="B2311" t="str">
            <v>Halifax Air Switch Replacement</v>
          </cell>
          <cell r="C2311" t="str">
            <v>FIN Approval - Internal</v>
          </cell>
          <cell r="D2311">
            <v>56</v>
          </cell>
          <cell r="E2311" t="str">
            <v>APPROVED</v>
          </cell>
          <cell r="F2311">
            <v>41453</v>
          </cell>
          <cell r="G2311">
            <v>42093</v>
          </cell>
          <cell r="H2311">
            <v>166745.44</v>
          </cell>
          <cell r="I2311" t="str">
            <v>FIN Submission</v>
          </cell>
          <cell r="J2311">
            <v>42418</v>
          </cell>
        </row>
        <row r="2312">
          <cell r="A2312" t="str">
            <v>41137-H647</v>
          </cell>
          <cell r="B2312" t="str">
            <v>HYD -  Gulch Powerhouse Window Repl</v>
          </cell>
          <cell r="C2312" t="str">
            <v>zINVALID FIN Approval - Internal</v>
          </cell>
          <cell r="D2312">
            <v>57</v>
          </cell>
          <cell r="E2312" t="str">
            <v>APPROVED</v>
          </cell>
          <cell r="F2312">
            <v>41122</v>
          </cell>
          <cell r="G2312">
            <v>41639</v>
          </cell>
          <cell r="H2312">
            <v>69878.45</v>
          </cell>
          <cell r="I2312" t="str">
            <v>FIN Submission</v>
          </cell>
          <cell r="J2312">
            <v>42418</v>
          </cell>
        </row>
        <row r="2313">
          <cell r="A2313" t="str">
            <v>41108-H617</v>
          </cell>
          <cell r="B2313" t="str">
            <v>HYD-PE Ruth Falls Canal Repairs</v>
          </cell>
          <cell r="C2313" t="str">
            <v>FIN Approval - Internal</v>
          </cell>
          <cell r="D2313">
            <v>57</v>
          </cell>
          <cell r="E2313" t="str">
            <v>APPROVED</v>
          </cell>
          <cell r="F2313">
            <v>40840</v>
          </cell>
          <cell r="G2313">
            <v>41114</v>
          </cell>
          <cell r="H2313">
            <v>170700.71</v>
          </cell>
          <cell r="I2313" t="str">
            <v>FIN Submission</v>
          </cell>
          <cell r="J2313">
            <v>42418</v>
          </cell>
        </row>
        <row r="2314">
          <cell r="A2314" t="str">
            <v>42627-T716</v>
          </cell>
          <cell r="B2314" t="str">
            <v>L5004 Upgrade</v>
          </cell>
          <cell r="C2314" t="str">
            <v>FIN Approval - Internal</v>
          </cell>
          <cell r="D2314">
            <v>57</v>
          </cell>
          <cell r="E2314" t="str">
            <v>APPROVED</v>
          </cell>
          <cell r="F2314">
            <v>41542</v>
          </cell>
          <cell r="G2314">
            <v>42094</v>
          </cell>
          <cell r="H2314">
            <v>254635.77</v>
          </cell>
          <cell r="I2314" t="str">
            <v>FIN Submission</v>
          </cell>
          <cell r="J2314">
            <v>42418</v>
          </cell>
        </row>
        <row r="2315">
          <cell r="A2315" t="str">
            <v>41136-H631</v>
          </cell>
          <cell r="B2315" t="str">
            <v>HYD Gisborne Roof Hatch Replacement</v>
          </cell>
          <cell r="C2315" t="str">
            <v>zINVALID FIN Approval - Internal</v>
          </cell>
          <cell r="D2315">
            <v>58</v>
          </cell>
          <cell r="E2315" t="str">
            <v>APPROVED</v>
          </cell>
          <cell r="F2315">
            <v>41197</v>
          </cell>
          <cell r="G2315">
            <v>41320</v>
          </cell>
          <cell r="H2315">
            <v>89006.69</v>
          </cell>
          <cell r="I2315" t="str">
            <v/>
          </cell>
          <cell r="J2315">
            <v>42418</v>
          </cell>
        </row>
        <row r="2316">
          <cell r="A2316" t="str">
            <v>42788-D430</v>
          </cell>
          <cell r="B2316" t="str">
            <v>63V-313 Palmer Rd. Reconductor</v>
          </cell>
          <cell r="C2316" t="str">
            <v>FIN Approval - Internal</v>
          </cell>
          <cell r="D2316">
            <v>59</v>
          </cell>
          <cell r="E2316" t="str">
            <v>APPROVED</v>
          </cell>
          <cell r="F2316">
            <v>41453</v>
          </cell>
          <cell r="G2316">
            <v>42093</v>
          </cell>
          <cell r="H2316">
            <v>256953.11</v>
          </cell>
          <cell r="I2316" t="str">
            <v>FIN Submission</v>
          </cell>
          <cell r="J2316">
            <v>42418</v>
          </cell>
        </row>
        <row r="2317">
          <cell r="A2317" t="str">
            <v>43286-D515</v>
          </cell>
          <cell r="B2317" t="str">
            <v>6S Terrace St Conversion Phase 1</v>
          </cell>
          <cell r="C2317" t="str">
            <v>FIN Approval - Internal</v>
          </cell>
          <cell r="D2317">
            <v>59</v>
          </cell>
          <cell r="E2317" t="str">
            <v>APPROVED</v>
          </cell>
          <cell r="F2317">
            <v>41606</v>
          </cell>
          <cell r="G2317">
            <v>42308</v>
          </cell>
          <cell r="H2317">
            <v>1227430.8799999999</v>
          </cell>
          <cell r="I2317" t="str">
            <v>FIN Submission</v>
          </cell>
          <cell r="J2317">
            <v>42418</v>
          </cell>
        </row>
        <row r="2318">
          <cell r="A2318" t="str">
            <v>41507-SA14</v>
          </cell>
          <cell r="B2318" t="str">
            <v>TRE6 - Air Heater Refurbishment</v>
          </cell>
          <cell r="C2318" t="str">
            <v>FIN Approval - Internal</v>
          </cell>
          <cell r="D2318">
            <v>59</v>
          </cell>
          <cell r="E2318" t="str">
            <v>APPROVED</v>
          </cell>
          <cell r="F2318">
            <v>41470</v>
          </cell>
          <cell r="G2318">
            <v>41685</v>
          </cell>
          <cell r="H2318">
            <v>634382.24</v>
          </cell>
          <cell r="I2318" t="str">
            <v>FIN Submission</v>
          </cell>
          <cell r="J2318">
            <v>42418</v>
          </cell>
        </row>
        <row r="2319">
          <cell r="A2319" t="str">
            <v>41547-SA37</v>
          </cell>
          <cell r="B2319" t="str">
            <v>TRE6 - 4kV Breaker Refurbishment</v>
          </cell>
          <cell r="C2319" t="str">
            <v>FIN Approval - Internal</v>
          </cell>
          <cell r="D2319">
            <v>60</v>
          </cell>
          <cell r="E2319" t="str">
            <v>APPROVED</v>
          </cell>
          <cell r="F2319">
            <v>41623</v>
          </cell>
          <cell r="G2319">
            <v>41623</v>
          </cell>
          <cell r="H2319">
            <v>40227.14</v>
          </cell>
          <cell r="I2319" t="str">
            <v>FIN Submission</v>
          </cell>
          <cell r="J2319">
            <v>42418</v>
          </cell>
        </row>
        <row r="2320">
          <cell r="A2320" t="str">
            <v>41506-SB45</v>
          </cell>
          <cell r="B2320" t="str">
            <v>TRE6 - 6B Cooling Water (CW) Pump R</v>
          </cell>
          <cell r="C2320" t="str">
            <v>FIN Approval - Internal</v>
          </cell>
          <cell r="D2320">
            <v>60</v>
          </cell>
          <cell r="E2320" t="str">
            <v>APPROVED</v>
          </cell>
          <cell r="F2320">
            <v>41440</v>
          </cell>
          <cell r="G2320">
            <v>41562</v>
          </cell>
          <cell r="H2320">
            <v>229894.83</v>
          </cell>
          <cell r="I2320" t="str">
            <v>FIN Submission</v>
          </cell>
          <cell r="J2320">
            <v>42418</v>
          </cell>
        </row>
        <row r="2321">
          <cell r="A2321" t="str">
            <v>41544-SA58</v>
          </cell>
          <cell r="B2321" t="str">
            <v>TRE6 - O2 Sensor Replacement</v>
          </cell>
          <cell r="C2321" t="str">
            <v>FIN Approval - Internal</v>
          </cell>
          <cell r="D2321">
            <v>60</v>
          </cell>
          <cell r="E2321" t="str">
            <v>APPROVED</v>
          </cell>
          <cell r="F2321">
            <v>41440</v>
          </cell>
          <cell r="G2321">
            <v>41562</v>
          </cell>
          <cell r="H2321">
            <v>37706.589999999997</v>
          </cell>
          <cell r="I2321" t="str">
            <v>FIN Submission</v>
          </cell>
          <cell r="J2321">
            <v>42418</v>
          </cell>
        </row>
        <row r="2322">
          <cell r="A2322" t="str">
            <v>41516-SB46</v>
          </cell>
          <cell r="B2322" t="str">
            <v>TRE6 - Stack Breaching Inlet Ductwo</v>
          </cell>
          <cell r="C2322" t="str">
            <v>FIN Approval - Internal</v>
          </cell>
          <cell r="D2322">
            <v>60</v>
          </cell>
          <cell r="E2322" t="str">
            <v>APPROVED</v>
          </cell>
          <cell r="F2322">
            <v>41470</v>
          </cell>
          <cell r="G2322">
            <v>41532</v>
          </cell>
          <cell r="H2322">
            <v>158216.26</v>
          </cell>
          <cell r="I2322" t="str">
            <v>FIN Submission</v>
          </cell>
          <cell r="J2322">
            <v>42418</v>
          </cell>
        </row>
        <row r="2323">
          <cell r="A2323" t="str">
            <v>41508-SA43</v>
          </cell>
          <cell r="B2323" t="str">
            <v>TRE6 - Turbine-Generator Fire Prote</v>
          </cell>
          <cell r="C2323" t="str">
            <v>FIN Approval - Internal</v>
          </cell>
          <cell r="D2323">
            <v>60</v>
          </cell>
          <cell r="E2323" t="str">
            <v>APPROVED</v>
          </cell>
          <cell r="F2323">
            <v>41440</v>
          </cell>
          <cell r="G2323">
            <v>41562</v>
          </cell>
          <cell r="H2323">
            <v>297135.17</v>
          </cell>
          <cell r="I2323" t="str">
            <v>FIN Submission</v>
          </cell>
          <cell r="J2323">
            <v>42418</v>
          </cell>
        </row>
        <row r="2324">
          <cell r="A2324" t="str">
            <v>41531-SA52</v>
          </cell>
          <cell r="B2324" t="str">
            <v>TRE Asbestos Abatement 2012</v>
          </cell>
          <cell r="C2324" t="str">
            <v>FIN Approval - Internal</v>
          </cell>
          <cell r="D2324">
            <v>61</v>
          </cell>
          <cell r="E2324" t="str">
            <v>APPROVED</v>
          </cell>
          <cell r="F2324">
            <v>41320</v>
          </cell>
          <cell r="G2324">
            <v>41348</v>
          </cell>
          <cell r="H2324">
            <v>63963.15</v>
          </cell>
          <cell r="I2324" t="str">
            <v>FIN Submission</v>
          </cell>
          <cell r="J2324">
            <v>42418</v>
          </cell>
        </row>
        <row r="2325">
          <cell r="A2325" t="str">
            <v>41245-SA91</v>
          </cell>
          <cell r="B2325" t="str">
            <v>TUC2 - Cooling Water (CW) Pump Refu</v>
          </cell>
          <cell r="C2325" t="str">
            <v>FIN Approval - Internal</v>
          </cell>
          <cell r="D2325">
            <v>61</v>
          </cell>
          <cell r="E2325" t="str">
            <v>APPROVED</v>
          </cell>
          <cell r="F2325">
            <v>41333</v>
          </cell>
          <cell r="G2325">
            <v>42216</v>
          </cell>
          <cell r="H2325">
            <v>170804.72</v>
          </cell>
          <cell r="I2325" t="str">
            <v>FIN Submission</v>
          </cell>
          <cell r="J2325">
            <v>42418</v>
          </cell>
        </row>
        <row r="2326">
          <cell r="A2326" t="str">
            <v>41277-SB18</v>
          </cell>
          <cell r="B2326" t="str">
            <v>TUC2 - Stack Breaching Seal Replace</v>
          </cell>
          <cell r="C2326" t="str">
            <v>FIN Approval - Internal</v>
          </cell>
          <cell r="D2326">
            <v>61</v>
          </cell>
          <cell r="E2326" t="str">
            <v>APPROVED</v>
          </cell>
          <cell r="F2326">
            <v>41358</v>
          </cell>
          <cell r="G2326">
            <v>42216</v>
          </cell>
          <cell r="H2326">
            <v>86176.11</v>
          </cell>
          <cell r="I2326" t="str">
            <v>FIN Submission</v>
          </cell>
          <cell r="J2326">
            <v>42418</v>
          </cell>
        </row>
        <row r="2327">
          <cell r="A2327" t="str">
            <v>41303-SB44</v>
          </cell>
          <cell r="B2327" t="str">
            <v>TRE6 - Waterwall Panel Replacements</v>
          </cell>
          <cell r="C2327" t="str">
            <v>FIN Approval - Internal</v>
          </cell>
          <cell r="D2327">
            <v>62</v>
          </cell>
          <cell r="E2327" t="str">
            <v>APPROVED</v>
          </cell>
          <cell r="F2327">
            <v>41409</v>
          </cell>
          <cell r="G2327">
            <v>42078</v>
          </cell>
          <cell r="H2327">
            <v>145764.38</v>
          </cell>
          <cell r="I2327" t="str">
            <v>FIN Submission</v>
          </cell>
          <cell r="J2327">
            <v>42418</v>
          </cell>
        </row>
        <row r="2328">
          <cell r="A2328" t="str">
            <v>41272-SA24</v>
          </cell>
          <cell r="B2328" t="str">
            <v>TUC2- Turning Gear Worm Shaft Repl.</v>
          </cell>
          <cell r="C2328" t="str">
            <v>FIN Approval - Internal</v>
          </cell>
          <cell r="D2328">
            <v>62</v>
          </cell>
          <cell r="E2328" t="str">
            <v>APPROVED</v>
          </cell>
          <cell r="F2328">
            <v>41274</v>
          </cell>
          <cell r="G2328">
            <v>42247</v>
          </cell>
          <cell r="H2328">
            <v>70360.83</v>
          </cell>
          <cell r="I2328" t="str">
            <v>FIN Submission</v>
          </cell>
          <cell r="J2328">
            <v>42418</v>
          </cell>
        </row>
        <row r="2329">
          <cell r="A2329" t="str">
            <v>41392-D395</v>
          </cell>
          <cell r="B2329" t="str">
            <v>2012 Distribution Cutout Replacemen</v>
          </cell>
          <cell r="C2329" t="str">
            <v>FIN Approval - Internal</v>
          </cell>
          <cell r="D2329">
            <v>63</v>
          </cell>
          <cell r="E2329" t="str">
            <v>APPROVED</v>
          </cell>
          <cell r="F2329">
            <v>41174</v>
          </cell>
          <cell r="G2329">
            <v>42094</v>
          </cell>
          <cell r="H2329">
            <v>2528062.7999999998</v>
          </cell>
          <cell r="I2329" t="str">
            <v>FIN Submission</v>
          </cell>
          <cell r="J2329">
            <v>42418</v>
          </cell>
        </row>
        <row r="2330">
          <cell r="A2330" t="str">
            <v>41271-SA92</v>
          </cell>
          <cell r="B2330" t="str">
            <v>TUC - Instrument Air Receivers Repl</v>
          </cell>
          <cell r="C2330" t="str">
            <v>FIN Approval - Internal</v>
          </cell>
          <cell r="D2330">
            <v>66</v>
          </cell>
          <cell r="E2330" t="str">
            <v>APPROVED</v>
          </cell>
          <cell r="F2330">
            <v>41274</v>
          </cell>
          <cell r="G2330">
            <v>42247</v>
          </cell>
          <cell r="H2330">
            <v>41041.269999999997</v>
          </cell>
          <cell r="I2330" t="str">
            <v>FIN Submission</v>
          </cell>
          <cell r="J2330">
            <v>42418</v>
          </cell>
        </row>
        <row r="2331">
          <cell r="A2331" t="str">
            <v>40762-D351</v>
          </cell>
          <cell r="B2331" t="str">
            <v>Port Felix to Whitehead Part 2</v>
          </cell>
          <cell r="C2331" t="str">
            <v>FIN Approval - Internal</v>
          </cell>
          <cell r="D2331">
            <v>70</v>
          </cell>
          <cell r="E2331" t="str">
            <v>APPROVED</v>
          </cell>
          <cell r="F2331">
            <v>40816</v>
          </cell>
          <cell r="G2331">
            <v>42154</v>
          </cell>
          <cell r="H2331">
            <v>433244.01</v>
          </cell>
          <cell r="I2331" t="str">
            <v>FIN Submission</v>
          </cell>
          <cell r="J2331">
            <v>42418</v>
          </cell>
        </row>
        <row r="2332">
          <cell r="A2332" t="str">
            <v>41275-SA51</v>
          </cell>
          <cell r="B2332" t="str">
            <v>TUC2- ACW Strainer Replacement</v>
          </cell>
          <cell r="C2332" t="str">
            <v>FIN Approval - Internal</v>
          </cell>
          <cell r="D2332">
            <v>78</v>
          </cell>
          <cell r="E2332" t="str">
            <v>APPROVED</v>
          </cell>
          <cell r="F2332">
            <v>41361</v>
          </cell>
          <cell r="G2332">
            <v>41852</v>
          </cell>
          <cell r="H2332">
            <v>135083.32</v>
          </cell>
          <cell r="I2332" t="str">
            <v>FIN Submission</v>
          </cell>
          <cell r="J2332">
            <v>42418</v>
          </cell>
        </row>
        <row r="2333">
          <cell r="A2333" t="str">
            <v>41278-SA93</v>
          </cell>
          <cell r="B2333" t="str">
            <v>TUC2- Condensate Extraction Pump Re</v>
          </cell>
          <cell r="C2333" t="str">
            <v>FIN Approval - Internal</v>
          </cell>
          <cell r="D2333">
            <v>78</v>
          </cell>
          <cell r="E2333" t="str">
            <v>APPROVED</v>
          </cell>
          <cell r="F2333">
            <v>41485</v>
          </cell>
          <cell r="G2333">
            <v>42216</v>
          </cell>
          <cell r="H2333">
            <v>117217.57</v>
          </cell>
          <cell r="I2333" t="str">
            <v>FIN Submission</v>
          </cell>
          <cell r="J2333">
            <v>42418</v>
          </cell>
        </row>
        <row r="2334">
          <cell r="A2334" t="str">
            <v>41260-SA85</v>
          </cell>
          <cell r="B2334" t="str">
            <v>TUC2- H2 Dryer Replacement</v>
          </cell>
          <cell r="C2334" t="str">
            <v>FIN Approval - Internal</v>
          </cell>
          <cell r="D2334">
            <v>78</v>
          </cell>
          <cell r="E2334" t="str">
            <v>APPROVED</v>
          </cell>
          <cell r="F2334">
            <v>41358</v>
          </cell>
          <cell r="G2334">
            <v>42216</v>
          </cell>
          <cell r="H2334">
            <v>108333.81</v>
          </cell>
          <cell r="I2334" t="str">
            <v>FIN Submission</v>
          </cell>
          <cell r="J2334">
            <v>42418</v>
          </cell>
        </row>
        <row r="2335">
          <cell r="A2335" t="str">
            <v>41250-SB24</v>
          </cell>
          <cell r="B2335" t="str">
            <v xml:space="preserve">TUC2- South Boiler Feed Pump (BFP) </v>
          </cell>
          <cell r="C2335" t="str">
            <v>FIN Approval - Internal</v>
          </cell>
          <cell r="D2335">
            <v>78</v>
          </cell>
          <cell r="E2335" t="str">
            <v>APPROVED</v>
          </cell>
          <cell r="F2335">
            <v>41544</v>
          </cell>
          <cell r="G2335">
            <v>42216</v>
          </cell>
          <cell r="H2335">
            <v>214387.39</v>
          </cell>
          <cell r="I2335" t="str">
            <v>FIN Submission</v>
          </cell>
          <cell r="J2335">
            <v>42418</v>
          </cell>
        </row>
        <row r="2336">
          <cell r="A2336" t="str">
            <v>40663-D346</v>
          </cell>
          <cell r="B2336" t="str">
            <v>1C-411 Port Hawkesbury Deter. Plant</v>
          </cell>
          <cell r="C2336" t="str">
            <v>FIN Approval - Internal</v>
          </cell>
          <cell r="D2336">
            <v>81</v>
          </cell>
          <cell r="E2336" t="str">
            <v>APPROVED</v>
          </cell>
          <cell r="F2336">
            <v>40779</v>
          </cell>
          <cell r="G2336">
            <v>42094</v>
          </cell>
          <cell r="H2336">
            <v>148484.46</v>
          </cell>
          <cell r="I2336" t="str">
            <v>FIN Submission</v>
          </cell>
          <cell r="J2336">
            <v>42418</v>
          </cell>
        </row>
        <row r="2337">
          <cell r="A2337" t="str">
            <v>41387-T710</v>
          </cell>
          <cell r="B2337" t="str">
            <v>2012 Transmission Line Insulator Re</v>
          </cell>
          <cell r="C2337" t="str">
            <v>FIN Approval - Internal</v>
          </cell>
          <cell r="D2337">
            <v>82</v>
          </cell>
          <cell r="E2337" t="str">
            <v>APPROVED</v>
          </cell>
          <cell r="F2337">
            <v>41174</v>
          </cell>
          <cell r="G2337">
            <v>41850</v>
          </cell>
          <cell r="H2337">
            <v>3623427.83</v>
          </cell>
          <cell r="I2337" t="str">
            <v>FIN Submission</v>
          </cell>
          <cell r="J2337">
            <v>42418</v>
          </cell>
        </row>
        <row r="2338">
          <cell r="A2338" t="str">
            <v>38888-D317</v>
          </cell>
          <cell r="B2338" t="str">
            <v>50N-412 Targeted Replacements</v>
          </cell>
          <cell r="C2338" t="str">
            <v>FIN Approval - Internal</v>
          </cell>
          <cell r="D2338">
            <v>82</v>
          </cell>
          <cell r="E2338" t="str">
            <v>APPROVED</v>
          </cell>
          <cell r="F2338">
            <v>40528</v>
          </cell>
          <cell r="G2338">
            <v>41274</v>
          </cell>
          <cell r="H2338">
            <v>1251833.28</v>
          </cell>
          <cell r="I2338" t="str">
            <v>FIN Submission</v>
          </cell>
          <cell r="J2338">
            <v>42418</v>
          </cell>
        </row>
        <row r="2339">
          <cell r="A2339" t="str">
            <v>40319-S714</v>
          </cell>
          <cell r="B2339" t="str">
            <v>TRE - HVAC Replacements (2011)</v>
          </cell>
          <cell r="C2339" t="str">
            <v>FIN Approval - Internal</v>
          </cell>
          <cell r="D2339">
            <v>82</v>
          </cell>
          <cell r="E2339" t="str">
            <v>APPROVED</v>
          </cell>
          <cell r="F2339">
            <v>41440</v>
          </cell>
          <cell r="G2339">
            <v>41532</v>
          </cell>
          <cell r="H2339">
            <v>371015.31</v>
          </cell>
          <cell r="I2339" t="str">
            <v>FIN Submission</v>
          </cell>
          <cell r="J2339">
            <v>42418</v>
          </cell>
        </row>
        <row r="2340">
          <cell r="A2340" t="str">
            <v>41384-D421</v>
          </cell>
          <cell r="B2340" t="str">
            <v>2012 Feeder Exit Cable Replacement</v>
          </cell>
          <cell r="C2340" t="str">
            <v>FIN Approval - Internal</v>
          </cell>
          <cell r="D2340">
            <v>83</v>
          </cell>
          <cell r="E2340" t="str">
            <v>APPROVED</v>
          </cell>
          <cell r="F2340">
            <v>41698</v>
          </cell>
          <cell r="G2340">
            <v>42094</v>
          </cell>
          <cell r="H2340">
            <v>389950.17</v>
          </cell>
          <cell r="I2340" t="str">
            <v>FIN Submission</v>
          </cell>
          <cell r="J2340">
            <v>42418</v>
          </cell>
        </row>
        <row r="2341">
          <cell r="A2341" t="str">
            <v>41589-T740</v>
          </cell>
          <cell r="B2341" t="str">
            <v>22N-Church St Replace 25 kV Bus</v>
          </cell>
          <cell r="C2341" t="str">
            <v>FIN Approval - Internal</v>
          </cell>
          <cell r="D2341">
            <v>83</v>
          </cell>
          <cell r="E2341" t="str">
            <v>APPROVED</v>
          </cell>
          <cell r="F2341">
            <v>41606</v>
          </cell>
          <cell r="G2341">
            <v>42308</v>
          </cell>
          <cell r="H2341">
            <v>803220.86</v>
          </cell>
          <cell r="I2341" t="str">
            <v>FIN Submission</v>
          </cell>
          <cell r="J2341">
            <v>42418</v>
          </cell>
        </row>
        <row r="2342">
          <cell r="A2342" t="str">
            <v>41359-D437</v>
          </cell>
          <cell r="B2342" t="str">
            <v>79V-402 Feeder Load Reduction</v>
          </cell>
          <cell r="C2342" t="str">
            <v>FIN Approval - Internal</v>
          </cell>
          <cell r="D2342">
            <v>84</v>
          </cell>
          <cell r="E2342" t="str">
            <v>APPROVED</v>
          </cell>
          <cell r="F2342">
            <v>41262</v>
          </cell>
          <cell r="G2342">
            <v>42308</v>
          </cell>
          <cell r="H2342">
            <v>402306.41</v>
          </cell>
          <cell r="I2342" t="str">
            <v>FIN Submission</v>
          </cell>
          <cell r="J2342">
            <v>42418</v>
          </cell>
        </row>
        <row r="2343">
          <cell r="A2343" t="str">
            <v>41546-SA36</v>
          </cell>
          <cell r="B2343" t="str">
            <v>TRE5 - 4kV Breaker Refurbishment</v>
          </cell>
          <cell r="C2343" t="str">
            <v>FIN Approval - Internal</v>
          </cell>
          <cell r="D2343">
            <v>84</v>
          </cell>
          <cell r="E2343" t="str">
            <v>APPROVED</v>
          </cell>
          <cell r="F2343">
            <v>41988</v>
          </cell>
          <cell r="G2343">
            <v>41988</v>
          </cell>
          <cell r="H2343">
            <v>35948.42</v>
          </cell>
          <cell r="I2343" t="str">
            <v>FIN Submission</v>
          </cell>
          <cell r="J2343">
            <v>42418</v>
          </cell>
        </row>
        <row r="2344">
          <cell r="A2344" t="str">
            <v>33262-H615</v>
          </cell>
          <cell r="B2344" t="str">
            <v>U&amp;U STM Sandy Lake Band Replacement</v>
          </cell>
          <cell r="C2344" t="str">
            <v>zINVALID FIN Approval - Internal</v>
          </cell>
          <cell r="D2344">
            <v>86</v>
          </cell>
          <cell r="E2344" t="str">
            <v>APPROVED</v>
          </cell>
          <cell r="F2344">
            <v>39721</v>
          </cell>
          <cell r="G2344">
            <v>40693</v>
          </cell>
          <cell r="H2344">
            <v>197425.34</v>
          </cell>
          <cell r="I2344" t="str">
            <v>FIN Submission</v>
          </cell>
          <cell r="J2344">
            <v>42418</v>
          </cell>
        </row>
        <row r="2345">
          <cell r="A2345" t="str">
            <v>40285-T677</v>
          </cell>
          <cell r="B2345" t="str">
            <v>2011 Trans Subst Insulator &amp; Cutout</v>
          </cell>
          <cell r="C2345" t="str">
            <v>FIN Approval - Internal</v>
          </cell>
          <cell r="D2345">
            <v>87</v>
          </cell>
          <cell r="E2345" t="str">
            <v>APPROVED</v>
          </cell>
          <cell r="F2345">
            <v>40908</v>
          </cell>
          <cell r="G2345">
            <v>42308</v>
          </cell>
          <cell r="H2345">
            <v>878370.09</v>
          </cell>
          <cell r="I2345" t="str">
            <v>FIN Submission</v>
          </cell>
          <cell r="J2345">
            <v>42418</v>
          </cell>
        </row>
        <row r="2346">
          <cell r="A2346" t="str">
            <v>38732-T650</v>
          </cell>
          <cell r="B2346" t="str">
            <v>1H Water St Replace 138 kV GIS</v>
          </cell>
          <cell r="C2346" t="str">
            <v>zINVALID FIN Approval - External</v>
          </cell>
          <cell r="D2346">
            <v>88</v>
          </cell>
          <cell r="E2346" t="str">
            <v>APPROVED</v>
          </cell>
          <cell r="F2346">
            <v>40695</v>
          </cell>
          <cell r="G2346">
            <v>41182</v>
          </cell>
          <cell r="H2346">
            <v>8584762.1899999995</v>
          </cell>
          <cell r="I2346" t="str">
            <v>FIN Submission</v>
          </cell>
          <cell r="J2346">
            <v>42418</v>
          </cell>
        </row>
        <row r="2347">
          <cell r="A2347" t="str">
            <v>40287-T654</v>
          </cell>
          <cell r="B2347" t="str">
            <v>Substation Recloser Replacement</v>
          </cell>
          <cell r="C2347" t="str">
            <v>FIN Approval - External</v>
          </cell>
          <cell r="D2347">
            <v>88</v>
          </cell>
          <cell r="E2347" t="str">
            <v>APPROVED</v>
          </cell>
          <cell r="F2347">
            <v>40819</v>
          </cell>
          <cell r="G2347">
            <v>41485</v>
          </cell>
          <cell r="H2347">
            <v>4114179.9</v>
          </cell>
          <cell r="I2347" t="str">
            <v>FIN Submission</v>
          </cell>
          <cell r="J2347">
            <v>42418</v>
          </cell>
        </row>
        <row r="2348">
          <cell r="A2348" t="str">
            <v>39783-S742</v>
          </cell>
          <cell r="B2348" t="str">
            <v>TUC - UU Security System Upgrade</v>
          </cell>
          <cell r="C2348" t="str">
            <v>FIN Approval - Internal</v>
          </cell>
          <cell r="D2348">
            <v>89</v>
          </cell>
          <cell r="E2348" t="str">
            <v>APPROVED</v>
          </cell>
          <cell r="F2348">
            <v>41274</v>
          </cell>
          <cell r="G2348">
            <v>42216</v>
          </cell>
          <cell r="H2348">
            <v>393538.43</v>
          </cell>
          <cell r="I2348" t="str">
            <v>FIN Submission</v>
          </cell>
          <cell r="J2348">
            <v>42418</v>
          </cell>
        </row>
        <row r="2349">
          <cell r="A2349" t="str">
            <v>40326-S864</v>
          </cell>
          <cell r="B2349" t="str">
            <v>TUC- Unit 3 H2 Dryer Replacement</v>
          </cell>
          <cell r="C2349" t="str">
            <v>FIN Approval - Internal</v>
          </cell>
          <cell r="D2349">
            <v>98</v>
          </cell>
          <cell r="E2349" t="str">
            <v>APPROVED</v>
          </cell>
          <cell r="F2349">
            <v>41133</v>
          </cell>
          <cell r="G2349">
            <v>42247</v>
          </cell>
          <cell r="H2349">
            <v>139297.72</v>
          </cell>
          <cell r="I2349" t="str">
            <v>FIN Submission</v>
          </cell>
          <cell r="J2349">
            <v>42418</v>
          </cell>
        </row>
        <row r="2350">
          <cell r="A2350" t="str">
            <v>39954-S828</v>
          </cell>
          <cell r="B2350" t="str">
            <v>TRE5 - 5C Conveyor Belt Replacement</v>
          </cell>
          <cell r="C2350" t="str">
            <v>FIN Approval - Internal</v>
          </cell>
          <cell r="D2350">
            <v>101</v>
          </cell>
          <cell r="E2350" t="str">
            <v>APPROVED</v>
          </cell>
          <cell r="F2350">
            <v>41654</v>
          </cell>
          <cell r="G2350">
            <v>41790</v>
          </cell>
          <cell r="H2350">
            <v>31520.16</v>
          </cell>
          <cell r="I2350" t="str">
            <v>FIN Submission</v>
          </cell>
          <cell r="J2350">
            <v>42418</v>
          </cell>
        </row>
        <row r="2351">
          <cell r="A2351" t="str">
            <v>39281-D282</v>
          </cell>
          <cell r="B2351" t="str">
            <v>2010 Central St Light &amp; Serv. Work</v>
          </cell>
          <cell r="C2351" t="str">
            <v>FIN Approval - Internal</v>
          </cell>
          <cell r="D2351">
            <v>102</v>
          </cell>
          <cell r="E2351" t="str">
            <v>APPROVED</v>
          </cell>
          <cell r="F2351">
            <v>40543</v>
          </cell>
          <cell r="G2351">
            <v>42138</v>
          </cell>
          <cell r="H2351">
            <v>891166.74</v>
          </cell>
          <cell r="I2351" t="str">
            <v>FIN Submission</v>
          </cell>
          <cell r="J2351">
            <v>42418</v>
          </cell>
        </row>
        <row r="2352">
          <cell r="A2352" t="str">
            <v>40261-P850</v>
          </cell>
          <cell r="B2352" t="str">
            <v>Newtonville Radio Sys. Replacement</v>
          </cell>
          <cell r="C2352" t="str">
            <v>FIN Approval - Internal</v>
          </cell>
          <cell r="D2352">
            <v>104</v>
          </cell>
          <cell r="E2352" t="str">
            <v>APPROVED</v>
          </cell>
          <cell r="F2352">
            <v>41810</v>
          </cell>
          <cell r="G2352">
            <v>42155</v>
          </cell>
          <cell r="H2352">
            <v>338498.27</v>
          </cell>
          <cell r="I2352" t="str">
            <v>FIN Submission</v>
          </cell>
          <cell r="J2352">
            <v>42418</v>
          </cell>
        </row>
        <row r="2353">
          <cell r="A2353" t="str">
            <v>38904-H584</v>
          </cell>
          <cell r="B2353" t="str">
            <v>Fall Protection - Wreck Cove</v>
          </cell>
          <cell r="C2353" t="str">
            <v>FIN Approval - Internal</v>
          </cell>
          <cell r="D2353">
            <v>105</v>
          </cell>
          <cell r="E2353" t="str">
            <v>APPROVED</v>
          </cell>
          <cell r="F2353">
            <v>40542</v>
          </cell>
          <cell r="G2353">
            <v>40967</v>
          </cell>
          <cell r="H2353">
            <v>62251.24</v>
          </cell>
          <cell r="I2353" t="str">
            <v>FIN Submission</v>
          </cell>
          <cell r="J2353">
            <v>42418</v>
          </cell>
        </row>
        <row r="2354">
          <cell r="A2354" t="str">
            <v>37824-SA76</v>
          </cell>
          <cell r="B2354" t="str">
            <v>TRE5 UU Common Water Pipe Replaceme</v>
          </cell>
          <cell r="C2354" t="str">
            <v>FIN Approval - Internal</v>
          </cell>
          <cell r="D2354">
            <v>106</v>
          </cell>
          <cell r="E2354" t="str">
            <v>APPROVED</v>
          </cell>
          <cell r="F2354">
            <v>41379</v>
          </cell>
          <cell r="G2354">
            <v>41562</v>
          </cell>
          <cell r="H2354">
            <v>132108.46</v>
          </cell>
          <cell r="I2354" t="str">
            <v>FIN Submission</v>
          </cell>
          <cell r="J2354">
            <v>42418</v>
          </cell>
        </row>
        <row r="2355">
          <cell r="A2355" t="str">
            <v>37943-S563</v>
          </cell>
          <cell r="B2355" t="str">
            <v>TUC - Replace High Cycle Valves</v>
          </cell>
          <cell r="C2355" t="str">
            <v>FIN Approval - Internal</v>
          </cell>
          <cell r="D2355">
            <v>106</v>
          </cell>
          <cell r="E2355" t="str">
            <v>APPROVED</v>
          </cell>
          <cell r="F2355">
            <v>40907</v>
          </cell>
          <cell r="G2355">
            <v>42185</v>
          </cell>
          <cell r="H2355">
            <v>125483.85</v>
          </cell>
          <cell r="I2355" t="str">
            <v>FIN Submission</v>
          </cell>
          <cell r="J2355">
            <v>42418</v>
          </cell>
        </row>
        <row r="2356">
          <cell r="A2356" t="str">
            <v>32703-H569</v>
          </cell>
          <cell r="B2356" t="str">
            <v>HYD Paradise Access Road Culvert</v>
          </cell>
          <cell r="C2356" t="str">
            <v>zINVALID FIN Approval - Internal</v>
          </cell>
          <cell r="D2356">
            <v>118</v>
          </cell>
          <cell r="E2356" t="str">
            <v>APPROVED</v>
          </cell>
          <cell r="F2356">
            <v>40086</v>
          </cell>
          <cell r="G2356">
            <v>40846</v>
          </cell>
          <cell r="H2356">
            <v>92952.04</v>
          </cell>
          <cell r="I2356" t="str">
            <v/>
          </cell>
          <cell r="J2356">
            <v>42418</v>
          </cell>
        </row>
        <row r="2357">
          <cell r="A2357" t="str">
            <v>32824-S631</v>
          </cell>
          <cell r="B2357" t="str">
            <v xml:space="preserve">TUC - Piping Replacement </v>
          </cell>
          <cell r="C2357" t="str">
            <v>FIN Approval - Internal</v>
          </cell>
          <cell r="D2357">
            <v>123</v>
          </cell>
          <cell r="E2357" t="str">
            <v>APPROVED</v>
          </cell>
          <cell r="F2357">
            <v>40542</v>
          </cell>
          <cell r="G2357">
            <v>42185</v>
          </cell>
          <cell r="H2357">
            <v>97148.91</v>
          </cell>
          <cell r="I2357" t="str">
            <v>FIN Submission</v>
          </cell>
          <cell r="J2357">
            <v>42418</v>
          </cell>
        </row>
        <row r="2358">
          <cell r="A2358" t="str">
            <v>17653-H663</v>
          </cell>
          <cell r="B2358" t="str">
            <v>HYD - Uniacke Lake Dam Removal</v>
          </cell>
          <cell r="C2358" t="str">
            <v>zINVALID FIN Approval - Internal</v>
          </cell>
          <cell r="D2358">
            <v>129</v>
          </cell>
          <cell r="E2358" t="str">
            <v>APPROVED</v>
          </cell>
          <cell r="F2358">
            <v>41182</v>
          </cell>
          <cell r="G2358">
            <v>41547</v>
          </cell>
          <cell r="H2358">
            <v>28525.87</v>
          </cell>
          <cell r="I2358" t="str">
            <v/>
          </cell>
          <cell r="J2358">
            <v>42418</v>
          </cell>
        </row>
        <row r="2359">
          <cell r="A2359" t="str">
            <v>28853-S357</v>
          </cell>
          <cell r="B2359" t="str">
            <v>TRE Storm Drainage Improvements</v>
          </cell>
          <cell r="C2359" t="str">
            <v>FIN Approval - Internal</v>
          </cell>
          <cell r="D2359">
            <v>136</v>
          </cell>
          <cell r="E2359" t="str">
            <v>APPROVED</v>
          </cell>
          <cell r="F2359">
            <v>41136</v>
          </cell>
          <cell r="G2359">
            <v>41532</v>
          </cell>
          <cell r="H2359">
            <v>145923.88</v>
          </cell>
          <cell r="I2359" t="str">
            <v>FIN Submission</v>
          </cell>
          <cell r="J2359">
            <v>42418</v>
          </cell>
        </row>
        <row r="2360">
          <cell r="A2360" t="str">
            <v>25575-D426</v>
          </cell>
          <cell r="B2360" t="str">
            <v>Reliability Keltic Drive New Feeder</v>
          </cell>
          <cell r="C2360" t="str">
            <v>FIN Approval - Internal</v>
          </cell>
          <cell r="D2360">
            <v>158</v>
          </cell>
          <cell r="E2360" t="str">
            <v>APPROVED</v>
          </cell>
          <cell r="F2360">
            <v>41060</v>
          </cell>
          <cell r="G2360">
            <v>42094</v>
          </cell>
          <cell r="H2360">
            <v>1660864.18</v>
          </cell>
          <cell r="I2360" t="str">
            <v>FIN Submission</v>
          </cell>
          <cell r="J2360">
            <v>42418</v>
          </cell>
        </row>
        <row r="2361">
          <cell r="A2361" t="str">
            <v>42868-H652</v>
          </cell>
          <cell r="B2361" t="str">
            <v>HYD - U&amp;U Jordan Lake Diversion</v>
          </cell>
          <cell r="C2361" t="str">
            <v>FIN Approval - Internal</v>
          </cell>
          <cell r="D2361">
            <v>37</v>
          </cell>
          <cell r="E2361" t="str">
            <v>APPROVED</v>
          </cell>
          <cell r="F2361">
            <v>41517</v>
          </cell>
          <cell r="G2361">
            <v>41517</v>
          </cell>
          <cell r="H2361">
            <v>568685.68000000005</v>
          </cell>
          <cell r="I2361" t="str">
            <v>FIN Submission</v>
          </cell>
          <cell r="J2361">
            <v>42111</v>
          </cell>
        </row>
        <row r="2362">
          <cell r="A2362" t="str">
            <v>40727-T660</v>
          </cell>
          <cell r="B2362" t="str">
            <v>L7002 Upgrade</v>
          </cell>
          <cell r="C2362" t="str">
            <v>FIN Approval - Internal</v>
          </cell>
          <cell r="D2362">
            <v>47</v>
          </cell>
          <cell r="E2362" t="str">
            <v>APPROVED</v>
          </cell>
          <cell r="F2362">
            <v>40749</v>
          </cell>
          <cell r="G2362">
            <v>41182</v>
          </cell>
          <cell r="H2362">
            <v>271226.78999999998</v>
          </cell>
          <cell r="I2362" t="str">
            <v>FIN Submission</v>
          </cell>
          <cell r="J2362">
            <v>42111</v>
          </cell>
        </row>
        <row r="2363">
          <cell r="A2363" t="str">
            <v>41143-H645</v>
          </cell>
          <cell r="B2363" t="str">
            <v>HYD -Tidewater Surge Tank Refurbish</v>
          </cell>
          <cell r="C2363" t="str">
            <v>FIN Approval - Internal</v>
          </cell>
          <cell r="D2363">
            <v>63</v>
          </cell>
          <cell r="E2363" t="str">
            <v>APPROVED</v>
          </cell>
          <cell r="F2363">
            <v>41244</v>
          </cell>
          <cell r="G2363">
            <v>41639</v>
          </cell>
          <cell r="H2363">
            <v>1080794.71</v>
          </cell>
          <cell r="I2363" t="str">
            <v>FIN Submission</v>
          </cell>
          <cell r="J2363">
            <v>42111</v>
          </cell>
        </row>
        <row r="2364">
          <cell r="A2364" t="str">
            <v>41109-H618</v>
          </cell>
          <cell r="B2364" t="str">
            <v>HYD-U&amp;U Wreck Cove Culvert Replace</v>
          </cell>
          <cell r="C2364" t="str">
            <v>FIN Approval - Internal</v>
          </cell>
          <cell r="D2364">
            <v>67</v>
          </cell>
          <cell r="E2364" t="str">
            <v>APPROVED</v>
          </cell>
          <cell r="F2364">
            <v>40872</v>
          </cell>
          <cell r="G2364">
            <v>41389</v>
          </cell>
          <cell r="H2364">
            <v>357242.68</v>
          </cell>
          <cell r="I2364" t="str">
            <v>FIN Submission</v>
          </cell>
          <cell r="J2364">
            <v>42111</v>
          </cell>
        </row>
        <row r="2365">
          <cell r="A2365" t="str">
            <v>40663-D346</v>
          </cell>
          <cell r="B2365" t="str">
            <v>1C-411 Port Hawkesbury Deter. Plant</v>
          </cell>
          <cell r="C2365" t="str">
            <v>FIN Approval - Internal</v>
          </cell>
          <cell r="D2365">
            <v>73</v>
          </cell>
          <cell r="E2365" t="str">
            <v>APPROVED</v>
          </cell>
          <cell r="F2365">
            <v>40779</v>
          </cell>
          <cell r="G2365">
            <v>42094</v>
          </cell>
          <cell r="H2365">
            <v>148484.46</v>
          </cell>
          <cell r="I2365" t="str">
            <v>FIN Submission</v>
          </cell>
          <cell r="J2365">
            <v>42111</v>
          </cell>
        </row>
        <row r="2366">
          <cell r="A2366" t="str">
            <v>40257-D323</v>
          </cell>
          <cell r="B2366" t="str">
            <v>Spiddle Hill Wind Turbine</v>
          </cell>
          <cell r="C2366" t="str">
            <v>FIN Approval - Internal</v>
          </cell>
          <cell r="D2366">
            <v>80</v>
          </cell>
          <cell r="E2366" t="str">
            <v>APPROVED</v>
          </cell>
          <cell r="F2366">
            <v>40844</v>
          </cell>
          <cell r="G2366">
            <v>41758</v>
          </cell>
          <cell r="H2366">
            <v>7.79</v>
          </cell>
          <cell r="I2366" t="str">
            <v>FIN Submission</v>
          </cell>
          <cell r="J2366">
            <v>42111</v>
          </cell>
        </row>
        <row r="2367">
          <cell r="A2367" t="str">
            <v>40058-D320</v>
          </cell>
          <cell r="B2367" t="str">
            <v>WATTS SECTION WIND TURBINE</v>
          </cell>
          <cell r="C2367" t="str">
            <v>FIN Approval - Internal</v>
          </cell>
          <cell r="D2367">
            <v>83</v>
          </cell>
          <cell r="E2367" t="str">
            <v>APPROVED</v>
          </cell>
          <cell r="F2367">
            <v>40602</v>
          </cell>
          <cell r="G2367">
            <v>41027</v>
          </cell>
          <cell r="H2367">
            <v>3267.39</v>
          </cell>
          <cell r="I2367" t="str">
            <v>FIN Submission</v>
          </cell>
          <cell r="J2367">
            <v>42111</v>
          </cell>
        </row>
        <row r="2368">
          <cell r="A2368" t="str">
            <v>40010-S681</v>
          </cell>
          <cell r="B2368" t="str">
            <v>CW intake modifications</v>
          </cell>
          <cell r="C2368" t="str">
            <v>FIN Approval - Internal</v>
          </cell>
          <cell r="D2368">
            <v>97</v>
          </cell>
          <cell r="E2368" t="str">
            <v>APPROVED</v>
          </cell>
          <cell r="F2368">
            <v>40563</v>
          </cell>
          <cell r="G2368">
            <v>42185</v>
          </cell>
          <cell r="H2368">
            <v>111741.44</v>
          </cell>
          <cell r="I2368" t="str">
            <v>FIN Submission</v>
          </cell>
          <cell r="J2368">
            <v>42111</v>
          </cell>
        </row>
        <row r="2369">
          <cell r="A2369" t="str">
            <v>28259-H516</v>
          </cell>
          <cell r="B2369" t="str">
            <v>ROSEWAY TAINTOR GATE REFURBISHMENT</v>
          </cell>
          <cell r="C2369" t="str">
            <v>FIN Approval - Internal</v>
          </cell>
          <cell r="D2369">
            <v>104</v>
          </cell>
          <cell r="E2369" t="str">
            <v>APPROVED</v>
          </cell>
          <cell r="F2369">
            <v>40148</v>
          </cell>
          <cell r="G2369">
            <v>40542</v>
          </cell>
          <cell r="H2369">
            <v>497841.96</v>
          </cell>
          <cell r="I2369" t="str">
            <v>FIN Submission</v>
          </cell>
          <cell r="J2369">
            <v>42111</v>
          </cell>
        </row>
        <row r="2370">
          <cell r="A2370" t="str">
            <v>16496-H476</v>
          </cell>
          <cell r="B2370" t="str">
            <v>PAR ELECTRICAL REFURBISHMENT</v>
          </cell>
          <cell r="C2370" t="str">
            <v>FIN Approval - Internal</v>
          </cell>
          <cell r="D2370">
            <v>111</v>
          </cell>
          <cell r="E2370" t="str">
            <v>APPROVED</v>
          </cell>
          <cell r="F2370">
            <v>39084</v>
          </cell>
          <cell r="G2370">
            <v>40816</v>
          </cell>
          <cell r="H2370">
            <v>549967.43999999994</v>
          </cell>
          <cell r="I2370" t="str">
            <v>FIN Submission</v>
          </cell>
          <cell r="J2370">
            <v>42111</v>
          </cell>
        </row>
        <row r="2371">
          <cell r="A2371" t="str">
            <v>43121-SA82</v>
          </cell>
          <cell r="B2371" t="str">
            <v>TRE5 UU Turbine Repairs</v>
          </cell>
          <cell r="C2371" t="str">
            <v>FIN Approval - Internal</v>
          </cell>
          <cell r="D2371">
            <v>37</v>
          </cell>
          <cell r="E2371" t="str">
            <v>APPROVED</v>
          </cell>
          <cell r="F2371">
            <v>41197</v>
          </cell>
          <cell r="G2371">
            <v>41593</v>
          </cell>
          <cell r="H2371">
            <v>3373178.79</v>
          </cell>
          <cell r="I2371" t="str">
            <v>FIN Submission</v>
          </cell>
          <cell r="J2371">
            <v>42032</v>
          </cell>
        </row>
        <row r="2372">
          <cell r="A2372" t="str">
            <v>42066-D397</v>
          </cell>
          <cell r="B2372" t="str">
            <v>85S-401 Insulator Replacement</v>
          </cell>
          <cell r="C2372" t="str">
            <v>FIN Approval - Internal</v>
          </cell>
          <cell r="D2372">
            <v>39</v>
          </cell>
          <cell r="E2372" t="str">
            <v>APPROVED</v>
          </cell>
          <cell r="F2372">
            <v>41363</v>
          </cell>
          <cell r="G2372">
            <v>41973</v>
          </cell>
          <cell r="H2372">
            <v>932305.9</v>
          </cell>
          <cell r="I2372" t="str">
            <v>FIN Submission</v>
          </cell>
          <cell r="J2372">
            <v>42032</v>
          </cell>
        </row>
        <row r="2373">
          <cell r="A2373" t="str">
            <v>41348-T726</v>
          </cell>
          <cell r="B2373" t="str">
            <v>2012 Protection Upgrades Onslow</v>
          </cell>
          <cell r="C2373" t="str">
            <v>FIN Approval - Internal</v>
          </cell>
          <cell r="D2373">
            <v>59</v>
          </cell>
          <cell r="E2373" t="str">
            <v>APPROVED</v>
          </cell>
          <cell r="F2373">
            <v>41390</v>
          </cell>
          <cell r="G2373">
            <v>41670</v>
          </cell>
          <cell r="H2373">
            <v>2363221.7599999998</v>
          </cell>
          <cell r="I2373" t="str">
            <v>FIN Submission</v>
          </cell>
          <cell r="J2373">
            <v>42032</v>
          </cell>
        </row>
        <row r="2374">
          <cell r="A2374" t="str">
            <v>41549-SA29</v>
          </cell>
          <cell r="B2374" t="str">
            <v>TRE5- Main Steam Attemperator Repla</v>
          </cell>
          <cell r="C2374" t="str">
            <v>FIN Approval - Internal</v>
          </cell>
          <cell r="D2374">
            <v>60</v>
          </cell>
          <cell r="E2374" t="str">
            <v>APPROVED</v>
          </cell>
          <cell r="F2374">
            <v>41197</v>
          </cell>
          <cell r="G2374">
            <v>41258</v>
          </cell>
          <cell r="H2374">
            <v>481691.35</v>
          </cell>
          <cell r="I2374" t="str">
            <v>FIN Submission</v>
          </cell>
          <cell r="J2374">
            <v>42032</v>
          </cell>
        </row>
        <row r="2375">
          <cell r="A2375" t="str">
            <v>38163-SB70</v>
          </cell>
          <cell r="B2375" t="str">
            <v>TRE6 UU Pulverizer Refurbishments</v>
          </cell>
          <cell r="C2375" t="str">
            <v>FIN Approval - Internal</v>
          </cell>
          <cell r="D2375">
            <v>107</v>
          </cell>
          <cell r="E2375" t="str">
            <v>APPROVED</v>
          </cell>
          <cell r="F2375">
            <v>41470</v>
          </cell>
          <cell r="G2375">
            <v>41608</v>
          </cell>
          <cell r="H2375">
            <v>707081.43</v>
          </cell>
          <cell r="I2375" t="str">
            <v>FIN Submission</v>
          </cell>
          <cell r="J2375">
            <v>42032</v>
          </cell>
        </row>
        <row r="2376">
          <cell r="A2376" t="str">
            <v>28674-S931</v>
          </cell>
          <cell r="B2376" t="str">
            <v>TRE6 - Human Machine Interface (HMI</v>
          </cell>
          <cell r="C2376" t="str">
            <v>FIN Approval - Internal</v>
          </cell>
          <cell r="D2376">
            <v>136</v>
          </cell>
          <cell r="E2376" t="str">
            <v>APPROVED</v>
          </cell>
          <cell r="F2376">
            <v>41440</v>
          </cell>
          <cell r="G2376">
            <v>41593</v>
          </cell>
          <cell r="H2376">
            <v>780860.44</v>
          </cell>
          <cell r="I2376" t="str">
            <v>FIN Submission</v>
          </cell>
          <cell r="J2376">
            <v>42032</v>
          </cell>
        </row>
        <row r="2377">
          <cell r="A2377" t="str">
            <v>20560-P606</v>
          </cell>
          <cell r="B2377" t="str">
            <v>MIL-HEAVY MTNCE DOORS</v>
          </cell>
          <cell r="C2377" t="str">
            <v>FIN Approval - Internal</v>
          </cell>
          <cell r="D2377">
            <v>7</v>
          </cell>
          <cell r="E2377" t="str">
            <v>APPROVED</v>
          </cell>
          <cell r="F2377">
            <v>39051</v>
          </cell>
          <cell r="G2377">
            <v>39113</v>
          </cell>
          <cell r="H2377">
            <v>20586.490000000002</v>
          </cell>
          <cell r="I2377" t="str">
            <v>FIN Submission</v>
          </cell>
          <cell r="J2377">
            <v>41996</v>
          </cell>
        </row>
        <row r="2378">
          <cell r="A2378" t="str">
            <v>41234-SA56</v>
          </cell>
          <cell r="B2378" t="str">
            <v>LIN4 Boiler Refurbishment</v>
          </cell>
          <cell r="C2378" t="str">
            <v>zINVALID FIN Approval - Internal</v>
          </cell>
          <cell r="D2378">
            <v>58</v>
          </cell>
          <cell r="E2378" t="str">
            <v>APPROVED</v>
          </cell>
          <cell r="F2378">
            <v>41230</v>
          </cell>
          <cell r="G2378">
            <v>41394</v>
          </cell>
          <cell r="H2378">
            <v>414792.39</v>
          </cell>
          <cell r="I2378" t="str">
            <v>FIN Submission</v>
          </cell>
          <cell r="J2378">
            <v>41984</v>
          </cell>
        </row>
        <row r="2379">
          <cell r="A2379" t="str">
            <v>30744-S888</v>
          </cell>
          <cell r="B2379" t="str">
            <v xml:space="preserve">LIN Feedwater Valves </v>
          </cell>
          <cell r="C2379" t="str">
            <v>zINVALID FIN Approval - Internal</v>
          </cell>
          <cell r="D2379">
            <v>116</v>
          </cell>
          <cell r="E2379" t="str">
            <v>APPROVED</v>
          </cell>
          <cell r="F2379">
            <v>41212</v>
          </cell>
          <cell r="G2379">
            <v>41273</v>
          </cell>
          <cell r="H2379">
            <v>63139.14</v>
          </cell>
          <cell r="I2379" t="str">
            <v>FIN Submission</v>
          </cell>
          <cell r="J2379">
            <v>41984</v>
          </cell>
        </row>
        <row r="2380">
          <cell r="A2380" t="str">
            <v>40235-S705</v>
          </cell>
          <cell r="B2380" t="str">
            <v>LIN 4160V Motor Refurbishment</v>
          </cell>
          <cell r="C2380" t="str">
            <v>zINVALID FIN Approval - Internal</v>
          </cell>
          <cell r="D2380">
            <v>77</v>
          </cell>
          <cell r="E2380" t="str">
            <v>APPROVED</v>
          </cell>
          <cell r="F2380">
            <v>40901</v>
          </cell>
          <cell r="G2380">
            <v>41114</v>
          </cell>
          <cell r="H2380">
            <v>106591.07</v>
          </cell>
          <cell r="I2380" t="str">
            <v>FIN Submission</v>
          </cell>
          <cell r="J2380">
            <v>41983</v>
          </cell>
        </row>
        <row r="2381">
          <cell r="A2381" t="str">
            <v>39940-S900</v>
          </cell>
          <cell r="B2381" t="str">
            <v>TRE5 - Bottom Ash Refurbishment</v>
          </cell>
          <cell r="C2381" t="str">
            <v>zINVALID FIN Approval - Internal</v>
          </cell>
          <cell r="D2381">
            <v>78</v>
          </cell>
          <cell r="E2381" t="str">
            <v>APPROVED</v>
          </cell>
          <cell r="F2381">
            <v>41228</v>
          </cell>
          <cell r="G2381">
            <v>41532</v>
          </cell>
          <cell r="H2381">
            <v>209768.03</v>
          </cell>
          <cell r="I2381" t="str">
            <v>FIN Submission</v>
          </cell>
          <cell r="J2381">
            <v>41983</v>
          </cell>
        </row>
        <row r="2382">
          <cell r="A2382" t="str">
            <v>12138-T259</v>
          </cell>
          <cell r="B2382" t="str">
            <v>L6517 AND L6518 PT. HASTINGS TO PT.</v>
          </cell>
          <cell r="C2382" t="str">
            <v>FIN Approval - Internal</v>
          </cell>
          <cell r="D2382">
            <v>6</v>
          </cell>
          <cell r="E2382" t="str">
            <v>APPROVED</v>
          </cell>
          <cell r="F2382">
            <v>35581</v>
          </cell>
          <cell r="G2382">
            <v>39325</v>
          </cell>
          <cell r="H2382">
            <v>120796.09</v>
          </cell>
          <cell r="I2382" t="str">
            <v>FIN Submission</v>
          </cell>
          <cell r="J2382">
            <v>41968</v>
          </cell>
        </row>
        <row r="2383">
          <cell r="A2383" t="str">
            <v>22131-T447</v>
          </cell>
          <cell r="B2383" t="str">
            <v>REWIND 4P-MS MOBILE TRANSFORMER</v>
          </cell>
          <cell r="C2383" t="str">
            <v>zINVALID FIN Approval - Internal</v>
          </cell>
          <cell r="D2383">
            <v>79</v>
          </cell>
          <cell r="E2383" t="str">
            <v>APPROVED</v>
          </cell>
          <cell r="F2383">
            <v>38134</v>
          </cell>
          <cell r="G2383">
            <v>41452</v>
          </cell>
          <cell r="H2383">
            <v>407325.51</v>
          </cell>
          <cell r="I2383" t="str">
            <v>FIN Submission</v>
          </cell>
          <cell r="J2383">
            <v>41968</v>
          </cell>
        </row>
        <row r="2384">
          <cell r="A2384" t="str">
            <v>38852-P872</v>
          </cell>
          <cell r="B2384" t="str">
            <v>Work Vehicle Replacement</v>
          </cell>
          <cell r="C2384" t="str">
            <v>FIN Approval - Internal</v>
          </cell>
          <cell r="D2384">
            <v>79</v>
          </cell>
          <cell r="E2384" t="str">
            <v>APPROVED</v>
          </cell>
          <cell r="F2384">
            <v>40694</v>
          </cell>
          <cell r="G2384">
            <v>41182</v>
          </cell>
          <cell r="H2384">
            <v>6061709.2300000004</v>
          </cell>
          <cell r="I2384" t="str">
            <v>FIN Submission</v>
          </cell>
          <cell r="J2384">
            <v>41968</v>
          </cell>
        </row>
        <row r="2385">
          <cell r="A2385" t="str">
            <v>40227-D356</v>
          </cell>
          <cell r="B2385" t="str">
            <v>2011 Off Road to Roadside</v>
          </cell>
          <cell r="C2385" t="str">
            <v>zINVALID FIN Approval - Internal</v>
          </cell>
          <cell r="D2385">
            <v>81</v>
          </cell>
          <cell r="E2385" t="str">
            <v>APPROVED</v>
          </cell>
          <cell r="F2385">
            <v>40908</v>
          </cell>
          <cell r="G2385">
            <v>41608</v>
          </cell>
          <cell r="H2385">
            <v>2276117.63</v>
          </cell>
          <cell r="I2385" t="str">
            <v>FIN Submission</v>
          </cell>
          <cell r="J2385">
            <v>41968</v>
          </cell>
        </row>
        <row r="2386">
          <cell r="A2386" t="str">
            <v>43010-SA61</v>
          </cell>
          <cell r="B2386" t="str">
            <v xml:space="preserve">LIN2 U&amp;U Turbine L-0 Pins </v>
          </cell>
          <cell r="C2386" t="str">
            <v>zINVALID FIN Approval - Internal</v>
          </cell>
          <cell r="D2386">
            <v>27</v>
          </cell>
          <cell r="E2386" t="str">
            <v>APPROVED</v>
          </cell>
          <cell r="F2386">
            <v>41150</v>
          </cell>
          <cell r="G2386">
            <v>41330</v>
          </cell>
          <cell r="H2386">
            <v>172714.93</v>
          </cell>
          <cell r="I2386" t="str">
            <v>FIN Submission</v>
          </cell>
          <cell r="J2386">
            <v>41964</v>
          </cell>
        </row>
        <row r="2387">
          <cell r="A2387" t="str">
            <v>43196-D461</v>
          </cell>
          <cell r="B2387" t="str">
            <v>U&amp;U 4N-312 Tamagouche ICP</v>
          </cell>
          <cell r="C2387" t="str">
            <v>zINVALID FIN Approval - Internal</v>
          </cell>
          <cell r="D2387">
            <v>27</v>
          </cell>
          <cell r="E2387" t="str">
            <v>APPROVED</v>
          </cell>
          <cell r="F2387">
            <v>41261</v>
          </cell>
          <cell r="G2387">
            <v>41363</v>
          </cell>
          <cell r="H2387">
            <v>62553.279999999999</v>
          </cell>
          <cell r="I2387" t="str">
            <v>FIN Submission</v>
          </cell>
          <cell r="J2387">
            <v>41964</v>
          </cell>
        </row>
        <row r="2388">
          <cell r="A2388" t="str">
            <v>43197-D462</v>
          </cell>
          <cell r="B2388" t="str">
            <v>U&amp;U 62N-413 Stellarton ICP</v>
          </cell>
          <cell r="C2388" t="str">
            <v>zINVALID FIN Approval - Internal</v>
          </cell>
          <cell r="D2388">
            <v>27</v>
          </cell>
          <cell r="E2388" t="str">
            <v>APPROVED</v>
          </cell>
          <cell r="F2388">
            <v>41261</v>
          </cell>
          <cell r="G2388">
            <v>41455</v>
          </cell>
          <cell r="H2388">
            <v>123466.21</v>
          </cell>
          <cell r="I2388" t="str">
            <v>FIN Submission</v>
          </cell>
          <cell r="J2388">
            <v>41964</v>
          </cell>
        </row>
        <row r="2389">
          <cell r="A2389" t="str">
            <v>42546-P892</v>
          </cell>
          <cell r="B2389" t="str">
            <v>Lin UU Coal Pile Reclaim Markers</v>
          </cell>
          <cell r="C2389" t="str">
            <v>zINVALID FIN Approval - Internal</v>
          </cell>
          <cell r="D2389">
            <v>31</v>
          </cell>
          <cell r="E2389" t="str">
            <v>APPROVED</v>
          </cell>
          <cell r="F2389">
            <v>41240</v>
          </cell>
          <cell r="G2389">
            <v>41421</v>
          </cell>
          <cell r="H2389">
            <v>610603.78</v>
          </cell>
          <cell r="I2389" t="str">
            <v>FIN Submission</v>
          </cell>
          <cell r="J2389">
            <v>41964</v>
          </cell>
        </row>
        <row r="2390">
          <cell r="A2390" t="str">
            <v>40906-D364</v>
          </cell>
          <cell r="B2390" t="str">
            <v>U&amp;U Automatic Sleeve Replacement</v>
          </cell>
          <cell r="C2390" t="str">
            <v>FIN Approval - Internal</v>
          </cell>
          <cell r="D2390">
            <v>41</v>
          </cell>
          <cell r="E2390" t="str">
            <v>APPROVED</v>
          </cell>
          <cell r="F2390">
            <v>40747</v>
          </cell>
          <cell r="G2390">
            <v>41153</v>
          </cell>
          <cell r="H2390">
            <v>287402.15000000002</v>
          </cell>
          <cell r="I2390" t="str">
            <v>FIN Submission</v>
          </cell>
          <cell r="J2390">
            <v>41964</v>
          </cell>
        </row>
        <row r="2391">
          <cell r="A2391" t="str">
            <v>40722-T655</v>
          </cell>
          <cell r="B2391" t="str">
            <v>L5028 Upgrade</v>
          </cell>
          <cell r="C2391" t="str">
            <v>FIN Approval - Internal</v>
          </cell>
          <cell r="D2391">
            <v>47</v>
          </cell>
          <cell r="E2391" t="str">
            <v>APPROVED</v>
          </cell>
          <cell r="F2391">
            <v>40719</v>
          </cell>
          <cell r="G2391">
            <v>41085</v>
          </cell>
          <cell r="H2391">
            <v>283944.99</v>
          </cell>
          <cell r="I2391" t="str">
            <v>FIN Submission</v>
          </cell>
          <cell r="J2391">
            <v>41964</v>
          </cell>
        </row>
        <row r="2392">
          <cell r="A2392" t="str">
            <v>40728-T661</v>
          </cell>
          <cell r="B2392" t="str">
            <v>L6515 Upgrade</v>
          </cell>
          <cell r="C2392" t="str">
            <v>FIN Approval - Internal</v>
          </cell>
          <cell r="D2392">
            <v>47</v>
          </cell>
          <cell r="E2392" t="str">
            <v>APPROVED</v>
          </cell>
          <cell r="F2392">
            <v>40811</v>
          </cell>
          <cell r="G2392">
            <v>41182</v>
          </cell>
          <cell r="H2392">
            <v>494165.46</v>
          </cell>
          <cell r="I2392" t="str">
            <v>FIN Submission</v>
          </cell>
          <cell r="J2392">
            <v>41964</v>
          </cell>
        </row>
        <row r="2393">
          <cell r="A2393" t="str">
            <v>40268-D331</v>
          </cell>
          <cell r="B2393" t="str">
            <v>22N-401 Targeted Replacements</v>
          </cell>
          <cell r="C2393" t="str">
            <v>FIN Approval - Internal</v>
          </cell>
          <cell r="D2393">
            <v>57</v>
          </cell>
          <cell r="E2393" t="str">
            <v>APPROVED</v>
          </cell>
          <cell r="F2393">
            <v>40907</v>
          </cell>
          <cell r="G2393">
            <v>41182</v>
          </cell>
          <cell r="H2393">
            <v>86767.92</v>
          </cell>
          <cell r="I2393" t="str">
            <v>FIN Submission</v>
          </cell>
          <cell r="J2393">
            <v>41964</v>
          </cell>
        </row>
        <row r="2394">
          <cell r="A2394" t="str">
            <v>40249-P848</v>
          </cell>
          <cell r="B2394" t="str">
            <v>New Chester Microwave Radio Link</v>
          </cell>
          <cell r="C2394" t="str">
            <v>FIN Approval - Internal</v>
          </cell>
          <cell r="D2394">
            <v>57</v>
          </cell>
          <cell r="E2394" t="str">
            <v>APPROVED</v>
          </cell>
          <cell r="F2394">
            <v>40908</v>
          </cell>
          <cell r="G2394">
            <v>41122</v>
          </cell>
          <cell r="H2394">
            <v>441557.36</v>
          </cell>
          <cell r="I2394" t="str">
            <v>FIN Submission</v>
          </cell>
          <cell r="J2394">
            <v>41964</v>
          </cell>
        </row>
        <row r="2395">
          <cell r="A2395" t="str">
            <v>41083-SA33</v>
          </cell>
          <cell r="B2395" t="str">
            <v>POA - Boiler Expansion Joint Replac</v>
          </cell>
          <cell r="C2395" t="str">
            <v>zINVALID FIN Approval - Internal</v>
          </cell>
          <cell r="D2395">
            <v>57</v>
          </cell>
          <cell r="E2395" t="str">
            <v>APPROVED</v>
          </cell>
          <cell r="F2395">
            <v>41213</v>
          </cell>
          <cell r="G2395">
            <v>41274</v>
          </cell>
          <cell r="H2395">
            <v>80312.37</v>
          </cell>
          <cell r="I2395" t="str">
            <v>FIN Submission</v>
          </cell>
          <cell r="J2395">
            <v>41964</v>
          </cell>
        </row>
        <row r="2396">
          <cell r="A2396" t="str">
            <v>40226-D366</v>
          </cell>
          <cell r="B2396" t="str">
            <v>Sluice Pt PH 3 Addition 102W-312</v>
          </cell>
          <cell r="C2396" t="str">
            <v>FIN Approval - Internal</v>
          </cell>
          <cell r="D2396">
            <v>57</v>
          </cell>
          <cell r="E2396" t="str">
            <v>APPROVED</v>
          </cell>
          <cell r="F2396">
            <v>40816</v>
          </cell>
          <cell r="G2396">
            <v>41119</v>
          </cell>
          <cell r="H2396">
            <v>385888.39</v>
          </cell>
          <cell r="I2396" t="str">
            <v>FIN Submission</v>
          </cell>
          <cell r="J2396">
            <v>41964</v>
          </cell>
        </row>
        <row r="2397">
          <cell r="A2397" t="str">
            <v>40425-T647</v>
          </cell>
          <cell r="B2397" t="str">
            <v>Kempt Road Transformer</v>
          </cell>
          <cell r="C2397" t="str">
            <v>FIN Approval - Internal</v>
          </cell>
          <cell r="D2397">
            <v>60</v>
          </cell>
          <cell r="E2397" t="str">
            <v>APPROVED</v>
          </cell>
          <cell r="F2397">
            <v>40907</v>
          </cell>
          <cell r="G2397">
            <v>41152</v>
          </cell>
          <cell r="H2397">
            <v>1050733.3899999999</v>
          </cell>
          <cell r="I2397" t="str">
            <v>FIN Submission</v>
          </cell>
          <cell r="J2397">
            <v>41964</v>
          </cell>
        </row>
        <row r="2398">
          <cell r="A2398" t="str">
            <v>40379-D382</v>
          </cell>
          <cell r="B2398" t="str">
            <v>Scotch Village Phase 2</v>
          </cell>
          <cell r="C2398" t="str">
            <v>FIN Approval - Internal</v>
          </cell>
          <cell r="D2398">
            <v>60</v>
          </cell>
          <cell r="E2398" t="str">
            <v>APPROVED</v>
          </cell>
          <cell r="F2398">
            <v>40908</v>
          </cell>
          <cell r="G2398">
            <v>41273</v>
          </cell>
          <cell r="H2398">
            <v>295344.88</v>
          </cell>
          <cell r="I2398" t="str">
            <v>FIN Submission</v>
          </cell>
          <cell r="J2398">
            <v>41964</v>
          </cell>
        </row>
        <row r="2399">
          <cell r="A2399" t="str">
            <v>40204-D342</v>
          </cell>
          <cell r="B2399" t="str">
            <v>Starr Street Rebuild</v>
          </cell>
          <cell r="C2399" t="str">
            <v>FIN Approval - Internal</v>
          </cell>
          <cell r="D2399">
            <v>61</v>
          </cell>
          <cell r="E2399" t="str">
            <v>APPROVED</v>
          </cell>
          <cell r="F2399">
            <v>40785</v>
          </cell>
          <cell r="G2399">
            <v>41181</v>
          </cell>
          <cell r="H2399">
            <v>700082.5</v>
          </cell>
          <cell r="I2399" t="str">
            <v>FIN Submission</v>
          </cell>
          <cell r="J2399">
            <v>41964</v>
          </cell>
        </row>
        <row r="2400">
          <cell r="A2400" t="str">
            <v>41421-P893</v>
          </cell>
          <cell r="B2400" t="str">
            <v>Telecom 48VDC Battery&amp;Charger Repl.</v>
          </cell>
          <cell r="C2400" t="str">
            <v>FIN Approval - Internal</v>
          </cell>
          <cell r="D2400">
            <v>62</v>
          </cell>
          <cell r="E2400" t="str">
            <v>APPROVED</v>
          </cell>
          <cell r="F2400">
            <v>41333</v>
          </cell>
          <cell r="G2400">
            <v>41669</v>
          </cell>
          <cell r="H2400">
            <v>130266.85</v>
          </cell>
          <cell r="I2400" t="str">
            <v>FIN Submission</v>
          </cell>
          <cell r="J2400">
            <v>41964</v>
          </cell>
        </row>
        <row r="2401">
          <cell r="A2401" t="str">
            <v>39277-D278</v>
          </cell>
          <cell r="B2401" t="str">
            <v>Scotch Village Phase 1</v>
          </cell>
          <cell r="C2401" t="str">
            <v>FIN Approval - Internal</v>
          </cell>
          <cell r="D2401">
            <v>75</v>
          </cell>
          <cell r="E2401" t="str">
            <v>APPROVED</v>
          </cell>
          <cell r="F2401">
            <v>40513</v>
          </cell>
          <cell r="G2401">
            <v>40877</v>
          </cell>
          <cell r="H2401">
            <v>441317.1</v>
          </cell>
          <cell r="I2401" t="str">
            <v>FIN Submission</v>
          </cell>
          <cell r="J2401">
            <v>41964</v>
          </cell>
        </row>
        <row r="2402">
          <cell r="A2402" t="str">
            <v>40286-P841</v>
          </cell>
          <cell r="B2402" t="str">
            <v>Dictaphone Replacement</v>
          </cell>
          <cell r="C2402" t="str">
            <v>zINVALID FIN Approval - Internal</v>
          </cell>
          <cell r="D2402">
            <v>77</v>
          </cell>
          <cell r="E2402" t="str">
            <v>APPROVED</v>
          </cell>
          <cell r="F2402">
            <v>41180</v>
          </cell>
          <cell r="G2402">
            <v>41210</v>
          </cell>
          <cell r="H2402">
            <v>73175.520000000004</v>
          </cell>
          <cell r="I2402" t="str">
            <v>FIN Submission</v>
          </cell>
          <cell r="J2402">
            <v>41964</v>
          </cell>
        </row>
        <row r="2403">
          <cell r="A2403" t="str">
            <v>38903-D301</v>
          </cell>
          <cell r="B2403" t="str">
            <v xml:space="preserve">Halifax UG Cable Replacement </v>
          </cell>
          <cell r="C2403" t="str">
            <v>FIN Approval - Internal</v>
          </cell>
          <cell r="D2403">
            <v>84</v>
          </cell>
          <cell r="E2403" t="str">
            <v>APPROVED</v>
          </cell>
          <cell r="F2403">
            <v>40543</v>
          </cell>
          <cell r="G2403">
            <v>40908</v>
          </cell>
          <cell r="H2403">
            <v>604612.71</v>
          </cell>
          <cell r="I2403" t="str">
            <v>FIN Submission</v>
          </cell>
          <cell r="J2403">
            <v>41964</v>
          </cell>
        </row>
        <row r="2404">
          <cell r="A2404" t="str">
            <v>38910-S537</v>
          </cell>
          <cell r="B2404" t="str">
            <v>LIN - Fall Protection</v>
          </cell>
          <cell r="C2404" t="str">
            <v>zINVALID FIN Approval - Internal</v>
          </cell>
          <cell r="D2404">
            <v>98</v>
          </cell>
          <cell r="E2404" t="str">
            <v>APPROVED</v>
          </cell>
          <cell r="F2404">
            <v>40542</v>
          </cell>
          <cell r="G2404">
            <v>40663</v>
          </cell>
          <cell r="H2404">
            <v>311934.05</v>
          </cell>
          <cell r="I2404" t="str">
            <v>FIN Submission</v>
          </cell>
          <cell r="J2404">
            <v>41964</v>
          </cell>
        </row>
        <row r="2405">
          <cell r="A2405" t="str">
            <v>38912-S538</v>
          </cell>
          <cell r="B2405" t="str">
            <v>POA - Fall Protection</v>
          </cell>
          <cell r="C2405" t="str">
            <v>zINVALID FIN Approval - Internal</v>
          </cell>
          <cell r="D2405">
            <v>99</v>
          </cell>
          <cell r="E2405" t="str">
            <v>APPROVED</v>
          </cell>
          <cell r="F2405">
            <v>40512</v>
          </cell>
          <cell r="G2405">
            <v>40996</v>
          </cell>
          <cell r="H2405">
            <v>79326.02</v>
          </cell>
          <cell r="I2405" t="str">
            <v>FIN Submission</v>
          </cell>
          <cell r="J2405">
            <v>41964</v>
          </cell>
        </row>
        <row r="2406">
          <cell r="A2406" t="str">
            <v>37922-S585</v>
          </cell>
          <cell r="B2406" t="str">
            <v>POA - NERC CIP Sercurity Upgrades</v>
          </cell>
          <cell r="C2406" t="str">
            <v>zINVALID FIN Approval - Internal</v>
          </cell>
          <cell r="D2406">
            <v>99</v>
          </cell>
          <cell r="E2406" t="str">
            <v>APPROVED</v>
          </cell>
          <cell r="F2406">
            <v>40513</v>
          </cell>
          <cell r="G2406">
            <v>40816</v>
          </cell>
          <cell r="H2406">
            <v>122912.84</v>
          </cell>
          <cell r="I2406" t="str">
            <v>FIN Submission</v>
          </cell>
          <cell r="J2406">
            <v>41964</v>
          </cell>
        </row>
        <row r="2407">
          <cell r="A2407" t="str">
            <v>37103-S591</v>
          </cell>
          <cell r="B2407" t="str">
            <v xml:space="preserve">LIN - Fire System Valve </v>
          </cell>
          <cell r="C2407" t="str">
            <v>zINVALID FIN Approval - Internal</v>
          </cell>
          <cell r="D2407">
            <v>102</v>
          </cell>
          <cell r="E2407" t="str">
            <v>APPROVED</v>
          </cell>
          <cell r="F2407">
            <v>40481</v>
          </cell>
          <cell r="G2407">
            <v>40599</v>
          </cell>
          <cell r="H2407">
            <v>111509.11</v>
          </cell>
          <cell r="I2407" t="str">
            <v>FIN Submission</v>
          </cell>
          <cell r="J2407">
            <v>41964</v>
          </cell>
        </row>
        <row r="2408">
          <cell r="A2408" t="str">
            <v>38937-S569</v>
          </cell>
          <cell r="B2408" t="str">
            <v>POT - HFO Dyke Enlargement</v>
          </cell>
          <cell r="C2408" t="str">
            <v>FIN Approval - Internal</v>
          </cell>
          <cell r="D2408">
            <v>103</v>
          </cell>
          <cell r="E2408" t="str">
            <v>APPROVED</v>
          </cell>
          <cell r="F2408">
            <v>40787</v>
          </cell>
          <cell r="G2408">
            <v>41985</v>
          </cell>
          <cell r="H2408">
            <v>176205.58</v>
          </cell>
          <cell r="I2408" t="str">
            <v>FIN Submission</v>
          </cell>
          <cell r="J2408">
            <v>41964</v>
          </cell>
        </row>
        <row r="2409">
          <cell r="A2409" t="str">
            <v>37502-S690</v>
          </cell>
          <cell r="B2409" t="str">
            <v>POA Truck Scale Electronics Replace</v>
          </cell>
          <cell r="C2409" t="str">
            <v>zINVALID FIN Approval - Internal</v>
          </cell>
          <cell r="D2409">
            <v>104</v>
          </cell>
          <cell r="E2409" t="str">
            <v>APPROVED</v>
          </cell>
          <cell r="F2409">
            <v>40632</v>
          </cell>
          <cell r="G2409">
            <v>40785</v>
          </cell>
          <cell r="H2409">
            <v>54639.59</v>
          </cell>
          <cell r="I2409" t="str">
            <v>FIN Submission</v>
          </cell>
          <cell r="J2409">
            <v>41964</v>
          </cell>
        </row>
        <row r="2410">
          <cell r="A2410" t="str">
            <v>36582-S687</v>
          </cell>
          <cell r="B2410" t="str">
            <v>POA General Access Improvement</v>
          </cell>
          <cell r="C2410" t="str">
            <v>zINVALID FIN Approval - Internal</v>
          </cell>
          <cell r="D2410">
            <v>105</v>
          </cell>
          <cell r="E2410" t="str">
            <v>APPROVED</v>
          </cell>
          <cell r="F2410">
            <v>40755</v>
          </cell>
          <cell r="G2410">
            <v>40908</v>
          </cell>
          <cell r="H2410">
            <v>99688.5</v>
          </cell>
          <cell r="I2410" t="str">
            <v>FIN Submission</v>
          </cell>
          <cell r="J2410">
            <v>41964</v>
          </cell>
        </row>
        <row r="2411">
          <cell r="A2411" t="str">
            <v>33683-S444</v>
          </cell>
          <cell r="B2411" t="str">
            <v>LIN NERC CIPS</v>
          </cell>
          <cell r="C2411" t="str">
            <v>zINVALID FIN Approval - Internal</v>
          </cell>
          <cell r="D2411">
            <v>115</v>
          </cell>
          <cell r="E2411" t="str">
            <v>APPROVED</v>
          </cell>
          <cell r="F2411">
            <v>40168</v>
          </cell>
          <cell r="G2411">
            <v>40632</v>
          </cell>
          <cell r="H2411">
            <v>169673.15</v>
          </cell>
          <cell r="I2411" t="str">
            <v>FIN Submission</v>
          </cell>
          <cell r="J2411">
            <v>41964</v>
          </cell>
        </row>
        <row r="2412">
          <cell r="A2412" t="str">
            <v>28887-S308</v>
          </cell>
          <cell r="B2412" t="str">
            <v>LIN- REPLACE WASTEWATER PUMPS</v>
          </cell>
          <cell r="C2412" t="str">
            <v>zINVALID FIN Approval - Internal</v>
          </cell>
          <cell r="D2412">
            <v>131</v>
          </cell>
          <cell r="E2412" t="str">
            <v>APPROVED</v>
          </cell>
          <cell r="F2412">
            <v>39752</v>
          </cell>
          <cell r="G2412">
            <v>40479</v>
          </cell>
          <cell r="H2412">
            <v>626908.6</v>
          </cell>
          <cell r="I2412" t="str">
            <v>FIN Submission</v>
          </cell>
          <cell r="J2412">
            <v>41964</v>
          </cell>
        </row>
        <row r="2413">
          <cell r="A2413" t="str">
            <v>25391-T683</v>
          </cell>
          <cell r="B2413" t="str">
            <v>25 kV Bus Keltic Dr</v>
          </cell>
          <cell r="C2413" t="str">
            <v>zINVALID FIN Approval - Internal</v>
          </cell>
          <cell r="D2413">
            <v>132</v>
          </cell>
          <cell r="E2413" t="str">
            <v>APPROVED</v>
          </cell>
          <cell r="F2413">
            <v>41182</v>
          </cell>
          <cell r="G2413">
            <v>41273</v>
          </cell>
          <cell r="H2413">
            <v>775762.01</v>
          </cell>
          <cell r="I2413" t="str">
            <v>FIN Submission</v>
          </cell>
          <cell r="J2413">
            <v>41964</v>
          </cell>
        </row>
        <row r="2414">
          <cell r="A2414" t="str">
            <v>44706-SC07</v>
          </cell>
          <cell r="B2414" t="str">
            <v>LIN - UU B Conveyor Replacement</v>
          </cell>
          <cell r="C2414" t="str">
            <v>zINVALID FIN Approval - Internal</v>
          </cell>
          <cell r="D2414">
            <v>11</v>
          </cell>
          <cell r="E2414" t="str">
            <v>APPROVED</v>
          </cell>
          <cell r="F2414">
            <v>41485</v>
          </cell>
          <cell r="G2414">
            <v>41547</v>
          </cell>
          <cell r="H2414">
            <v>46190.94</v>
          </cell>
          <cell r="I2414" t="str">
            <v>FIN Submission</v>
          </cell>
          <cell r="J2414">
            <v>41963</v>
          </cell>
        </row>
        <row r="2415">
          <cell r="A2415" t="str">
            <v>43099-SA73</v>
          </cell>
          <cell r="B2415" t="str">
            <v>POA - U&amp;U - 2A Belt Replacement</v>
          </cell>
          <cell r="C2415" t="str">
            <v>zINVALID FIN Approval - Internal</v>
          </cell>
          <cell r="D2415">
            <v>26</v>
          </cell>
          <cell r="E2415" t="str">
            <v>APPROVED</v>
          </cell>
          <cell r="F2415">
            <v>41182</v>
          </cell>
          <cell r="G2415">
            <v>41636</v>
          </cell>
          <cell r="H2415">
            <v>103033.44</v>
          </cell>
          <cell r="I2415" t="str">
            <v>FIN Submission</v>
          </cell>
          <cell r="J2415">
            <v>41963</v>
          </cell>
        </row>
        <row r="2416">
          <cell r="A2416" t="str">
            <v>43668-SC04</v>
          </cell>
          <cell r="B2416" t="str">
            <v>POA- U&amp;U - Stator End Winding Ref.</v>
          </cell>
          <cell r="C2416" t="str">
            <v>zINVALID FIN Approval - Internal</v>
          </cell>
          <cell r="D2416">
            <v>28</v>
          </cell>
          <cell r="E2416" t="str">
            <v>APPROVED</v>
          </cell>
          <cell r="F2416">
            <v>41197</v>
          </cell>
          <cell r="G2416">
            <v>41638</v>
          </cell>
          <cell r="H2416">
            <v>365945.17</v>
          </cell>
          <cell r="I2416" t="str">
            <v>FIN Submission</v>
          </cell>
          <cell r="J2416">
            <v>41963</v>
          </cell>
        </row>
        <row r="2417">
          <cell r="A2417" t="str">
            <v>43087-SA81</v>
          </cell>
          <cell r="B2417" t="str">
            <v>POA - U&amp;U - Generator Re-Wedge</v>
          </cell>
          <cell r="C2417" t="str">
            <v>zINVALID FIN Approval - Internal</v>
          </cell>
          <cell r="D2417">
            <v>30</v>
          </cell>
          <cell r="E2417" t="str">
            <v>APPROVED</v>
          </cell>
          <cell r="F2417">
            <v>41183</v>
          </cell>
          <cell r="G2417">
            <v>41638</v>
          </cell>
          <cell r="H2417">
            <v>425439.51</v>
          </cell>
          <cell r="I2417" t="str">
            <v>FIN Submission</v>
          </cell>
          <cell r="J2417">
            <v>41963</v>
          </cell>
        </row>
        <row r="2418">
          <cell r="A2418" t="str">
            <v>42787-SA31</v>
          </cell>
          <cell r="B2418" t="str">
            <v>POA - U&amp;U Generator Fan Blade Repl.</v>
          </cell>
          <cell r="C2418" t="str">
            <v>zINVALID FIN Approval - Internal</v>
          </cell>
          <cell r="D2418">
            <v>30</v>
          </cell>
          <cell r="E2418" t="str">
            <v>APPROVED</v>
          </cell>
          <cell r="F2418">
            <v>41152</v>
          </cell>
          <cell r="G2418">
            <v>41455</v>
          </cell>
          <cell r="H2418">
            <v>692546.61</v>
          </cell>
          <cell r="I2418" t="str">
            <v>FIN Submission</v>
          </cell>
          <cell r="J2418">
            <v>41963</v>
          </cell>
        </row>
        <row r="2419">
          <cell r="A2419" t="str">
            <v>41058-S890</v>
          </cell>
          <cell r="B2419" t="str">
            <v xml:space="preserve">POA - UU Coal Feeder/Fuel Handling </v>
          </cell>
          <cell r="C2419" t="str">
            <v>zINVALID FIN Approval - Internal</v>
          </cell>
          <cell r="D2419">
            <v>49</v>
          </cell>
          <cell r="E2419" t="str">
            <v>APPROVED</v>
          </cell>
          <cell r="F2419">
            <v>41213</v>
          </cell>
          <cell r="G2419">
            <v>41547</v>
          </cell>
          <cell r="H2419">
            <v>130391.84</v>
          </cell>
          <cell r="I2419" t="str">
            <v>FIN Submission</v>
          </cell>
          <cell r="J2419">
            <v>41963</v>
          </cell>
        </row>
        <row r="2420">
          <cell r="A2420" t="str">
            <v>41566-S909</v>
          </cell>
          <cell r="B2420" t="str">
            <v>POA - Center Drain Replacement</v>
          </cell>
          <cell r="C2420" t="str">
            <v>zINVALID FIN Approval - Internal</v>
          </cell>
          <cell r="D2420">
            <v>52</v>
          </cell>
          <cell r="E2420" t="str">
            <v>APPROVED</v>
          </cell>
          <cell r="F2420">
            <v>41213</v>
          </cell>
          <cell r="G2420">
            <v>41333</v>
          </cell>
          <cell r="H2420">
            <v>342859.46</v>
          </cell>
          <cell r="I2420" t="str">
            <v>FIN Submission</v>
          </cell>
          <cell r="J2420">
            <v>41963</v>
          </cell>
        </row>
        <row r="2421">
          <cell r="A2421" t="str">
            <v>41588-SB06</v>
          </cell>
          <cell r="B2421" t="str">
            <v>POA - Cooling Water (CW) Pump Refur</v>
          </cell>
          <cell r="C2421" t="str">
            <v>zINVALID FIN Approval - Internal</v>
          </cell>
          <cell r="D2421">
            <v>53</v>
          </cell>
          <cell r="E2421" t="str">
            <v>APPROVED</v>
          </cell>
          <cell r="F2421">
            <v>41394</v>
          </cell>
          <cell r="G2421">
            <v>41547</v>
          </cell>
          <cell r="H2421">
            <v>388544.02</v>
          </cell>
          <cell r="I2421" t="str">
            <v>FIN Submission</v>
          </cell>
          <cell r="J2421">
            <v>41963</v>
          </cell>
        </row>
        <row r="2422">
          <cell r="A2422" t="str">
            <v>41563-SA55</v>
          </cell>
          <cell r="B2422" t="str">
            <v>POA-Combustor Watwall Panel Replace</v>
          </cell>
          <cell r="C2422" t="str">
            <v>zINVALID FIN Approval - Internal</v>
          </cell>
          <cell r="D2422">
            <v>53</v>
          </cell>
          <cell r="E2422" t="str">
            <v>APPROVED</v>
          </cell>
          <cell r="F2422">
            <v>41213</v>
          </cell>
          <cell r="G2422">
            <v>41274</v>
          </cell>
          <cell r="H2422">
            <v>394595.7</v>
          </cell>
          <cell r="I2422" t="str">
            <v>FIN Submission</v>
          </cell>
          <cell r="J2422">
            <v>41963</v>
          </cell>
        </row>
        <row r="2423">
          <cell r="A2423" t="str">
            <v>41592-T732</v>
          </cell>
          <cell r="B2423" t="str">
            <v>88W New Recloser &amp; Relocate 88W-322</v>
          </cell>
          <cell r="C2423" t="str">
            <v>zINVALID FIN Approval - Internal</v>
          </cell>
          <cell r="D2423">
            <v>55</v>
          </cell>
          <cell r="E2423" t="str">
            <v>APPROVED</v>
          </cell>
          <cell r="F2423">
            <v>41261</v>
          </cell>
          <cell r="G2423">
            <v>41545</v>
          </cell>
          <cell r="H2423">
            <v>135638.07</v>
          </cell>
          <cell r="I2423" t="str">
            <v>FIN Submission</v>
          </cell>
          <cell r="J2423">
            <v>41963</v>
          </cell>
        </row>
        <row r="2424">
          <cell r="A2424" t="str">
            <v>41419-P894</v>
          </cell>
          <cell r="B2424" t="str">
            <v>2012 Replace Microwave Radio System</v>
          </cell>
          <cell r="C2424" t="str">
            <v>zINVALID FIN Approval - Internal</v>
          </cell>
          <cell r="D2424">
            <v>57</v>
          </cell>
          <cell r="E2424" t="str">
            <v>APPROVED</v>
          </cell>
          <cell r="F2424">
            <v>41333</v>
          </cell>
          <cell r="G2424">
            <v>41639</v>
          </cell>
          <cell r="H2424">
            <v>631897.05000000005</v>
          </cell>
          <cell r="I2424" t="str">
            <v>FIN Submission</v>
          </cell>
          <cell r="J2424">
            <v>41963</v>
          </cell>
        </row>
        <row r="2425">
          <cell r="A2425" t="str">
            <v>41235-SB23</v>
          </cell>
          <cell r="B2425" t="str">
            <v>LIN 1 Boiler Refurbishment</v>
          </cell>
          <cell r="C2425" t="str">
            <v>zINVALID FIN Approval - Internal</v>
          </cell>
          <cell r="D2425">
            <v>57</v>
          </cell>
          <cell r="E2425" t="str">
            <v>APPROVED</v>
          </cell>
          <cell r="F2425">
            <v>41424</v>
          </cell>
          <cell r="G2425">
            <v>41547</v>
          </cell>
          <cell r="H2425">
            <v>823038.33</v>
          </cell>
          <cell r="I2425" t="str">
            <v>FIN Submission</v>
          </cell>
          <cell r="J2425">
            <v>41963</v>
          </cell>
        </row>
        <row r="2426">
          <cell r="A2426" t="str">
            <v>41045-S969</v>
          </cell>
          <cell r="B2426" t="str">
            <v>POA - Boiler Refractory Replacement</v>
          </cell>
          <cell r="C2426" t="str">
            <v>zINVALID FIN Approval - Internal</v>
          </cell>
          <cell r="D2426">
            <v>57</v>
          </cell>
          <cell r="E2426" t="str">
            <v>APPROVED</v>
          </cell>
          <cell r="F2426">
            <v>41213</v>
          </cell>
          <cell r="G2426">
            <v>41547</v>
          </cell>
          <cell r="H2426">
            <v>671817.8</v>
          </cell>
          <cell r="I2426" t="str">
            <v>FIN Submission</v>
          </cell>
          <cell r="J2426">
            <v>41963</v>
          </cell>
        </row>
        <row r="2427">
          <cell r="A2427" t="str">
            <v>41073-S971</v>
          </cell>
          <cell r="B2427" t="str">
            <v>POA - Plant Industrial Vacuum Syste</v>
          </cell>
          <cell r="C2427" t="str">
            <v>zINVALID FIN Approval - Internal</v>
          </cell>
          <cell r="D2427">
            <v>59</v>
          </cell>
          <cell r="E2427" t="str">
            <v>APPROVED</v>
          </cell>
          <cell r="F2427">
            <v>41121</v>
          </cell>
          <cell r="G2427">
            <v>41639</v>
          </cell>
          <cell r="H2427">
            <v>111608.24</v>
          </cell>
          <cell r="I2427" t="str">
            <v>FIN Submission</v>
          </cell>
          <cell r="J2427">
            <v>41963</v>
          </cell>
        </row>
        <row r="2428">
          <cell r="A2428" t="str">
            <v>40252-P849</v>
          </cell>
          <cell r="B2428" t="str">
            <v>2011 Replace Microwave Radio System</v>
          </cell>
          <cell r="C2428" t="str">
            <v>zINVALID FIN Approval - Internal</v>
          </cell>
          <cell r="D2428">
            <v>71</v>
          </cell>
          <cell r="E2428" t="str">
            <v>APPROVED</v>
          </cell>
          <cell r="F2428">
            <v>40908</v>
          </cell>
          <cell r="G2428">
            <v>41333</v>
          </cell>
          <cell r="H2428">
            <v>277796.78000000003</v>
          </cell>
          <cell r="I2428" t="str">
            <v>FIN Submission</v>
          </cell>
          <cell r="J2428">
            <v>41963</v>
          </cell>
        </row>
        <row r="2429">
          <cell r="A2429" t="str">
            <v>36922-D352</v>
          </cell>
          <cell r="B2429" t="str">
            <v>Dartmouth East New Feeder</v>
          </cell>
          <cell r="C2429" t="str">
            <v>zINVALID FIN Approval - Internal</v>
          </cell>
          <cell r="D2429">
            <v>76</v>
          </cell>
          <cell r="E2429" t="str">
            <v>APPROVED</v>
          </cell>
          <cell r="F2429">
            <v>40724</v>
          </cell>
          <cell r="G2429">
            <v>41444</v>
          </cell>
          <cell r="H2429">
            <v>532588.13</v>
          </cell>
          <cell r="I2429" t="str">
            <v>FIN Submission</v>
          </cell>
          <cell r="J2429">
            <v>41963</v>
          </cell>
        </row>
        <row r="2430">
          <cell r="A2430" t="str">
            <v>40035-S863</v>
          </cell>
          <cell r="B2430" t="str">
            <v>POA - HVAC Replacement</v>
          </cell>
          <cell r="C2430" t="str">
            <v>zINVALID FIN Approval - Internal</v>
          </cell>
          <cell r="D2430">
            <v>79</v>
          </cell>
          <cell r="E2430" t="str">
            <v>APPROVED</v>
          </cell>
          <cell r="F2430">
            <v>40908</v>
          </cell>
          <cell r="G2430">
            <v>41334</v>
          </cell>
          <cell r="H2430">
            <v>117017.67</v>
          </cell>
          <cell r="I2430" t="str">
            <v>FIN Submission</v>
          </cell>
          <cell r="J2430">
            <v>41963</v>
          </cell>
        </row>
        <row r="2431">
          <cell r="A2431" t="str">
            <v>40279-T663</v>
          </cell>
          <cell r="B2431" t="str">
            <v>2011 Pole Retreatment</v>
          </cell>
          <cell r="C2431" t="str">
            <v>FIN Approval - Internal</v>
          </cell>
          <cell r="D2431">
            <v>87</v>
          </cell>
          <cell r="E2431" t="str">
            <v>APPROVED</v>
          </cell>
          <cell r="F2431">
            <v>40905</v>
          </cell>
          <cell r="G2431">
            <v>41820</v>
          </cell>
          <cell r="H2431">
            <v>508208.1</v>
          </cell>
          <cell r="I2431" t="str">
            <v>FIN Submission</v>
          </cell>
          <cell r="J2431">
            <v>41963</v>
          </cell>
        </row>
        <row r="2432">
          <cell r="A2432" t="str">
            <v>34386-S820</v>
          </cell>
          <cell r="B2432" t="str">
            <v>POA Cell 4 Stage 1 Residue Mangemen</v>
          </cell>
          <cell r="C2432" t="str">
            <v>zINVALID FIN Approval - Internal</v>
          </cell>
          <cell r="D2432">
            <v>115</v>
          </cell>
          <cell r="E2432" t="str">
            <v>APPROVED</v>
          </cell>
          <cell r="F2432">
            <v>40847</v>
          </cell>
          <cell r="G2432">
            <v>41547</v>
          </cell>
          <cell r="H2432">
            <v>7291311.7000000002</v>
          </cell>
          <cell r="I2432" t="str">
            <v>FIN Submission</v>
          </cell>
          <cell r="J2432">
            <v>41963</v>
          </cell>
        </row>
        <row r="2433">
          <cell r="A2433" t="str">
            <v>32902-S382</v>
          </cell>
          <cell r="B2433" t="str">
            <v>TRE5 5F Conveyor Belt Replacement</v>
          </cell>
          <cell r="C2433" t="str">
            <v>zINVALID FIN Approval - Internal</v>
          </cell>
          <cell r="D2433">
            <v>110</v>
          </cell>
          <cell r="E2433" t="str">
            <v>APPROVED</v>
          </cell>
          <cell r="F2433">
            <v>40862</v>
          </cell>
          <cell r="G2433">
            <v>40954</v>
          </cell>
          <cell r="H2433">
            <v>98086.85</v>
          </cell>
          <cell r="I2433" t="str">
            <v>FIN Submission</v>
          </cell>
          <cell r="J2433">
            <v>41962</v>
          </cell>
        </row>
        <row r="2434">
          <cell r="A2434" t="str">
            <v>23055-P614</v>
          </cell>
          <cell r="B2434" t="str">
            <v>REMOTE TERMINAL UNIT (RTU) REPLACEM</v>
          </cell>
          <cell r="C2434" t="str">
            <v>FIN Approval - Internal</v>
          </cell>
          <cell r="D2434">
            <v>7</v>
          </cell>
          <cell r="E2434" t="str">
            <v>APPROVED</v>
          </cell>
          <cell r="F2434">
            <v>37925</v>
          </cell>
          <cell r="G2434">
            <v>41381</v>
          </cell>
          <cell r="H2434">
            <v>699403.24</v>
          </cell>
          <cell r="I2434" t="str">
            <v>FIN Submission</v>
          </cell>
          <cell r="J2434">
            <v>41871</v>
          </cell>
        </row>
        <row r="2435">
          <cell r="A2435" t="str">
            <v>41865-S884</v>
          </cell>
          <cell r="B2435" t="str">
            <v>TRE (UU) Dozer Cabin Glass Upgrades</v>
          </cell>
          <cell r="C2435" t="str">
            <v>zINVALID FIN Approval - Internal</v>
          </cell>
          <cell r="D2435">
            <v>33</v>
          </cell>
          <cell r="E2435" t="str">
            <v>APPROVED</v>
          </cell>
          <cell r="F2435">
            <v>40892</v>
          </cell>
          <cell r="G2435">
            <v>40983</v>
          </cell>
          <cell r="H2435">
            <v>50137.55</v>
          </cell>
          <cell r="I2435" t="str">
            <v>FIN Submission</v>
          </cell>
          <cell r="J2435">
            <v>41871</v>
          </cell>
        </row>
        <row r="2436">
          <cell r="A2436" t="str">
            <v>41903-H632</v>
          </cell>
          <cell r="B2436" t="str">
            <v>HYD - U&amp;U Tusket Fish Passage</v>
          </cell>
          <cell r="C2436" t="str">
            <v>zINVALID FIN Approval - Internal</v>
          </cell>
          <cell r="D2436">
            <v>38</v>
          </cell>
          <cell r="E2436" t="str">
            <v>APPROVED</v>
          </cell>
          <cell r="F2436">
            <v>41029</v>
          </cell>
          <cell r="G2436">
            <v>41486</v>
          </cell>
          <cell r="H2436">
            <v>150893.95000000001</v>
          </cell>
          <cell r="I2436" t="str">
            <v/>
          </cell>
          <cell r="J2436">
            <v>41871</v>
          </cell>
        </row>
        <row r="2437">
          <cell r="A2437" t="str">
            <v>41743-S874</v>
          </cell>
          <cell r="B2437" t="str">
            <v>TUC1 U&amp;U Replace IP GOV&amp;IESV Studs</v>
          </cell>
          <cell r="C2437" t="str">
            <v>zINVALID FIN Approval - Internal</v>
          </cell>
          <cell r="D2437">
            <v>49</v>
          </cell>
          <cell r="E2437" t="str">
            <v>APPROVED</v>
          </cell>
          <cell r="F2437">
            <v>40907</v>
          </cell>
          <cell r="G2437">
            <v>41639</v>
          </cell>
          <cell r="H2437">
            <v>67744.61</v>
          </cell>
          <cell r="I2437" t="str">
            <v>FIN Submission</v>
          </cell>
          <cell r="J2437">
            <v>41871</v>
          </cell>
        </row>
        <row r="2438">
          <cell r="A2438" t="str">
            <v>41386-T735</v>
          </cell>
          <cell r="B2438" t="str">
            <v>2012 Pole Retreatment</v>
          </cell>
          <cell r="C2438" t="str">
            <v>zINVALID FIN Approval - Internal</v>
          </cell>
          <cell r="D2438">
            <v>56</v>
          </cell>
          <cell r="E2438" t="str">
            <v>APPROVED</v>
          </cell>
          <cell r="F2438">
            <v>41235</v>
          </cell>
          <cell r="G2438">
            <v>41447</v>
          </cell>
          <cell r="H2438">
            <v>540418.93999999994</v>
          </cell>
          <cell r="I2438" t="str">
            <v>FIN Submission</v>
          </cell>
          <cell r="J2438">
            <v>41871</v>
          </cell>
        </row>
        <row r="2439">
          <cell r="A2439" t="str">
            <v>41131-H654</v>
          </cell>
          <cell r="B2439" t="str">
            <v>HYD - Relay Testing Equipment</v>
          </cell>
          <cell r="C2439" t="str">
            <v>zINVALID FIN Approval - Internal</v>
          </cell>
          <cell r="D2439">
            <v>58</v>
          </cell>
          <cell r="E2439" t="str">
            <v>APPROVED</v>
          </cell>
          <cell r="F2439">
            <v>41153</v>
          </cell>
          <cell r="G2439">
            <v>41486</v>
          </cell>
          <cell r="H2439">
            <v>55500.52</v>
          </cell>
          <cell r="I2439" t="str">
            <v>FIN Submission</v>
          </cell>
          <cell r="J2439">
            <v>41871</v>
          </cell>
        </row>
        <row r="2440">
          <cell r="A2440" t="str">
            <v>40185-T653</v>
          </cell>
          <cell r="B2440" t="str">
            <v>104H-T61 Transformer Refurbishment</v>
          </cell>
          <cell r="C2440" t="str">
            <v>FIN Approval - Internal</v>
          </cell>
          <cell r="D2440">
            <v>62</v>
          </cell>
          <cell r="E2440" t="str">
            <v>APPROVED</v>
          </cell>
          <cell r="F2440">
            <v>40907</v>
          </cell>
          <cell r="G2440">
            <v>41151</v>
          </cell>
          <cell r="H2440">
            <v>882423.59</v>
          </cell>
          <cell r="I2440" t="str">
            <v>FIN Submission</v>
          </cell>
          <cell r="J2440">
            <v>41871</v>
          </cell>
        </row>
        <row r="2441">
          <cell r="A2441" t="str">
            <v>40483-S677</v>
          </cell>
          <cell r="B2441" t="str">
            <v>TRE5 - (UU) Burner Front Fire Prote</v>
          </cell>
          <cell r="C2441" t="str">
            <v>zINVALID FIN Approval - Internal</v>
          </cell>
          <cell r="D2441">
            <v>69</v>
          </cell>
          <cell r="E2441" t="str">
            <v>APPROVED</v>
          </cell>
          <cell r="F2441">
            <v>40678</v>
          </cell>
          <cell r="G2441">
            <v>41151</v>
          </cell>
          <cell r="H2441">
            <v>47651.97</v>
          </cell>
          <cell r="I2441" t="str">
            <v>FIN Submission</v>
          </cell>
          <cell r="J2441">
            <v>41871</v>
          </cell>
        </row>
        <row r="2442">
          <cell r="A2442" t="str">
            <v>40275-P851</v>
          </cell>
          <cell r="B2442" t="str">
            <v>Eastlink Outage Information Interfa</v>
          </cell>
          <cell r="C2442" t="str">
            <v>zINVALID FIN Approval - Internal</v>
          </cell>
          <cell r="D2442">
            <v>70</v>
          </cell>
          <cell r="E2442" t="str">
            <v>APPROVED</v>
          </cell>
          <cell r="F2442">
            <v>40908</v>
          </cell>
          <cell r="G2442">
            <v>41394</v>
          </cell>
          <cell r="H2442">
            <v>118881.57</v>
          </cell>
          <cell r="I2442" t="str">
            <v>FIN Submission</v>
          </cell>
          <cell r="J2442">
            <v>41871</v>
          </cell>
        </row>
        <row r="2443">
          <cell r="A2443" t="str">
            <v>39971-S757</v>
          </cell>
          <cell r="B2443" t="str">
            <v>TRE5 - 5-4 Pulverizer Refurbishment</v>
          </cell>
          <cell r="C2443" t="str">
            <v>zINVALID FIN Approval - Internal</v>
          </cell>
          <cell r="D2443">
            <v>75</v>
          </cell>
          <cell r="E2443" t="str">
            <v>APPROVED</v>
          </cell>
          <cell r="F2443">
            <v>40908</v>
          </cell>
          <cell r="G2443">
            <v>40983</v>
          </cell>
          <cell r="H2443">
            <v>120452.32</v>
          </cell>
          <cell r="I2443" t="str">
            <v>FIN Submission</v>
          </cell>
          <cell r="J2443">
            <v>41871</v>
          </cell>
        </row>
        <row r="2444">
          <cell r="A2444" t="str">
            <v>39948-S700</v>
          </cell>
          <cell r="B2444" t="str">
            <v>TRE - Ash Site Management 2011</v>
          </cell>
          <cell r="C2444" t="str">
            <v>zINVALID FIN Approval - Internal</v>
          </cell>
          <cell r="D2444">
            <v>76</v>
          </cell>
          <cell r="E2444" t="str">
            <v>APPROVED</v>
          </cell>
          <cell r="F2444">
            <v>41075</v>
          </cell>
          <cell r="G2444">
            <v>41440</v>
          </cell>
          <cell r="H2444">
            <v>184803.55</v>
          </cell>
          <cell r="I2444" t="str">
            <v>FIN Submission</v>
          </cell>
          <cell r="J2444">
            <v>41871</v>
          </cell>
        </row>
        <row r="2445">
          <cell r="A2445" t="str">
            <v>39959-S693</v>
          </cell>
          <cell r="B2445" t="str">
            <v>TRE 4kV Breakers Refurbishment</v>
          </cell>
          <cell r="C2445" t="str">
            <v>zINVALID FIN Approval - Internal</v>
          </cell>
          <cell r="D2445">
            <v>76</v>
          </cell>
          <cell r="E2445" t="str">
            <v>APPROVED</v>
          </cell>
          <cell r="F2445">
            <v>40892</v>
          </cell>
          <cell r="G2445">
            <v>40983</v>
          </cell>
          <cell r="H2445">
            <v>66820.289999999994</v>
          </cell>
          <cell r="I2445" t="str">
            <v>FIN Submission</v>
          </cell>
          <cell r="J2445">
            <v>41871</v>
          </cell>
        </row>
        <row r="2446">
          <cell r="A2446" t="str">
            <v>40276-H612</v>
          </cell>
          <cell r="B2446" t="str">
            <v xml:space="preserve">HYD - WRC Tailrace Tunnel Bulkhead </v>
          </cell>
          <cell r="C2446" t="str">
            <v>zINVALID FIN Approval - Internal</v>
          </cell>
          <cell r="D2446">
            <v>79</v>
          </cell>
          <cell r="E2446" t="str">
            <v>APPROVED</v>
          </cell>
          <cell r="F2446">
            <v>40878</v>
          </cell>
          <cell r="G2446">
            <v>41379</v>
          </cell>
          <cell r="H2446">
            <v>553842.46</v>
          </cell>
          <cell r="I2446" t="str">
            <v>FIN Submission</v>
          </cell>
          <cell r="J2446">
            <v>41871</v>
          </cell>
        </row>
        <row r="2447">
          <cell r="A2447" t="str">
            <v>27769-T519</v>
          </cell>
          <cell r="B2447" t="str">
            <v>POLE RETREATMENT PROGRAM 2006</v>
          </cell>
          <cell r="C2447" t="str">
            <v>zINVALID FIN Approval - Internal</v>
          </cell>
          <cell r="D2447">
            <v>79</v>
          </cell>
          <cell r="E2447" t="str">
            <v>APPROVED</v>
          </cell>
          <cell r="F2447">
            <v>39069</v>
          </cell>
          <cell r="G2447">
            <v>40785</v>
          </cell>
          <cell r="H2447">
            <v>588552.53</v>
          </cell>
          <cell r="I2447" t="str">
            <v>FIN Submission</v>
          </cell>
          <cell r="J2447">
            <v>41871</v>
          </cell>
        </row>
        <row r="2448">
          <cell r="A2448" t="str">
            <v>39935-S743</v>
          </cell>
          <cell r="B2448" t="str">
            <v>TRE - Facilities Improvements</v>
          </cell>
          <cell r="C2448" t="str">
            <v>zINVALID FIN Approval - Internal</v>
          </cell>
          <cell r="D2448">
            <v>81</v>
          </cell>
          <cell r="E2448" t="str">
            <v>APPROVED</v>
          </cell>
          <cell r="F2448">
            <v>40862</v>
          </cell>
          <cell r="G2448">
            <v>41623</v>
          </cell>
          <cell r="H2448">
            <v>423616.84</v>
          </cell>
          <cell r="I2448" t="str">
            <v>FIN Submission</v>
          </cell>
          <cell r="J2448">
            <v>41871</v>
          </cell>
        </row>
        <row r="2449">
          <cell r="A2449" t="str">
            <v>39760-S691</v>
          </cell>
          <cell r="B2449" t="str">
            <v>TUC - Asbestos Abatement 2011</v>
          </cell>
          <cell r="C2449" t="str">
            <v>zINVALID FIN Approval - Internal</v>
          </cell>
          <cell r="D2449">
            <v>82</v>
          </cell>
          <cell r="E2449" t="str">
            <v>APPROVED</v>
          </cell>
          <cell r="F2449">
            <v>40907</v>
          </cell>
          <cell r="G2449">
            <v>41639</v>
          </cell>
          <cell r="H2449">
            <v>349127.56</v>
          </cell>
          <cell r="I2449" t="str">
            <v>FIN Submission</v>
          </cell>
          <cell r="J2449">
            <v>41871</v>
          </cell>
        </row>
        <row r="2450">
          <cell r="A2450" t="str">
            <v>39778-S731</v>
          </cell>
          <cell r="B2450" t="str">
            <v>TUC - Motor Refurbishment 2011</v>
          </cell>
          <cell r="C2450" t="str">
            <v>zINVALID FIN Approval - Internal</v>
          </cell>
          <cell r="D2450">
            <v>82</v>
          </cell>
          <cell r="E2450" t="str">
            <v>APPROVED</v>
          </cell>
          <cell r="F2450">
            <v>40877</v>
          </cell>
          <cell r="G2450">
            <v>41639</v>
          </cell>
          <cell r="H2450">
            <v>58127.48</v>
          </cell>
          <cell r="I2450" t="str">
            <v>FIN Submission</v>
          </cell>
          <cell r="J2450">
            <v>41871</v>
          </cell>
        </row>
        <row r="2451">
          <cell r="A2451" t="str">
            <v>40293-P875</v>
          </cell>
          <cell r="B2451" t="str">
            <v>IT - People Soft Workflow</v>
          </cell>
          <cell r="C2451" t="str">
            <v>FIN Approval - Internal</v>
          </cell>
          <cell r="D2451">
            <v>83</v>
          </cell>
          <cell r="E2451" t="str">
            <v>APPROVED</v>
          </cell>
          <cell r="F2451">
            <v>41061</v>
          </cell>
          <cell r="G2451">
            <v>41274</v>
          </cell>
          <cell r="H2451">
            <v>283057.14</v>
          </cell>
          <cell r="I2451" t="str">
            <v>FIN Submission</v>
          </cell>
          <cell r="J2451">
            <v>41871</v>
          </cell>
        </row>
        <row r="2452">
          <cell r="A2452" t="str">
            <v>39787-S805</v>
          </cell>
          <cell r="B2452" t="str">
            <v>TUC#1 CW Pumps Refurbishment</v>
          </cell>
          <cell r="C2452" t="str">
            <v>zINVALID FIN Approval - Internal</v>
          </cell>
          <cell r="D2452">
            <v>83</v>
          </cell>
          <cell r="E2452" t="str">
            <v>APPROVED</v>
          </cell>
          <cell r="F2452">
            <v>40877</v>
          </cell>
          <cell r="G2452">
            <v>41608</v>
          </cell>
          <cell r="H2452">
            <v>228232.37</v>
          </cell>
          <cell r="I2452" t="str">
            <v>FIN Submission</v>
          </cell>
          <cell r="J2452">
            <v>41871</v>
          </cell>
        </row>
        <row r="2453">
          <cell r="A2453" t="str">
            <v>38162-P809</v>
          </cell>
          <cell r="B2453" t="str">
            <v>2010 SCADA Upgrade</v>
          </cell>
          <cell r="C2453" t="str">
            <v>FIN Approval - Internal</v>
          </cell>
          <cell r="D2453">
            <v>86</v>
          </cell>
          <cell r="E2453" t="str">
            <v>APPROVED</v>
          </cell>
          <cell r="F2453">
            <v>40513</v>
          </cell>
          <cell r="G2453">
            <v>41180</v>
          </cell>
          <cell r="H2453">
            <v>252483.07</v>
          </cell>
          <cell r="I2453" t="str">
            <v>FIN Submission</v>
          </cell>
          <cell r="J2453">
            <v>41871</v>
          </cell>
        </row>
        <row r="2454">
          <cell r="A2454" t="str">
            <v>40313-H610</v>
          </cell>
          <cell r="B2454" t="str">
            <v>HYD - ANN Safety Pumps</v>
          </cell>
          <cell r="C2454" t="str">
            <v>FIN Approval - Internal</v>
          </cell>
          <cell r="D2454">
            <v>86</v>
          </cell>
          <cell r="E2454" t="str">
            <v>APPROVED</v>
          </cell>
          <cell r="F2454">
            <v>40976</v>
          </cell>
          <cell r="G2454">
            <v>41157</v>
          </cell>
          <cell r="H2454">
            <v>315653.24</v>
          </cell>
          <cell r="I2454" t="str">
            <v>FIN Submission</v>
          </cell>
          <cell r="J2454">
            <v>41871</v>
          </cell>
        </row>
        <row r="2455">
          <cell r="A2455" t="str">
            <v>39844-H598</v>
          </cell>
          <cell r="B2455" t="str">
            <v>HYD - Removal of Frost Casing on Gu</v>
          </cell>
          <cell r="C2455" t="str">
            <v>FIN Approval - Internal</v>
          </cell>
          <cell r="D2455">
            <v>86</v>
          </cell>
          <cell r="E2455" t="str">
            <v>APPROVED</v>
          </cell>
          <cell r="F2455">
            <v>40452</v>
          </cell>
          <cell r="G2455">
            <v>40954</v>
          </cell>
          <cell r="H2455">
            <v>439277.18</v>
          </cell>
          <cell r="I2455" t="str">
            <v>FIN Submission</v>
          </cell>
          <cell r="J2455">
            <v>41871</v>
          </cell>
        </row>
        <row r="2456">
          <cell r="A2456" t="str">
            <v>38725-S610</v>
          </cell>
          <cell r="B2456" t="str">
            <v xml:space="preserve">TRE5 - Refurbish Light Oil Tanks </v>
          </cell>
          <cell r="C2456" t="str">
            <v>zINVALID FIN Approval - Internal</v>
          </cell>
          <cell r="D2456">
            <v>93</v>
          </cell>
          <cell r="E2456" t="str">
            <v>APPROVED</v>
          </cell>
          <cell r="F2456">
            <v>40831</v>
          </cell>
          <cell r="G2456">
            <v>40983</v>
          </cell>
          <cell r="H2456">
            <v>115008.09</v>
          </cell>
          <cell r="I2456" t="str">
            <v>FIN Submission</v>
          </cell>
          <cell r="J2456">
            <v>41871</v>
          </cell>
        </row>
        <row r="2457">
          <cell r="A2457" t="str">
            <v>38894-S554</v>
          </cell>
          <cell r="B2457" t="str">
            <v>TRE - Fall Protection</v>
          </cell>
          <cell r="C2457" t="str">
            <v>zINVALID FIN Approval - Internal</v>
          </cell>
          <cell r="D2457">
            <v>95</v>
          </cell>
          <cell r="E2457" t="str">
            <v>APPROVED</v>
          </cell>
          <cell r="F2457">
            <v>40617</v>
          </cell>
          <cell r="G2457">
            <v>40894</v>
          </cell>
          <cell r="H2457">
            <v>155719.62</v>
          </cell>
          <cell r="I2457" t="str">
            <v>FIN Submission</v>
          </cell>
          <cell r="J2457">
            <v>41871</v>
          </cell>
        </row>
        <row r="2458">
          <cell r="A2458" t="str">
            <v>39545-H595</v>
          </cell>
          <cell r="B2458" t="str">
            <v>HYD - U&amp;U Ladder Upgrades</v>
          </cell>
          <cell r="C2458" t="str">
            <v>FIN Approval - Internal</v>
          </cell>
          <cell r="D2458">
            <v>96</v>
          </cell>
          <cell r="E2458" t="str">
            <v>APPROVED</v>
          </cell>
          <cell r="F2458">
            <v>41061</v>
          </cell>
          <cell r="G2458">
            <v>41284</v>
          </cell>
          <cell r="H2458">
            <v>1070169.3600000001</v>
          </cell>
          <cell r="I2458" t="str">
            <v>FIN Submission</v>
          </cell>
          <cell r="J2458">
            <v>41871</v>
          </cell>
        </row>
        <row r="2459">
          <cell r="A2459" t="str">
            <v>38044-S774</v>
          </cell>
          <cell r="B2459" t="str">
            <v>TRE - Plant Lighting Upgrades</v>
          </cell>
          <cell r="C2459" t="str">
            <v>zINVALID FIN Approval - Internal</v>
          </cell>
          <cell r="D2459">
            <v>97</v>
          </cell>
          <cell r="E2459" t="str">
            <v>APPROVED</v>
          </cell>
          <cell r="F2459">
            <v>40862</v>
          </cell>
          <cell r="G2459">
            <v>40892</v>
          </cell>
          <cell r="H2459">
            <v>111667.23</v>
          </cell>
          <cell r="I2459" t="str">
            <v>FIN Submission</v>
          </cell>
          <cell r="J2459">
            <v>41871</v>
          </cell>
        </row>
        <row r="2460">
          <cell r="A2460" t="str">
            <v>38911-S555</v>
          </cell>
          <cell r="B2460" t="str">
            <v>TUC - Fall Protection</v>
          </cell>
          <cell r="C2460" t="str">
            <v>zINVALID FIN Approval - Internal</v>
          </cell>
          <cell r="D2460">
            <v>98</v>
          </cell>
          <cell r="E2460" t="str">
            <v>APPROVED</v>
          </cell>
          <cell r="F2460">
            <v>40542</v>
          </cell>
          <cell r="G2460">
            <v>41639</v>
          </cell>
          <cell r="H2460">
            <v>107816.53</v>
          </cell>
          <cell r="I2460" t="str">
            <v>FIN Submission</v>
          </cell>
          <cell r="J2460">
            <v>41871</v>
          </cell>
        </row>
        <row r="2461">
          <cell r="A2461" t="str">
            <v>39042-H579</v>
          </cell>
          <cell r="B2461" t="str">
            <v>HYD - Ten Mile Lake Dam Decomm</v>
          </cell>
          <cell r="C2461" t="str">
            <v>FIN Approval - Internal</v>
          </cell>
          <cell r="D2461">
            <v>101</v>
          </cell>
          <cell r="E2461" t="str">
            <v>APPROVED</v>
          </cell>
          <cell r="F2461">
            <v>41487</v>
          </cell>
          <cell r="G2461">
            <v>41577</v>
          </cell>
          <cell r="H2461">
            <v>928781.82</v>
          </cell>
          <cell r="I2461" t="str">
            <v>FIN Submission</v>
          </cell>
          <cell r="J2461">
            <v>41871</v>
          </cell>
        </row>
        <row r="2462">
          <cell r="A2462" t="str">
            <v>38382-S495</v>
          </cell>
          <cell r="B2462" t="str">
            <v>TUC U&amp;U #3 Bus Duct Replacement</v>
          </cell>
          <cell r="C2462" t="str">
            <v>zINVALID FIN Approval - Internal</v>
          </cell>
          <cell r="D2462">
            <v>101</v>
          </cell>
          <cell r="E2462" t="str">
            <v>APPROVED</v>
          </cell>
          <cell r="F2462">
            <v>40162</v>
          </cell>
          <cell r="G2462">
            <v>41059</v>
          </cell>
          <cell r="H2462">
            <v>2786261.72</v>
          </cell>
          <cell r="I2462" t="str">
            <v>FIN Submission</v>
          </cell>
          <cell r="J2462">
            <v>41871</v>
          </cell>
        </row>
        <row r="2463">
          <cell r="A2463" t="str">
            <v>37942-T623</v>
          </cell>
          <cell r="B2463" t="str">
            <v>Nuttby Mountain Wind Project Substa</v>
          </cell>
          <cell r="C2463" t="str">
            <v>FIN Approval - Internal</v>
          </cell>
          <cell r="D2463">
            <v>104</v>
          </cell>
          <cell r="E2463" t="str">
            <v>APPROVED</v>
          </cell>
          <cell r="F2463">
            <v>40359</v>
          </cell>
          <cell r="G2463">
            <v>41029</v>
          </cell>
          <cell r="H2463">
            <v>2939879.34</v>
          </cell>
          <cell r="I2463" t="str">
            <v>FIN Submission</v>
          </cell>
          <cell r="J2463">
            <v>41871</v>
          </cell>
        </row>
        <row r="2464">
          <cell r="A2464" t="str">
            <v>32302-S371</v>
          </cell>
          <cell r="B2464" t="str">
            <v>LIN-U&amp;U BUS DUCT LINKS REPL</v>
          </cell>
          <cell r="C2464" t="str">
            <v>zINVALID FIN Approval - Internal</v>
          </cell>
          <cell r="D2464">
            <v>107</v>
          </cell>
          <cell r="E2464" t="str">
            <v>APPROVED</v>
          </cell>
          <cell r="F2464">
            <v>39678</v>
          </cell>
          <cell r="G2464">
            <v>40481</v>
          </cell>
          <cell r="H2464">
            <v>220889.57</v>
          </cell>
          <cell r="I2464" t="str">
            <v>FIN Submission</v>
          </cell>
          <cell r="J2464">
            <v>41871</v>
          </cell>
        </row>
        <row r="2465">
          <cell r="A2465" t="str">
            <v>37944-T624</v>
          </cell>
          <cell r="B2465" t="str">
            <v>Nuttby Mountain Wind Project Trans</v>
          </cell>
          <cell r="C2465" t="str">
            <v>FIN Approval - Internal</v>
          </cell>
          <cell r="D2465">
            <v>107</v>
          </cell>
          <cell r="E2465" t="str">
            <v>APPROVED</v>
          </cell>
          <cell r="F2465">
            <v>40542</v>
          </cell>
          <cell r="G2465">
            <v>41059</v>
          </cell>
          <cell r="H2465">
            <v>562863.98</v>
          </cell>
          <cell r="I2465" t="str">
            <v>FIN Submission</v>
          </cell>
          <cell r="J2465">
            <v>41871</v>
          </cell>
        </row>
        <row r="2466">
          <cell r="A2466" t="str">
            <v>38905-H585</v>
          </cell>
          <cell r="B2466" t="str">
            <v>Fall Protection - Eastern Valley</v>
          </cell>
          <cell r="C2466" t="str">
            <v>FIN Approval - Internal</v>
          </cell>
          <cell r="D2466">
            <v>108</v>
          </cell>
          <cell r="E2466" t="str">
            <v>APPROVED</v>
          </cell>
          <cell r="F2466">
            <v>40632</v>
          </cell>
          <cell r="G2466">
            <v>40908</v>
          </cell>
          <cell r="H2466">
            <v>65963.95</v>
          </cell>
          <cell r="I2466" t="str">
            <v>FIN Submission</v>
          </cell>
          <cell r="J2466">
            <v>41871</v>
          </cell>
        </row>
        <row r="2467">
          <cell r="A2467" t="str">
            <v>36342-H568</v>
          </cell>
          <cell r="B2467" t="str">
            <v xml:space="preserve">U&amp;U Tusket Tainter Gate </v>
          </cell>
          <cell r="C2467" t="str">
            <v>FIN Approval - Internal</v>
          </cell>
          <cell r="D2467">
            <v>109</v>
          </cell>
          <cell r="E2467" t="str">
            <v>APPROVED</v>
          </cell>
          <cell r="F2467">
            <v>40148</v>
          </cell>
          <cell r="G2467">
            <v>40693</v>
          </cell>
          <cell r="H2467">
            <v>747454.87</v>
          </cell>
          <cell r="I2467" t="str">
            <v>FIN Submission</v>
          </cell>
          <cell r="J2467">
            <v>41871</v>
          </cell>
        </row>
        <row r="2468">
          <cell r="A2468" t="str">
            <v>35742-P789</v>
          </cell>
          <cell r="B2468" t="str">
            <v>Connectivity Upgrade</v>
          </cell>
          <cell r="C2468" t="str">
            <v>zINVALID FIN Approval - Internal</v>
          </cell>
          <cell r="D2468">
            <v>110</v>
          </cell>
          <cell r="E2468" t="str">
            <v>APPROVED</v>
          </cell>
          <cell r="F2468">
            <v>41182</v>
          </cell>
          <cell r="G2468">
            <v>41516</v>
          </cell>
          <cell r="H2468">
            <v>3300455.81</v>
          </cell>
          <cell r="I2468" t="str">
            <v>FIN Submission</v>
          </cell>
          <cell r="J2468">
            <v>41871</v>
          </cell>
        </row>
        <row r="2469">
          <cell r="A2469" t="str">
            <v>34182-S426</v>
          </cell>
          <cell r="B2469" t="str">
            <v xml:space="preserve">LIN Unit #1 Mercury Abatement </v>
          </cell>
          <cell r="C2469" t="str">
            <v>FIN Approval - External</v>
          </cell>
          <cell r="D2469">
            <v>111</v>
          </cell>
          <cell r="E2469" t="str">
            <v>APPROVED</v>
          </cell>
          <cell r="F2469">
            <v>40178</v>
          </cell>
          <cell r="G2469">
            <v>41547</v>
          </cell>
          <cell r="H2469">
            <v>2038874.44</v>
          </cell>
          <cell r="I2469" t="str">
            <v>FIN Submission</v>
          </cell>
          <cell r="J2469">
            <v>41871</v>
          </cell>
        </row>
        <row r="2470">
          <cell r="A2470" t="str">
            <v>34202-S427</v>
          </cell>
          <cell r="B2470" t="str">
            <v>LIN Unit #2 Mercury Abatement</v>
          </cell>
          <cell r="C2470" t="str">
            <v>FIN Approval - External</v>
          </cell>
          <cell r="D2470">
            <v>111</v>
          </cell>
          <cell r="E2470" t="str">
            <v>APPROVED</v>
          </cell>
          <cell r="F2470">
            <v>40178</v>
          </cell>
          <cell r="G2470">
            <v>41547</v>
          </cell>
          <cell r="H2470">
            <v>1962692.17</v>
          </cell>
          <cell r="I2470" t="str">
            <v>FIN Submission</v>
          </cell>
          <cell r="J2470">
            <v>41871</v>
          </cell>
        </row>
        <row r="2471">
          <cell r="A2471" t="str">
            <v>34222-S429</v>
          </cell>
          <cell r="B2471" t="str">
            <v>LIN Unit #4 Mercury Abatement</v>
          </cell>
          <cell r="C2471" t="str">
            <v>FIN Approval - External</v>
          </cell>
          <cell r="D2471">
            <v>111</v>
          </cell>
          <cell r="E2471" t="str">
            <v>APPROVED</v>
          </cell>
          <cell r="F2471">
            <v>40178</v>
          </cell>
          <cell r="G2471">
            <v>41547</v>
          </cell>
          <cell r="H2471">
            <v>1968862.48</v>
          </cell>
          <cell r="I2471" t="str">
            <v>FIN Submission</v>
          </cell>
          <cell r="J2471">
            <v>41871</v>
          </cell>
        </row>
        <row r="2472">
          <cell r="A2472" t="str">
            <v>29001-T582</v>
          </cell>
          <cell r="B2472" t="str">
            <v>2008 POLE RETREATMENT PROGRAM</v>
          </cell>
          <cell r="C2472" t="str">
            <v>FIN Approval - Internal</v>
          </cell>
          <cell r="D2472">
            <v>112</v>
          </cell>
          <cell r="E2472" t="str">
            <v>APPROVED</v>
          </cell>
          <cell r="F2472">
            <v>39878</v>
          </cell>
          <cell r="G2472">
            <v>40542</v>
          </cell>
          <cell r="H2472">
            <v>465809.14</v>
          </cell>
          <cell r="I2472" t="str">
            <v>FIN Submission</v>
          </cell>
          <cell r="J2472">
            <v>41871</v>
          </cell>
        </row>
        <row r="2473">
          <cell r="A2473" t="str">
            <v>34223-S430</v>
          </cell>
          <cell r="B2473" t="str">
            <v>POT Mercury Abatement Project</v>
          </cell>
          <cell r="C2473" t="str">
            <v>FIN Approval - External</v>
          </cell>
          <cell r="D2473">
            <v>112</v>
          </cell>
          <cell r="E2473" t="str">
            <v>APPROVED</v>
          </cell>
          <cell r="F2473">
            <v>40178</v>
          </cell>
          <cell r="G2473">
            <v>41547</v>
          </cell>
          <cell r="H2473">
            <v>2831834.16</v>
          </cell>
          <cell r="I2473" t="str">
            <v>FIN Submission</v>
          </cell>
          <cell r="J2473">
            <v>41871</v>
          </cell>
        </row>
        <row r="2474">
          <cell r="A2474" t="str">
            <v>34242-S432</v>
          </cell>
          <cell r="B2474" t="str">
            <v>TRE Unit #6 Mercury Abatement</v>
          </cell>
          <cell r="C2474" t="str">
            <v>FIN Approval - External</v>
          </cell>
          <cell r="D2474">
            <v>112</v>
          </cell>
          <cell r="E2474" t="str">
            <v>APPROVED</v>
          </cell>
          <cell r="F2474">
            <v>40178</v>
          </cell>
          <cell r="G2474">
            <v>41547</v>
          </cell>
          <cell r="H2474">
            <v>2122584.38</v>
          </cell>
          <cell r="I2474" t="str">
            <v>FIN Submission</v>
          </cell>
          <cell r="J2474">
            <v>41871</v>
          </cell>
        </row>
        <row r="2475">
          <cell r="A2475" t="str">
            <v>34224-S431</v>
          </cell>
          <cell r="B2475" t="str">
            <v>TRE Unit#5 Mercury Abatement</v>
          </cell>
          <cell r="C2475" t="str">
            <v>FIN Approval - External</v>
          </cell>
          <cell r="D2475">
            <v>112</v>
          </cell>
          <cell r="E2475" t="str">
            <v>APPROVED</v>
          </cell>
          <cell r="F2475">
            <v>40178</v>
          </cell>
          <cell r="G2475">
            <v>41547</v>
          </cell>
          <cell r="H2475">
            <v>1864202.3</v>
          </cell>
          <cell r="I2475" t="str">
            <v>FIN Submission</v>
          </cell>
          <cell r="J2475">
            <v>41871</v>
          </cell>
        </row>
        <row r="2476">
          <cell r="A2476" t="str">
            <v>36868-H603</v>
          </cell>
          <cell r="B2476" t="str">
            <v>Hyd Lumsden Runner Replacement</v>
          </cell>
          <cell r="C2476" t="str">
            <v>FIN Approval - Internal</v>
          </cell>
          <cell r="D2476">
            <v>113</v>
          </cell>
          <cell r="E2476" t="str">
            <v>APPROVED</v>
          </cell>
          <cell r="F2476">
            <v>41014</v>
          </cell>
          <cell r="G2476">
            <v>41214</v>
          </cell>
          <cell r="H2476">
            <v>695458.79</v>
          </cell>
          <cell r="I2476" t="str">
            <v>FIN Submission</v>
          </cell>
          <cell r="J2476">
            <v>41871</v>
          </cell>
        </row>
        <row r="2477">
          <cell r="A2477" t="str">
            <v>28494-D132</v>
          </cell>
          <cell r="B2477" t="str">
            <v>2007 Northeast Replace Arrestors</v>
          </cell>
          <cell r="C2477" t="str">
            <v>FIN Approval - Internal</v>
          </cell>
          <cell r="D2477">
            <v>114</v>
          </cell>
          <cell r="E2477" t="str">
            <v>APPROVED</v>
          </cell>
          <cell r="F2477">
            <v>40147</v>
          </cell>
          <cell r="G2477">
            <v>40178</v>
          </cell>
          <cell r="H2477">
            <v>644889.38</v>
          </cell>
          <cell r="I2477" t="str">
            <v>FIN Submission</v>
          </cell>
          <cell r="J2477">
            <v>41871</v>
          </cell>
        </row>
        <row r="2478">
          <cell r="A2478" t="str">
            <v>34748-P824</v>
          </cell>
          <cell r="B2478" t="str">
            <v xml:space="preserve">IT - Upgrade Microsoft Office Pro </v>
          </cell>
          <cell r="C2478" t="str">
            <v>FIN Approval - Internal</v>
          </cell>
          <cell r="D2478">
            <v>115</v>
          </cell>
          <cell r="E2478" t="str">
            <v>APPROVED</v>
          </cell>
          <cell r="F2478">
            <v>40512</v>
          </cell>
          <cell r="G2478">
            <v>41243</v>
          </cell>
          <cell r="H2478">
            <v>817163.09</v>
          </cell>
          <cell r="I2478" t="str">
            <v>FIN Submission</v>
          </cell>
          <cell r="J2478">
            <v>41871</v>
          </cell>
        </row>
        <row r="2479">
          <cell r="A2479" t="str">
            <v>28111-T518</v>
          </cell>
          <cell r="B2479" t="str">
            <v>81S RESERVE ST ADD ONE 69KV BREAKER</v>
          </cell>
          <cell r="C2479" t="str">
            <v>zINVALID FIN Approval - Internal</v>
          </cell>
          <cell r="D2479">
            <v>118</v>
          </cell>
          <cell r="E2479" t="str">
            <v>APPROVED</v>
          </cell>
          <cell r="F2479">
            <v>39133</v>
          </cell>
          <cell r="G2479">
            <v>41452</v>
          </cell>
          <cell r="H2479">
            <v>566525.86</v>
          </cell>
          <cell r="I2479" t="str">
            <v>FIN Submission</v>
          </cell>
          <cell r="J2479">
            <v>41871</v>
          </cell>
        </row>
        <row r="2480">
          <cell r="A2480" t="str">
            <v>27265-T501</v>
          </cell>
          <cell r="B2480" t="str">
            <v>REFURBISH TRANSFORMER AT 40H-T1 WOO</v>
          </cell>
          <cell r="C2480" t="str">
            <v>zINVALID FIN Approval - Internal</v>
          </cell>
          <cell r="D2480">
            <v>118</v>
          </cell>
          <cell r="E2480" t="str">
            <v>APPROVED</v>
          </cell>
          <cell r="F2480">
            <v>39015</v>
          </cell>
          <cell r="G2480">
            <v>41450</v>
          </cell>
          <cell r="H2480">
            <v>564780.97</v>
          </cell>
          <cell r="I2480" t="str">
            <v>FIN Submission</v>
          </cell>
          <cell r="J2480">
            <v>41871</v>
          </cell>
        </row>
        <row r="2481">
          <cell r="A2481" t="str">
            <v>28077-T517</v>
          </cell>
          <cell r="B2481" t="str">
            <v>2006 KD RELAY REPLACEMENT</v>
          </cell>
          <cell r="C2481" t="str">
            <v>zINVALID FIN Approval - Internal</v>
          </cell>
          <cell r="D2481">
            <v>121</v>
          </cell>
          <cell r="E2481" t="str">
            <v>APPROVED</v>
          </cell>
          <cell r="F2481">
            <v>39069</v>
          </cell>
          <cell r="G2481">
            <v>41450</v>
          </cell>
          <cell r="H2481">
            <v>367461.24</v>
          </cell>
          <cell r="I2481" t="str">
            <v>FIN Submission</v>
          </cell>
          <cell r="J2481">
            <v>41871</v>
          </cell>
        </row>
        <row r="2482">
          <cell r="A2482" t="str">
            <v>22730-P597</v>
          </cell>
          <cell r="B2482" t="str">
            <v>WESTERN VALLEY MICROWAVE RADIO INST</v>
          </cell>
          <cell r="C2482" t="str">
            <v>zINVALID FIN Approval - Internal</v>
          </cell>
          <cell r="D2482">
            <v>121</v>
          </cell>
          <cell r="E2482" t="str">
            <v>APPROVED</v>
          </cell>
          <cell r="F2482">
            <v>38021</v>
          </cell>
          <cell r="G2482">
            <v>40482</v>
          </cell>
          <cell r="H2482">
            <v>604966.31000000006</v>
          </cell>
          <cell r="I2482" t="str">
            <v>FIN Submission</v>
          </cell>
          <cell r="J2482">
            <v>41871</v>
          </cell>
        </row>
        <row r="2483">
          <cell r="A2483" t="str">
            <v>27772-T530</v>
          </cell>
          <cell r="B2483" t="str">
            <v>2006 TRANSMISSION GROUND LINE CLEAR</v>
          </cell>
          <cell r="C2483" t="str">
            <v>zINVALID FIN Approval - Internal</v>
          </cell>
          <cell r="D2483">
            <v>122</v>
          </cell>
          <cell r="E2483" t="str">
            <v>APPROVED</v>
          </cell>
          <cell r="F2483">
            <v>39069</v>
          </cell>
          <cell r="G2483">
            <v>41449</v>
          </cell>
          <cell r="H2483">
            <v>902352.83</v>
          </cell>
          <cell r="I2483" t="str">
            <v>FIN Submission</v>
          </cell>
          <cell r="J2483">
            <v>41871</v>
          </cell>
        </row>
        <row r="2484">
          <cell r="A2484" t="str">
            <v>30082-S519</v>
          </cell>
          <cell r="B2484" t="str">
            <v>POT - Develop new ash cells</v>
          </cell>
          <cell r="C2484" t="str">
            <v>zINVALID FIN Approval - Internal</v>
          </cell>
          <cell r="D2484">
            <v>122</v>
          </cell>
          <cell r="E2484" t="str">
            <v>APPROVED</v>
          </cell>
          <cell r="F2484">
            <v>40907</v>
          </cell>
          <cell r="G2484">
            <v>41638</v>
          </cell>
          <cell r="H2484">
            <v>428199.53</v>
          </cell>
          <cell r="I2484" t="str">
            <v>FIN Submission</v>
          </cell>
          <cell r="J2484">
            <v>41871</v>
          </cell>
        </row>
        <row r="2485">
          <cell r="A2485" t="str">
            <v>25231-D989</v>
          </cell>
          <cell r="B2485" t="str">
            <v>15N-401/404 Transfer Scheme</v>
          </cell>
          <cell r="C2485" t="str">
            <v>zINVALID FIN Approval - Internal</v>
          </cell>
          <cell r="D2485">
            <v>123</v>
          </cell>
          <cell r="E2485" t="str">
            <v>APPROVED</v>
          </cell>
          <cell r="F2485">
            <v>39478</v>
          </cell>
          <cell r="G2485">
            <v>41455</v>
          </cell>
          <cell r="H2485">
            <v>153202.89000000001</v>
          </cell>
          <cell r="I2485" t="str">
            <v>FIN Submission</v>
          </cell>
          <cell r="J2485">
            <v>41871</v>
          </cell>
        </row>
        <row r="2486">
          <cell r="A2486" t="str">
            <v>28518-D141</v>
          </cell>
          <cell r="B2486" t="str">
            <v>2007 West System Performance Improv</v>
          </cell>
          <cell r="C2486" t="str">
            <v>zINVALID FIN Approval - Internal</v>
          </cell>
          <cell r="D2486">
            <v>123</v>
          </cell>
          <cell r="E2486" t="str">
            <v>APPROVED</v>
          </cell>
          <cell r="F2486">
            <v>39447</v>
          </cell>
          <cell r="G2486">
            <v>40360</v>
          </cell>
          <cell r="H2486">
            <v>385168.62</v>
          </cell>
          <cell r="I2486" t="str">
            <v>FIN Submission</v>
          </cell>
          <cell r="J2486">
            <v>41871</v>
          </cell>
        </row>
        <row r="2487">
          <cell r="A2487" t="str">
            <v>28467-P738</v>
          </cell>
          <cell r="B2487" t="str">
            <v>GS- FIRE PROTECTION UPGRADES</v>
          </cell>
          <cell r="C2487" t="str">
            <v>zINVALID FIN Approval - Internal</v>
          </cell>
          <cell r="D2487">
            <v>124</v>
          </cell>
          <cell r="E2487" t="str">
            <v>APPROVED</v>
          </cell>
          <cell r="F2487">
            <v>39783</v>
          </cell>
          <cell r="G2487">
            <v>41152</v>
          </cell>
          <cell r="H2487">
            <v>191171.36</v>
          </cell>
          <cell r="I2487" t="str">
            <v>FIN Submission</v>
          </cell>
          <cell r="J2487">
            <v>41871</v>
          </cell>
        </row>
        <row r="2488">
          <cell r="A2488" t="str">
            <v>31225-H582</v>
          </cell>
          <cell r="B2488" t="str">
            <v>HYD Weymouth Falls # 1 Runner</v>
          </cell>
          <cell r="C2488" t="str">
            <v>FIN Approval - Internal</v>
          </cell>
          <cell r="D2488">
            <v>126</v>
          </cell>
          <cell r="E2488" t="str">
            <v>APPROVED</v>
          </cell>
          <cell r="F2488">
            <v>40543</v>
          </cell>
          <cell r="G2488">
            <v>40724</v>
          </cell>
          <cell r="H2488">
            <v>735378.33</v>
          </cell>
          <cell r="I2488" t="str">
            <v>FIN Submission</v>
          </cell>
          <cell r="J2488">
            <v>41871</v>
          </cell>
        </row>
        <row r="2489">
          <cell r="A2489" t="str">
            <v>30387-S600</v>
          </cell>
          <cell r="B2489" t="str">
            <v>POT - East CW pump bearings</v>
          </cell>
          <cell r="C2489" t="str">
            <v>FIN Approval - Internal</v>
          </cell>
          <cell r="D2489">
            <v>128</v>
          </cell>
          <cell r="E2489" t="str">
            <v>APPROVED</v>
          </cell>
          <cell r="F2489">
            <v>40389</v>
          </cell>
          <cell r="G2489">
            <v>41273</v>
          </cell>
          <cell r="H2489">
            <v>55316.49</v>
          </cell>
          <cell r="I2489" t="str">
            <v>FIN Submission</v>
          </cell>
          <cell r="J2489">
            <v>41871</v>
          </cell>
        </row>
        <row r="2490">
          <cell r="A2490" t="str">
            <v>24505-S598</v>
          </cell>
          <cell r="B2490" t="str">
            <v>TUC-Update 4 Plant  Air Compressors</v>
          </cell>
          <cell r="C2490" t="str">
            <v>zINVALID FIN Approval - Internal</v>
          </cell>
          <cell r="D2490">
            <v>131</v>
          </cell>
          <cell r="E2490" t="str">
            <v>APPROVED</v>
          </cell>
          <cell r="F2490">
            <v>40907</v>
          </cell>
          <cell r="G2490">
            <v>41639</v>
          </cell>
          <cell r="H2490">
            <v>40684.47</v>
          </cell>
          <cell r="I2490" t="str">
            <v>FIN Submission</v>
          </cell>
          <cell r="J2490">
            <v>41871</v>
          </cell>
        </row>
        <row r="2491">
          <cell r="A2491" t="str">
            <v>16495-H592</v>
          </cell>
          <cell r="B2491" t="str">
            <v>HYD - White Rock Electrical Refurb</v>
          </cell>
          <cell r="C2491" t="str">
            <v>FIN Approval - Internal</v>
          </cell>
          <cell r="D2491">
            <v>136</v>
          </cell>
          <cell r="E2491" t="str">
            <v>APPROVED</v>
          </cell>
          <cell r="F2491">
            <v>40573</v>
          </cell>
          <cell r="G2491">
            <v>41212</v>
          </cell>
          <cell r="H2491">
            <v>692842.54</v>
          </cell>
          <cell r="I2491" t="str">
            <v>FIN Submission</v>
          </cell>
          <cell r="J2491">
            <v>41871</v>
          </cell>
        </row>
        <row r="2492">
          <cell r="A2492" t="str">
            <v>14371-H619</v>
          </cell>
          <cell r="B2492" t="str">
            <v xml:space="preserve">HYD - AVO #2 PIPELINE REPLACE </v>
          </cell>
          <cell r="C2492" t="str">
            <v>FIN Approval - Internal</v>
          </cell>
          <cell r="D2492">
            <v>138</v>
          </cell>
          <cell r="E2492" t="str">
            <v>APPROVED</v>
          </cell>
          <cell r="F2492">
            <v>40877</v>
          </cell>
          <cell r="G2492">
            <v>41274</v>
          </cell>
          <cell r="H2492">
            <v>3827783.42</v>
          </cell>
          <cell r="I2492" t="str">
            <v>FIN Submission</v>
          </cell>
          <cell r="J2492">
            <v>41871</v>
          </cell>
        </row>
        <row r="2493">
          <cell r="A2493" t="str">
            <v>14361-H563</v>
          </cell>
          <cell r="B2493" t="str">
            <v>HYD Soldiers Lake Dam Safe</v>
          </cell>
          <cell r="C2493" t="str">
            <v>FIN Approval - Internal</v>
          </cell>
          <cell r="D2493">
            <v>138</v>
          </cell>
          <cell r="E2493" t="str">
            <v>APPROVED</v>
          </cell>
          <cell r="F2493">
            <v>40421</v>
          </cell>
          <cell r="G2493">
            <v>40816</v>
          </cell>
          <cell r="H2493">
            <v>892417.61</v>
          </cell>
          <cell r="I2493" t="str">
            <v>FIN Submission</v>
          </cell>
          <cell r="J2493">
            <v>41871</v>
          </cell>
        </row>
        <row r="2494">
          <cell r="A2494" t="str">
            <v>28247-S157</v>
          </cell>
          <cell r="B2494" t="str">
            <v>POT - E COAL CONVEYOR REFURBISHMENT</v>
          </cell>
          <cell r="C2494" t="str">
            <v>FIN Approval - Internal</v>
          </cell>
          <cell r="D2494">
            <v>138</v>
          </cell>
          <cell r="E2494" t="str">
            <v>APPROVED</v>
          </cell>
          <cell r="F2494">
            <v>39691</v>
          </cell>
          <cell r="G2494">
            <v>41274</v>
          </cell>
          <cell r="H2494">
            <v>56462.71</v>
          </cell>
          <cell r="I2494" t="str">
            <v>FIN Submission</v>
          </cell>
          <cell r="J2494">
            <v>41871</v>
          </cell>
        </row>
        <row r="2495">
          <cell r="A2495" t="str">
            <v>28678-H547</v>
          </cell>
          <cell r="B2495" t="str">
            <v>HYD Renewable In-Stream Tidal Gen</v>
          </cell>
          <cell r="C2495" t="str">
            <v>FIN Approval - Internal</v>
          </cell>
          <cell r="D2495">
            <v>144</v>
          </cell>
          <cell r="E2495" t="str">
            <v>APPROVED</v>
          </cell>
          <cell r="F2495">
            <v>40117</v>
          </cell>
          <cell r="G2495">
            <v>41455</v>
          </cell>
          <cell r="H2495">
            <v>3336217.74</v>
          </cell>
          <cell r="I2495" t="str">
            <v>FIN Submission</v>
          </cell>
          <cell r="J2495">
            <v>41871</v>
          </cell>
        </row>
        <row r="2496">
          <cell r="A2496" t="str">
            <v>21268-S767</v>
          </cell>
          <cell r="B2496" t="str">
            <v xml:space="preserve">4KV MOTOR REFURBSIHMENT (UNPLANNED </v>
          </cell>
          <cell r="C2496" t="str">
            <v>zINVALID FIN Approval - Internal</v>
          </cell>
          <cell r="D2496">
            <v>5</v>
          </cell>
          <cell r="E2496" t="str">
            <v>APPROVED</v>
          </cell>
          <cell r="F2496">
            <v>38356</v>
          </cell>
          <cell r="G2496">
            <v>38442</v>
          </cell>
          <cell r="H2496">
            <v>42456.44</v>
          </cell>
          <cell r="I2496" t="str">
            <v>FIN Submission</v>
          </cell>
          <cell r="J2496">
            <v>41859</v>
          </cell>
        </row>
        <row r="2497">
          <cell r="A2497" t="str">
            <v>14675-S329</v>
          </cell>
          <cell r="B2497" t="str">
            <v xml:space="preserve">PT ACONI - UPGRADE SUPERHEATER III </v>
          </cell>
          <cell r="C2497" t="str">
            <v>zINVALID FIN Approval - Internal</v>
          </cell>
          <cell r="D2497">
            <v>5</v>
          </cell>
          <cell r="E2497" t="str">
            <v>APPROVED</v>
          </cell>
          <cell r="F2497">
            <v>36647</v>
          </cell>
          <cell r="G2497">
            <v>37256</v>
          </cell>
          <cell r="H2497">
            <v>75788.11</v>
          </cell>
          <cell r="I2497" t="str">
            <v>FIN Submission</v>
          </cell>
          <cell r="J2497">
            <v>41859</v>
          </cell>
        </row>
        <row r="2498">
          <cell r="A2498" t="str">
            <v>44448-SB83</v>
          </cell>
          <cell r="B2498" t="str">
            <v>LIN1 UU Turbine Valve Refurbishment</v>
          </cell>
          <cell r="C2498" t="str">
            <v>zINVALID FIN Approval - Internal</v>
          </cell>
          <cell r="D2498">
            <v>12</v>
          </cell>
          <cell r="E2498" t="str">
            <v>APPROVED</v>
          </cell>
          <cell r="F2498">
            <v>41395</v>
          </cell>
          <cell r="G2498">
            <v>41547</v>
          </cell>
          <cell r="H2498">
            <v>176065.68</v>
          </cell>
          <cell r="I2498" t="str">
            <v>FIN Submission</v>
          </cell>
          <cell r="J2498">
            <v>41859</v>
          </cell>
        </row>
        <row r="2499">
          <cell r="A2499" t="str">
            <v>44363-T774</v>
          </cell>
          <cell r="B2499" t="str">
            <v>U&amp;U Replace 58H-T3 Transformer</v>
          </cell>
          <cell r="C2499" t="str">
            <v>FIN Approval - Internal</v>
          </cell>
          <cell r="D2499">
            <v>18</v>
          </cell>
          <cell r="E2499" t="str">
            <v>APPROVED</v>
          </cell>
          <cell r="F2499">
            <v>41547</v>
          </cell>
          <cell r="G2499">
            <v>41698</v>
          </cell>
          <cell r="H2499">
            <v>293325.21999999997</v>
          </cell>
          <cell r="I2499" t="str">
            <v>FIN Submission</v>
          </cell>
          <cell r="J2499">
            <v>41859</v>
          </cell>
        </row>
        <row r="2500">
          <cell r="A2500" t="str">
            <v>44050-D479</v>
          </cell>
          <cell r="B2500" t="str">
            <v>126H-311 Myra RD Phase Extension</v>
          </cell>
          <cell r="C2500" t="str">
            <v>FIN Approval - Internal</v>
          </cell>
          <cell r="D2500">
            <v>19</v>
          </cell>
          <cell r="E2500" t="str">
            <v>APPROVED</v>
          </cell>
          <cell r="F2500">
            <v>41424</v>
          </cell>
          <cell r="G2500">
            <v>41670</v>
          </cell>
          <cell r="H2500">
            <v>110980.58</v>
          </cell>
          <cell r="I2500" t="str">
            <v>FIN Submission</v>
          </cell>
          <cell r="J2500">
            <v>41859</v>
          </cell>
        </row>
        <row r="2501">
          <cell r="A2501" t="str">
            <v>44089-D485</v>
          </cell>
          <cell r="B2501" t="str">
            <v>57C-426H Sherbrooke Pole Replace</v>
          </cell>
          <cell r="C2501" t="str">
            <v>FIN Approval - Internal</v>
          </cell>
          <cell r="D2501">
            <v>23</v>
          </cell>
          <cell r="E2501" t="str">
            <v>APPROVED</v>
          </cell>
          <cell r="F2501">
            <v>41424</v>
          </cell>
          <cell r="G2501">
            <v>41638</v>
          </cell>
          <cell r="H2501">
            <v>46011.55</v>
          </cell>
          <cell r="I2501" t="str">
            <v>FIN Submission</v>
          </cell>
          <cell r="J2501">
            <v>41859</v>
          </cell>
        </row>
        <row r="2502">
          <cell r="A2502" t="str">
            <v>43098-D445</v>
          </cell>
          <cell r="B2502" t="str">
            <v>126H-421 Cobequid Rail Crossing</v>
          </cell>
          <cell r="C2502" t="str">
            <v>zINVALID FIN Approval - Internal</v>
          </cell>
          <cell r="D2502">
            <v>26</v>
          </cell>
          <cell r="E2502" t="str">
            <v>APPROVED</v>
          </cell>
          <cell r="F2502">
            <v>41363</v>
          </cell>
          <cell r="G2502">
            <v>41670</v>
          </cell>
          <cell r="H2502">
            <v>115612.54</v>
          </cell>
          <cell r="I2502" t="str">
            <v>FIN Submission</v>
          </cell>
          <cell r="J2502">
            <v>41859</v>
          </cell>
        </row>
        <row r="2503">
          <cell r="A2503" t="str">
            <v>43178-D458</v>
          </cell>
          <cell r="B2503" t="str">
            <v>20H-302 - Sambro - Replacements U&amp;U</v>
          </cell>
          <cell r="C2503" t="str">
            <v>zINVALID FIN Approval - Internal</v>
          </cell>
          <cell r="D2503">
            <v>27</v>
          </cell>
          <cell r="E2503" t="str">
            <v>APPROVED</v>
          </cell>
          <cell r="F2503">
            <v>41261</v>
          </cell>
          <cell r="G2503">
            <v>41363</v>
          </cell>
          <cell r="H2503">
            <v>68135.33</v>
          </cell>
          <cell r="I2503" t="str">
            <v>FIN Submission</v>
          </cell>
          <cell r="J2503">
            <v>41859</v>
          </cell>
        </row>
        <row r="2504">
          <cell r="A2504" t="str">
            <v>42088-D412</v>
          </cell>
          <cell r="B2504" t="str">
            <v>14C-211 Petit de Grat Re-Build</v>
          </cell>
          <cell r="C2504" t="str">
            <v>zINVALID FIN Approval - Internal</v>
          </cell>
          <cell r="D2504">
            <v>32</v>
          </cell>
          <cell r="E2504" t="str">
            <v>APPROVED</v>
          </cell>
          <cell r="F2504">
            <v>41176</v>
          </cell>
          <cell r="G2504">
            <v>41455</v>
          </cell>
          <cell r="H2504">
            <v>291049.77</v>
          </cell>
          <cell r="I2504" t="str">
            <v>FIN Submission</v>
          </cell>
          <cell r="J2504">
            <v>41859</v>
          </cell>
        </row>
        <row r="2505">
          <cell r="A2505" t="str">
            <v>42128-D414</v>
          </cell>
          <cell r="B2505" t="str">
            <v>87H-313 Clam Harbour Phase Addition</v>
          </cell>
          <cell r="C2505" t="str">
            <v>zINVALID FIN Approval - Internal</v>
          </cell>
          <cell r="D2505">
            <v>32</v>
          </cell>
          <cell r="E2505" t="str">
            <v>APPROVED</v>
          </cell>
          <cell r="F2505">
            <v>41151</v>
          </cell>
          <cell r="G2505">
            <v>41273</v>
          </cell>
          <cell r="H2505">
            <v>87863.73</v>
          </cell>
          <cell r="I2505" t="str">
            <v>FIN Submission</v>
          </cell>
          <cell r="J2505">
            <v>41859</v>
          </cell>
        </row>
        <row r="2506">
          <cell r="A2506" t="str">
            <v>42592-D422</v>
          </cell>
          <cell r="B2506" t="str">
            <v>11S-303 Gang Switch &amp; Circ Re-Conf</v>
          </cell>
          <cell r="C2506" t="str">
            <v>zINVALID FIN Approval - Internal</v>
          </cell>
          <cell r="D2506">
            <v>33</v>
          </cell>
          <cell r="E2506" t="str">
            <v>APPROVED</v>
          </cell>
          <cell r="F2506">
            <v>41261</v>
          </cell>
          <cell r="G2506">
            <v>41608</v>
          </cell>
          <cell r="H2506">
            <v>139061.37</v>
          </cell>
          <cell r="I2506" t="str">
            <v>FIN Submission</v>
          </cell>
          <cell r="J2506">
            <v>41859</v>
          </cell>
        </row>
        <row r="2507">
          <cell r="A2507" t="str">
            <v>26001-H493</v>
          </cell>
          <cell r="B2507" t="str">
            <v>RUTH FALLS CANAL FISH LOVRE IMPROVE</v>
          </cell>
          <cell r="C2507" t="str">
            <v>FIN Approval - Internal</v>
          </cell>
          <cell r="D2507">
            <v>38</v>
          </cell>
          <cell r="E2507" t="str">
            <v>APPROVED</v>
          </cell>
          <cell r="F2507">
            <v>39051</v>
          </cell>
          <cell r="G2507">
            <v>39599</v>
          </cell>
          <cell r="H2507">
            <v>405953.17</v>
          </cell>
          <cell r="I2507" t="str">
            <v>FIN Submission</v>
          </cell>
          <cell r="J2507">
            <v>41859</v>
          </cell>
        </row>
        <row r="2508">
          <cell r="A2508" t="str">
            <v>40788-T665</v>
          </cell>
          <cell r="B2508" t="str">
            <v>L6538 Upgrade</v>
          </cell>
          <cell r="C2508" t="str">
            <v>FIN Approval - Internal</v>
          </cell>
          <cell r="D2508">
            <v>45</v>
          </cell>
          <cell r="E2508" t="str">
            <v>APPROVED</v>
          </cell>
          <cell r="F2508">
            <v>40816</v>
          </cell>
          <cell r="G2508">
            <v>41180</v>
          </cell>
          <cell r="H2508">
            <v>177130.08</v>
          </cell>
          <cell r="I2508" t="str">
            <v>FIN Submission</v>
          </cell>
          <cell r="J2508">
            <v>41859</v>
          </cell>
        </row>
        <row r="2509">
          <cell r="A2509" t="str">
            <v>27416-S114</v>
          </cell>
          <cell r="B2509" t="str">
            <v>LIN - PLC REPLACEMENTS COMMON SYSTE</v>
          </cell>
          <cell r="C2509" t="str">
            <v>zINVALID FIN Approval - Internal</v>
          </cell>
          <cell r="D2509">
            <v>46</v>
          </cell>
          <cell r="E2509" t="str">
            <v>APPROVED</v>
          </cell>
          <cell r="F2509">
            <v>39101</v>
          </cell>
          <cell r="G2509">
            <v>39783</v>
          </cell>
          <cell r="H2509">
            <v>145022.88</v>
          </cell>
          <cell r="I2509" t="str">
            <v>FIN Submission</v>
          </cell>
          <cell r="J2509">
            <v>41859</v>
          </cell>
        </row>
        <row r="2510">
          <cell r="A2510" t="str">
            <v>40726-T659</v>
          </cell>
          <cell r="B2510" t="str">
            <v>L6513 Upgrade</v>
          </cell>
          <cell r="C2510" t="str">
            <v>FIN Approval - Internal</v>
          </cell>
          <cell r="D2510">
            <v>47</v>
          </cell>
          <cell r="E2510" t="str">
            <v>APPROVED</v>
          </cell>
          <cell r="F2510">
            <v>40724</v>
          </cell>
          <cell r="G2510">
            <v>41153</v>
          </cell>
          <cell r="H2510">
            <v>273421.82</v>
          </cell>
          <cell r="I2510" t="str">
            <v>FIN Submission</v>
          </cell>
          <cell r="J2510">
            <v>41859</v>
          </cell>
        </row>
        <row r="2511">
          <cell r="A2511" t="str">
            <v>28308-S184</v>
          </cell>
          <cell r="B2511" t="str">
            <v>TRE - 4KV MOTOR REFURBISHMENT PROGR</v>
          </cell>
          <cell r="C2511" t="str">
            <v>zINVALID FIN Approval - Internal</v>
          </cell>
          <cell r="D2511">
            <v>48</v>
          </cell>
          <cell r="E2511" t="str">
            <v>APPROVED</v>
          </cell>
          <cell r="F2511">
            <v>39356</v>
          </cell>
          <cell r="G2511">
            <v>39507</v>
          </cell>
          <cell r="H2511">
            <v>220364.9</v>
          </cell>
          <cell r="I2511" t="str">
            <v>FIN Submission</v>
          </cell>
          <cell r="J2511">
            <v>41859</v>
          </cell>
        </row>
        <row r="2512">
          <cell r="A2512" t="str">
            <v>41570-S934</v>
          </cell>
          <cell r="B2512" t="str">
            <v>POA- Reverse Air Fan Replacement</v>
          </cell>
          <cell r="C2512" t="str">
            <v>zINVALID FIN Approval - Internal</v>
          </cell>
          <cell r="D2512">
            <v>52</v>
          </cell>
          <cell r="E2512" t="str">
            <v>APPROVED</v>
          </cell>
          <cell r="F2512">
            <v>41204</v>
          </cell>
          <cell r="G2512">
            <v>41334</v>
          </cell>
          <cell r="H2512">
            <v>128663.78</v>
          </cell>
          <cell r="I2512" t="str">
            <v>FIN Submission</v>
          </cell>
          <cell r="J2512">
            <v>41859</v>
          </cell>
        </row>
        <row r="2513">
          <cell r="A2513" t="str">
            <v>41596-S841</v>
          </cell>
          <cell r="B2513" t="str">
            <v>TUC1 - U&amp;U North BFP Refurbishment</v>
          </cell>
          <cell r="C2513" t="str">
            <v>zINVALID FIN Approval - Internal</v>
          </cell>
          <cell r="D2513">
            <v>52</v>
          </cell>
          <cell r="E2513" t="str">
            <v>APPROVED</v>
          </cell>
          <cell r="F2513">
            <v>40998</v>
          </cell>
          <cell r="G2513">
            <v>41639</v>
          </cell>
          <cell r="H2513">
            <v>196866.37</v>
          </cell>
          <cell r="I2513" t="str">
            <v>FIN Submission</v>
          </cell>
          <cell r="J2513">
            <v>41859</v>
          </cell>
        </row>
        <row r="2514">
          <cell r="A2514" t="str">
            <v>41329-D400</v>
          </cell>
          <cell r="B2514" t="str">
            <v>11W-202 Voltage Conversion to 12 kV</v>
          </cell>
          <cell r="C2514" t="str">
            <v>zINVALID FIN Approval - Internal</v>
          </cell>
          <cell r="D2514">
            <v>54</v>
          </cell>
          <cell r="E2514" t="str">
            <v>APPROVED</v>
          </cell>
          <cell r="F2514">
            <v>41176</v>
          </cell>
          <cell r="G2514">
            <v>41577</v>
          </cell>
          <cell r="H2514">
            <v>120766.55</v>
          </cell>
          <cell r="I2514" t="str">
            <v>FIN Submission</v>
          </cell>
          <cell r="J2514">
            <v>41859</v>
          </cell>
        </row>
        <row r="2515">
          <cell r="A2515" t="str">
            <v>41326-D413</v>
          </cell>
          <cell r="B2515" t="str">
            <v>103C-311 Targeted Feeder Replacemen</v>
          </cell>
          <cell r="C2515" t="str">
            <v>zINVALID FIN Approval - Internal</v>
          </cell>
          <cell r="D2515">
            <v>55</v>
          </cell>
          <cell r="E2515" t="str">
            <v>APPROVED</v>
          </cell>
          <cell r="F2515">
            <v>41058</v>
          </cell>
          <cell r="G2515">
            <v>41272</v>
          </cell>
          <cell r="H2515">
            <v>129542.05</v>
          </cell>
          <cell r="I2515" t="str">
            <v>FIN Submission</v>
          </cell>
          <cell r="J2515">
            <v>41859</v>
          </cell>
        </row>
        <row r="2516">
          <cell r="A2516" t="str">
            <v>41601-D376</v>
          </cell>
          <cell r="B2516" t="str">
            <v>686H - Lawerencetown Stepdown</v>
          </cell>
          <cell r="C2516" t="str">
            <v>zINVALID FIN Approval - Internal</v>
          </cell>
          <cell r="D2516">
            <v>55</v>
          </cell>
          <cell r="E2516" t="str">
            <v>APPROVED</v>
          </cell>
          <cell r="F2516">
            <v>40967</v>
          </cell>
          <cell r="G2516">
            <v>41608</v>
          </cell>
          <cell r="H2516">
            <v>77021.14</v>
          </cell>
          <cell r="I2516" t="str">
            <v>FIN Submission</v>
          </cell>
          <cell r="J2516">
            <v>41859</v>
          </cell>
        </row>
        <row r="2517">
          <cell r="A2517" t="str">
            <v>28329-S128</v>
          </cell>
          <cell r="B2517" t="str">
            <v>LIN - CW PUMP REBUILD</v>
          </cell>
          <cell r="C2517" t="str">
            <v>zINVALID FIN Approval - Internal</v>
          </cell>
          <cell r="D2517">
            <v>55</v>
          </cell>
          <cell r="E2517" t="str">
            <v>APPROVED</v>
          </cell>
          <cell r="F2517">
            <v>39416</v>
          </cell>
          <cell r="G2517">
            <v>41577</v>
          </cell>
          <cell r="H2517">
            <v>329872.77</v>
          </cell>
          <cell r="I2517" t="str">
            <v>FIN Submission</v>
          </cell>
          <cell r="J2517">
            <v>41859</v>
          </cell>
        </row>
        <row r="2518">
          <cell r="A2518" t="str">
            <v>41332-D415</v>
          </cell>
          <cell r="B2518" t="str">
            <v>15S-302 Targeted Feeder Replacement</v>
          </cell>
          <cell r="C2518" t="str">
            <v>zINVALID FIN Approval - Internal</v>
          </cell>
          <cell r="D2518">
            <v>56</v>
          </cell>
          <cell r="E2518" t="str">
            <v>APPROVED</v>
          </cell>
          <cell r="F2518">
            <v>40966</v>
          </cell>
          <cell r="G2518">
            <v>41273</v>
          </cell>
          <cell r="H2518">
            <v>137791.06</v>
          </cell>
          <cell r="I2518" t="str">
            <v>FIN Submission</v>
          </cell>
          <cell r="J2518">
            <v>41859</v>
          </cell>
        </row>
        <row r="2519">
          <cell r="A2519" t="str">
            <v>41393-D405</v>
          </cell>
          <cell r="B2519" t="str">
            <v>2012 Automatic Sleeve Replacements</v>
          </cell>
          <cell r="C2519" t="str">
            <v>zINVALID FIN Approval - Internal</v>
          </cell>
          <cell r="D2519">
            <v>56</v>
          </cell>
          <cell r="E2519" t="str">
            <v>APPROVED</v>
          </cell>
          <cell r="F2519">
            <v>41292</v>
          </cell>
          <cell r="G2519">
            <v>41639</v>
          </cell>
          <cell r="H2519">
            <v>283143.37</v>
          </cell>
          <cell r="I2519" t="str">
            <v>FIN Submission</v>
          </cell>
          <cell r="J2519">
            <v>41859</v>
          </cell>
        </row>
        <row r="2520">
          <cell r="A2520" t="str">
            <v>41397-D420</v>
          </cell>
          <cell r="B2520" t="str">
            <v>2012 Padmount Switchgear Replacemen</v>
          </cell>
          <cell r="C2520" t="str">
            <v>zINVALID FIN Approval - Internal</v>
          </cell>
          <cell r="D2520">
            <v>56</v>
          </cell>
          <cell r="E2520" t="str">
            <v>APPROVED</v>
          </cell>
          <cell r="F2520">
            <v>41261</v>
          </cell>
          <cell r="G2520">
            <v>41273</v>
          </cell>
          <cell r="H2520">
            <v>128388.56</v>
          </cell>
          <cell r="I2520" t="str">
            <v>FIN Submission</v>
          </cell>
          <cell r="J2520">
            <v>41859</v>
          </cell>
        </row>
        <row r="2521">
          <cell r="A2521" t="str">
            <v>41388-D438</v>
          </cell>
          <cell r="B2521" t="str">
            <v>7H Beaufort Conversion</v>
          </cell>
          <cell r="C2521" t="str">
            <v>zINVALID FIN Approval - Internal</v>
          </cell>
          <cell r="D2521">
            <v>56</v>
          </cell>
          <cell r="E2521" t="str">
            <v>APPROVED</v>
          </cell>
          <cell r="F2521">
            <v>41292</v>
          </cell>
          <cell r="G2521">
            <v>41638</v>
          </cell>
          <cell r="H2521">
            <v>347534.27</v>
          </cell>
          <cell r="I2521" t="str">
            <v>FIN Submission</v>
          </cell>
          <cell r="J2521">
            <v>41859</v>
          </cell>
        </row>
        <row r="2522">
          <cell r="A2522" t="str">
            <v>41342-D402</v>
          </cell>
          <cell r="B2522" t="str">
            <v>81S-301 Targeted Feeder Replacement</v>
          </cell>
          <cell r="C2522" t="str">
            <v>zINVALID FIN Approval - Internal</v>
          </cell>
          <cell r="D2522">
            <v>56</v>
          </cell>
          <cell r="E2522" t="str">
            <v>APPROVED</v>
          </cell>
          <cell r="F2522">
            <v>40968</v>
          </cell>
          <cell r="G2522">
            <v>41272</v>
          </cell>
          <cell r="H2522">
            <v>102991.38</v>
          </cell>
          <cell r="I2522" t="str">
            <v>FIN Submission</v>
          </cell>
          <cell r="J2522">
            <v>41859</v>
          </cell>
        </row>
        <row r="2523">
          <cell r="A2523" t="str">
            <v>41343-D403</v>
          </cell>
          <cell r="B2523" t="str">
            <v>81S-302 Targeted Feeder Replacement</v>
          </cell>
          <cell r="C2523" t="str">
            <v>zINVALID FIN Approval - Internal</v>
          </cell>
          <cell r="D2523">
            <v>56</v>
          </cell>
          <cell r="E2523" t="str">
            <v>APPROVED</v>
          </cell>
          <cell r="F2523">
            <v>40997</v>
          </cell>
          <cell r="G2523">
            <v>41272</v>
          </cell>
          <cell r="H2523">
            <v>231673.46</v>
          </cell>
          <cell r="I2523" t="str">
            <v>FIN Submission</v>
          </cell>
          <cell r="J2523">
            <v>41859</v>
          </cell>
        </row>
        <row r="2524">
          <cell r="A2524" t="str">
            <v>41344-D404</v>
          </cell>
          <cell r="B2524" t="str">
            <v>81S-305 Targeted Feeder Replacement</v>
          </cell>
          <cell r="C2524" t="str">
            <v>zINVALID FIN Approval - Internal</v>
          </cell>
          <cell r="D2524">
            <v>56</v>
          </cell>
          <cell r="E2524" t="str">
            <v>APPROVED</v>
          </cell>
          <cell r="F2524">
            <v>41058</v>
          </cell>
          <cell r="G2524">
            <v>41272</v>
          </cell>
          <cell r="H2524">
            <v>163894.79999999999</v>
          </cell>
          <cell r="I2524" t="str">
            <v>FIN Submission</v>
          </cell>
          <cell r="J2524">
            <v>41859</v>
          </cell>
        </row>
        <row r="2525">
          <cell r="A2525" t="str">
            <v>41345-D416</v>
          </cell>
          <cell r="B2525" t="str">
            <v>82S-303 Targeted Feeder Replacement</v>
          </cell>
          <cell r="C2525" t="str">
            <v>zINVALID FIN Approval - Internal</v>
          </cell>
          <cell r="D2525">
            <v>56</v>
          </cell>
          <cell r="E2525" t="str">
            <v>APPROVED</v>
          </cell>
          <cell r="F2525">
            <v>40967</v>
          </cell>
          <cell r="G2525">
            <v>41273</v>
          </cell>
          <cell r="H2525">
            <v>133749.95000000001</v>
          </cell>
          <cell r="I2525" t="str">
            <v>FIN Submission</v>
          </cell>
          <cell r="J2525">
            <v>41859</v>
          </cell>
        </row>
        <row r="2526">
          <cell r="A2526" t="str">
            <v>41360-D428</v>
          </cell>
          <cell r="B2526" t="str">
            <v>82V-423 Hardwood Lands Replacement</v>
          </cell>
          <cell r="C2526" t="str">
            <v>zINVALID FIN Approval - Internal</v>
          </cell>
          <cell r="D2526">
            <v>56</v>
          </cell>
          <cell r="E2526" t="str">
            <v>APPROVED</v>
          </cell>
          <cell r="F2526">
            <v>41212</v>
          </cell>
          <cell r="G2526">
            <v>41545</v>
          </cell>
          <cell r="H2526">
            <v>660248.68000000005</v>
          </cell>
          <cell r="I2526" t="str">
            <v>FIN Submission</v>
          </cell>
          <cell r="J2526">
            <v>41859</v>
          </cell>
        </row>
        <row r="2527">
          <cell r="A2527" t="str">
            <v>41056-S913</v>
          </cell>
          <cell r="B2527" t="str">
            <v>POA - Plant Access Upgrade</v>
          </cell>
          <cell r="C2527" t="str">
            <v>zINVALID FIN Approval - Internal</v>
          </cell>
          <cell r="D2527">
            <v>56</v>
          </cell>
          <cell r="E2527" t="str">
            <v>APPROVED</v>
          </cell>
          <cell r="F2527">
            <v>41274</v>
          </cell>
          <cell r="G2527">
            <v>41547</v>
          </cell>
          <cell r="H2527">
            <v>113049.93</v>
          </cell>
          <cell r="I2527" t="str">
            <v>FIN Submission</v>
          </cell>
          <cell r="J2527">
            <v>41859</v>
          </cell>
        </row>
        <row r="2528">
          <cell r="A2528" t="str">
            <v>41059-S942</v>
          </cell>
          <cell r="B2528" t="str">
            <v>POA - Coal Chute and Reclaim Refurb</v>
          </cell>
          <cell r="C2528" t="str">
            <v>zINVALID FIN Approval - Internal</v>
          </cell>
          <cell r="D2528">
            <v>57</v>
          </cell>
          <cell r="E2528" t="str">
            <v>APPROVED</v>
          </cell>
          <cell r="F2528">
            <v>41274</v>
          </cell>
          <cell r="G2528">
            <v>41274</v>
          </cell>
          <cell r="H2528">
            <v>72868.509999999995</v>
          </cell>
          <cell r="I2528" t="str">
            <v>FIN Submission</v>
          </cell>
          <cell r="J2528">
            <v>41859</v>
          </cell>
        </row>
        <row r="2529">
          <cell r="A2529" t="str">
            <v>41354-D441</v>
          </cell>
          <cell r="B2529" t="str">
            <v>519N-201 Partial Conversion 25KV</v>
          </cell>
          <cell r="C2529" t="str">
            <v>zINVALID FIN Approval - Internal</v>
          </cell>
          <cell r="D2529">
            <v>58</v>
          </cell>
          <cell r="E2529" t="str">
            <v>APPROVED</v>
          </cell>
          <cell r="F2529">
            <v>41182</v>
          </cell>
          <cell r="G2529">
            <v>41638</v>
          </cell>
          <cell r="H2529">
            <v>232933.62</v>
          </cell>
          <cell r="I2529" t="str">
            <v>FIN Submission</v>
          </cell>
          <cell r="J2529">
            <v>41859</v>
          </cell>
        </row>
        <row r="2530">
          <cell r="A2530" t="str">
            <v>41052-SA42</v>
          </cell>
          <cell r="B2530" t="str">
            <v>POA - Cracker Soft Start Installati</v>
          </cell>
          <cell r="C2530" t="str">
            <v>zINVALID FIN Approval - Internal</v>
          </cell>
          <cell r="D2530">
            <v>58</v>
          </cell>
          <cell r="E2530" t="str">
            <v>APPROVED</v>
          </cell>
          <cell r="F2530">
            <v>41274</v>
          </cell>
          <cell r="G2530">
            <v>41365</v>
          </cell>
          <cell r="H2530">
            <v>75790.28</v>
          </cell>
          <cell r="I2530" t="str">
            <v>FIN Submission</v>
          </cell>
          <cell r="J2530">
            <v>41859</v>
          </cell>
        </row>
        <row r="2531">
          <cell r="A2531" t="str">
            <v>41356-D436</v>
          </cell>
          <cell r="B2531" t="str">
            <v>35V-312 Windsor Causeway</v>
          </cell>
          <cell r="C2531" t="str">
            <v>zINVALID FIN Approval - Internal</v>
          </cell>
          <cell r="D2531">
            <v>62</v>
          </cell>
          <cell r="E2531" t="str">
            <v>APPROVED</v>
          </cell>
          <cell r="F2531">
            <v>41261</v>
          </cell>
          <cell r="G2531">
            <v>41608</v>
          </cell>
          <cell r="H2531">
            <v>285010.01</v>
          </cell>
          <cell r="I2531" t="str">
            <v>FIN Submission</v>
          </cell>
          <cell r="J2531">
            <v>41859</v>
          </cell>
        </row>
        <row r="2532">
          <cell r="A2532" t="str">
            <v>40867-T697</v>
          </cell>
          <cell r="B2532" t="str">
            <v>59C-T61 Transformer Refurbishment</v>
          </cell>
          <cell r="C2532" t="str">
            <v>zINVALID FIN Approval - Internal</v>
          </cell>
          <cell r="D2532">
            <v>63</v>
          </cell>
          <cell r="E2532" t="str">
            <v>APPROVED</v>
          </cell>
          <cell r="F2532">
            <v>41177</v>
          </cell>
          <cell r="G2532">
            <v>41639</v>
          </cell>
          <cell r="H2532">
            <v>898807.94</v>
          </cell>
          <cell r="I2532" t="str">
            <v>FIN Submission</v>
          </cell>
          <cell r="J2532">
            <v>41859</v>
          </cell>
        </row>
        <row r="2533">
          <cell r="A2533" t="str">
            <v>40847-S758</v>
          </cell>
          <cell r="B2533" t="str">
            <v>U&amp;U POA - Misc. Valve Refurbishment</v>
          </cell>
          <cell r="C2533" t="str">
            <v>zINVALID FIN Approval - Internal</v>
          </cell>
          <cell r="D2533">
            <v>63</v>
          </cell>
          <cell r="E2533" t="str">
            <v>APPROVED</v>
          </cell>
          <cell r="F2533">
            <v>40704</v>
          </cell>
          <cell r="G2533">
            <v>40908</v>
          </cell>
          <cell r="H2533">
            <v>103389.44</v>
          </cell>
          <cell r="I2533" t="str">
            <v>FIN Submission</v>
          </cell>
          <cell r="J2533">
            <v>41859</v>
          </cell>
        </row>
        <row r="2534">
          <cell r="A2534" t="str">
            <v>24770-S916</v>
          </cell>
          <cell r="B2534" t="str">
            <v>LIN - REPLACE BOILER HYDRO PIPELINE</v>
          </cell>
          <cell r="C2534" t="str">
            <v>zINVALID FIN Approval - Internal</v>
          </cell>
          <cell r="D2534">
            <v>69</v>
          </cell>
          <cell r="E2534" t="str">
            <v>APPROVED</v>
          </cell>
          <cell r="F2534">
            <v>38973</v>
          </cell>
          <cell r="G2534">
            <v>40268</v>
          </cell>
          <cell r="H2534">
            <v>186864.91</v>
          </cell>
          <cell r="I2534" t="str">
            <v>FIN Submission</v>
          </cell>
          <cell r="J2534">
            <v>41859</v>
          </cell>
        </row>
        <row r="2535">
          <cell r="A2535" t="str">
            <v>40245-P852</v>
          </cell>
          <cell r="B2535" t="str">
            <v>2011 RTU Replacement Program</v>
          </cell>
          <cell r="C2535" t="str">
            <v>zINVALID FIN Approval - Internal</v>
          </cell>
          <cell r="D2535">
            <v>70</v>
          </cell>
          <cell r="E2535" t="str">
            <v>APPROVED</v>
          </cell>
          <cell r="F2535">
            <v>40908</v>
          </cell>
          <cell r="G2535">
            <v>41394</v>
          </cell>
          <cell r="H2535">
            <v>398505.74</v>
          </cell>
          <cell r="I2535" t="str">
            <v>FIN Submission</v>
          </cell>
          <cell r="J2535">
            <v>41859</v>
          </cell>
        </row>
        <row r="2536">
          <cell r="A2536" t="str">
            <v>40328-D353</v>
          </cell>
          <cell r="B2536" t="str">
            <v>Feeder Exit Cable Replacements</v>
          </cell>
          <cell r="C2536" t="str">
            <v>zINVALID FIN Approval - Internal</v>
          </cell>
          <cell r="D2536">
            <v>70</v>
          </cell>
          <cell r="E2536" t="str">
            <v>APPROVED</v>
          </cell>
          <cell r="F2536">
            <v>40908</v>
          </cell>
          <cell r="G2536">
            <v>41274</v>
          </cell>
          <cell r="H2536">
            <v>485035.71</v>
          </cell>
          <cell r="I2536" t="str">
            <v>FIN Submission</v>
          </cell>
          <cell r="J2536">
            <v>41859</v>
          </cell>
        </row>
        <row r="2537">
          <cell r="A2537" t="str">
            <v>40482-S770</v>
          </cell>
          <cell r="B2537" t="str">
            <v>POT - Unit 2 stack refurbishments</v>
          </cell>
          <cell r="C2537" t="str">
            <v>FIN Approval - Internal</v>
          </cell>
          <cell r="D2537">
            <v>73</v>
          </cell>
          <cell r="E2537" t="str">
            <v>APPROVED</v>
          </cell>
          <cell r="F2537">
            <v>40811</v>
          </cell>
          <cell r="G2537">
            <v>41639</v>
          </cell>
          <cell r="H2537">
            <v>126576.61</v>
          </cell>
          <cell r="I2537" t="str">
            <v>FIN Submission</v>
          </cell>
          <cell r="J2537">
            <v>41859</v>
          </cell>
        </row>
        <row r="2538">
          <cell r="A2538" t="str">
            <v>39644-D307</v>
          </cell>
          <cell r="B2538" t="str">
            <v>Mill Village Teleglobe Line Removal</v>
          </cell>
          <cell r="C2538" t="str">
            <v>FIN Approval - Internal</v>
          </cell>
          <cell r="D2538">
            <v>74</v>
          </cell>
          <cell r="E2538" t="str">
            <v>APPROVED</v>
          </cell>
          <cell r="F2538">
            <v>40633</v>
          </cell>
          <cell r="G2538">
            <v>41417</v>
          </cell>
          <cell r="H2538">
            <v>44071.65</v>
          </cell>
          <cell r="I2538" t="str">
            <v>FIN Submission</v>
          </cell>
          <cell r="J2538">
            <v>41859</v>
          </cell>
        </row>
        <row r="2539">
          <cell r="A2539" t="str">
            <v>40222-S813</v>
          </cell>
          <cell r="B2539" t="str">
            <v>LIN2 Replace BFP Check Valves</v>
          </cell>
          <cell r="C2539" t="str">
            <v>zINVALID FIN Approval - Internal</v>
          </cell>
          <cell r="D2539">
            <v>76</v>
          </cell>
          <cell r="E2539" t="str">
            <v>APPROVED</v>
          </cell>
          <cell r="F2539">
            <v>41151</v>
          </cell>
          <cell r="G2539">
            <v>41328</v>
          </cell>
          <cell r="H2539">
            <v>277203.34999999998</v>
          </cell>
          <cell r="I2539" t="str">
            <v>FIN Submission</v>
          </cell>
          <cell r="J2539">
            <v>41859</v>
          </cell>
        </row>
        <row r="2540">
          <cell r="A2540" t="str">
            <v>40051-S734</v>
          </cell>
          <cell r="B2540" t="str">
            <v>POA - 4KV Motor Refurb. Project</v>
          </cell>
          <cell r="C2540" t="str">
            <v>zINVALID FIN Approval - Internal</v>
          </cell>
          <cell r="D2540">
            <v>79</v>
          </cell>
          <cell r="E2540" t="str">
            <v>APPROVED</v>
          </cell>
          <cell r="F2540">
            <v>40699</v>
          </cell>
          <cell r="G2540">
            <v>40908</v>
          </cell>
          <cell r="H2540">
            <v>51179.38</v>
          </cell>
          <cell r="I2540" t="str">
            <v>FIN Submission</v>
          </cell>
          <cell r="J2540">
            <v>41859</v>
          </cell>
        </row>
        <row r="2541">
          <cell r="A2541" t="str">
            <v>38847-D367</v>
          </cell>
          <cell r="B2541" t="str">
            <v>Distribution Feeder Ties</v>
          </cell>
          <cell r="C2541" t="str">
            <v>FIN Approval - Internal</v>
          </cell>
          <cell r="D2541">
            <v>80</v>
          </cell>
          <cell r="E2541" t="str">
            <v>APPROVED</v>
          </cell>
          <cell r="F2541">
            <v>40756</v>
          </cell>
          <cell r="G2541">
            <v>41060</v>
          </cell>
          <cell r="H2541">
            <v>347465.23</v>
          </cell>
          <cell r="I2541" t="str">
            <v>FIN Submission</v>
          </cell>
          <cell r="J2541">
            <v>41859</v>
          </cell>
        </row>
        <row r="2542">
          <cell r="A2542" t="str">
            <v>38857-T685</v>
          </cell>
          <cell r="B2542" t="str">
            <v>L7004 Deteriorated Replacements</v>
          </cell>
          <cell r="C2542" t="str">
            <v>FIN Approval - Internal</v>
          </cell>
          <cell r="D2542">
            <v>80</v>
          </cell>
          <cell r="E2542" t="str">
            <v>APPROVED</v>
          </cell>
          <cell r="F2542">
            <v>40724</v>
          </cell>
          <cell r="G2542">
            <v>41213</v>
          </cell>
          <cell r="H2542">
            <v>2447746.17</v>
          </cell>
          <cell r="I2542" t="str">
            <v>FIN Submission</v>
          </cell>
          <cell r="J2542">
            <v>41859</v>
          </cell>
        </row>
        <row r="2543">
          <cell r="A2543" t="str">
            <v>40231-T688</v>
          </cell>
          <cell r="B2543" t="str">
            <v>2011 Protection Upgrades LAK</v>
          </cell>
          <cell r="C2543" t="str">
            <v>FIN Approval - Internal</v>
          </cell>
          <cell r="D2543">
            <v>83</v>
          </cell>
          <cell r="E2543" t="str">
            <v>APPROVED</v>
          </cell>
          <cell r="F2543">
            <v>41577</v>
          </cell>
          <cell r="G2543">
            <v>41729</v>
          </cell>
          <cell r="H2543">
            <v>1845085.77</v>
          </cell>
          <cell r="I2543" t="str">
            <v>FIN Submission</v>
          </cell>
          <cell r="J2543">
            <v>41859</v>
          </cell>
        </row>
        <row r="2544">
          <cell r="A2544" t="str">
            <v>40233-T662</v>
          </cell>
          <cell r="B2544" t="str">
            <v>2011 Protection Upgrades TUC</v>
          </cell>
          <cell r="C2544" t="str">
            <v>FIN Approval - Internal</v>
          </cell>
          <cell r="D2544">
            <v>83</v>
          </cell>
          <cell r="E2544" t="str">
            <v>APPROVED</v>
          </cell>
          <cell r="F2544">
            <v>41223</v>
          </cell>
          <cell r="G2544">
            <v>41638</v>
          </cell>
          <cell r="H2544">
            <v>4173842.31</v>
          </cell>
          <cell r="I2544" t="str">
            <v>FIN Submission</v>
          </cell>
          <cell r="J2544">
            <v>41859</v>
          </cell>
        </row>
        <row r="2545">
          <cell r="A2545" t="str">
            <v>38142-P859</v>
          </cell>
          <cell r="B2545" t="str">
            <v>RTU Replacement Program</v>
          </cell>
          <cell r="C2545" t="str">
            <v>FIN Approval - Internal</v>
          </cell>
          <cell r="D2545">
            <v>84</v>
          </cell>
          <cell r="E2545" t="str">
            <v>APPROVED</v>
          </cell>
          <cell r="F2545">
            <v>40543</v>
          </cell>
          <cell r="G2545">
            <v>41029</v>
          </cell>
          <cell r="H2545">
            <v>410228.52</v>
          </cell>
          <cell r="I2545" t="str">
            <v>FIN Submission</v>
          </cell>
          <cell r="J2545">
            <v>41859</v>
          </cell>
        </row>
        <row r="2546">
          <cell r="A2546" t="str">
            <v>40202-D340</v>
          </cell>
          <cell r="B2546" t="str">
            <v>39N Maccan Conversion</v>
          </cell>
          <cell r="C2546" t="str">
            <v>FIN Approval - Internal</v>
          </cell>
          <cell r="D2546">
            <v>85</v>
          </cell>
          <cell r="E2546" t="str">
            <v>APPROVED</v>
          </cell>
          <cell r="F2546">
            <v>40907</v>
          </cell>
          <cell r="G2546">
            <v>41820</v>
          </cell>
          <cell r="H2546">
            <v>322491.57</v>
          </cell>
          <cell r="I2546" t="str">
            <v>FIN Submission</v>
          </cell>
          <cell r="J2546">
            <v>41859</v>
          </cell>
        </row>
        <row r="2547">
          <cell r="A2547" t="str">
            <v>36942-T649</v>
          </cell>
          <cell r="B2547" t="str">
            <v>1H-B62 Bus Replacement Water St U&amp;U</v>
          </cell>
          <cell r="C2547" t="str">
            <v>FIN Approval - Internal</v>
          </cell>
          <cell r="D2547">
            <v>86</v>
          </cell>
          <cell r="E2547" t="str">
            <v>APPROVED</v>
          </cell>
          <cell r="F2547">
            <v>40574</v>
          </cell>
          <cell r="G2547">
            <v>40632</v>
          </cell>
          <cell r="H2547">
            <v>1052046.04</v>
          </cell>
          <cell r="I2547" t="str">
            <v>FIN Submission</v>
          </cell>
          <cell r="J2547">
            <v>41859</v>
          </cell>
        </row>
        <row r="2548">
          <cell r="A2548" t="str">
            <v>34582-P857</v>
          </cell>
          <cell r="B2548" t="str">
            <v>Class 3 Light Work Vehicles</v>
          </cell>
          <cell r="C2548" t="str">
            <v>FIN Approval - Internal</v>
          </cell>
          <cell r="D2548">
            <v>91</v>
          </cell>
          <cell r="E2548" t="str">
            <v>APPROVED</v>
          </cell>
          <cell r="F2548">
            <v>40634</v>
          </cell>
          <cell r="G2548">
            <v>41182</v>
          </cell>
          <cell r="H2548">
            <v>936667.9</v>
          </cell>
          <cell r="I2548" t="str">
            <v>FIN Submission</v>
          </cell>
          <cell r="J2548">
            <v>41859</v>
          </cell>
        </row>
        <row r="2549">
          <cell r="A2549" t="str">
            <v>38024-D361</v>
          </cell>
          <cell r="B2549" t="str">
            <v>2010 Dist. Cutout Replacements</v>
          </cell>
          <cell r="C2549" t="str">
            <v>zINVALID FIN Approval - Internal</v>
          </cell>
          <cell r="D2549">
            <v>93</v>
          </cell>
          <cell r="E2549" t="str">
            <v>APPROVED</v>
          </cell>
          <cell r="F2549">
            <v>40542</v>
          </cell>
          <cell r="G2549">
            <v>41455</v>
          </cell>
          <cell r="H2549">
            <v>1962995.76</v>
          </cell>
          <cell r="I2549" t="str">
            <v>FIN Submission</v>
          </cell>
          <cell r="J2549">
            <v>41859</v>
          </cell>
        </row>
        <row r="2550">
          <cell r="A2550" t="str">
            <v>38867-D321</v>
          </cell>
          <cell r="B2550" t="str">
            <v>Replacement of 3H and 6H Reclosers</v>
          </cell>
          <cell r="C2550" t="str">
            <v>zINVALID FIN Approval - Internal</v>
          </cell>
          <cell r="D2550">
            <v>93</v>
          </cell>
          <cell r="E2550" t="str">
            <v>APPROVED</v>
          </cell>
          <cell r="F2550">
            <v>40724</v>
          </cell>
          <cell r="G2550">
            <v>41363</v>
          </cell>
          <cell r="H2550">
            <v>376975.08</v>
          </cell>
          <cell r="I2550" t="str">
            <v>FIN Submission</v>
          </cell>
          <cell r="J2550">
            <v>41859</v>
          </cell>
        </row>
        <row r="2551">
          <cell r="A2551" t="str">
            <v>38062-D362</v>
          </cell>
          <cell r="B2551" t="str">
            <v>2010 Off Road to Roadside</v>
          </cell>
          <cell r="C2551" t="str">
            <v>zINVALID FIN Approval - Internal</v>
          </cell>
          <cell r="D2551">
            <v>94</v>
          </cell>
          <cell r="E2551" t="str">
            <v>APPROVED</v>
          </cell>
          <cell r="F2551">
            <v>40513</v>
          </cell>
          <cell r="G2551">
            <v>41454</v>
          </cell>
          <cell r="H2551">
            <v>1120827.6599999999</v>
          </cell>
          <cell r="I2551" t="str">
            <v>FIN Submission</v>
          </cell>
          <cell r="J2551">
            <v>41859</v>
          </cell>
        </row>
        <row r="2552">
          <cell r="A2552" t="str">
            <v>37644-S624</v>
          </cell>
          <cell r="B2552" t="str">
            <v>TRE - Coal Conveyor Scraper Upgrade</v>
          </cell>
          <cell r="C2552" t="str">
            <v>zINVALID FIN Approval - Internal</v>
          </cell>
          <cell r="D2552">
            <v>96</v>
          </cell>
          <cell r="E2552" t="str">
            <v>APPROVED</v>
          </cell>
          <cell r="F2552">
            <v>40770</v>
          </cell>
          <cell r="G2552">
            <v>40801</v>
          </cell>
          <cell r="H2552">
            <v>82390.58</v>
          </cell>
          <cell r="I2552" t="str">
            <v>FIN Submission</v>
          </cell>
          <cell r="J2552">
            <v>41859</v>
          </cell>
        </row>
        <row r="2553">
          <cell r="A2553" t="str">
            <v>33766-D318</v>
          </cell>
          <cell r="B2553" t="str">
            <v>11S-411 Targeted Replacements</v>
          </cell>
          <cell r="C2553" t="str">
            <v>FIN Approval - Internal</v>
          </cell>
          <cell r="D2553">
            <v>99</v>
          </cell>
          <cell r="E2553" t="str">
            <v>APPROVED</v>
          </cell>
          <cell r="F2553">
            <v>40452</v>
          </cell>
          <cell r="G2553">
            <v>41274</v>
          </cell>
          <cell r="H2553">
            <v>1012042.07</v>
          </cell>
          <cell r="I2553" t="str">
            <v>FIN Submission</v>
          </cell>
          <cell r="J2553">
            <v>41859</v>
          </cell>
        </row>
        <row r="2554">
          <cell r="A2554" t="str">
            <v>33762-D239</v>
          </cell>
          <cell r="B2554" t="str">
            <v>73W-411 Device Replacements/ Reliab</v>
          </cell>
          <cell r="C2554" t="str">
            <v>FIN Approval - Internal</v>
          </cell>
          <cell r="D2554">
            <v>99</v>
          </cell>
          <cell r="E2554" t="str">
            <v>APPROVED</v>
          </cell>
          <cell r="F2554">
            <v>40147</v>
          </cell>
          <cell r="G2554">
            <v>40543</v>
          </cell>
          <cell r="H2554">
            <v>811419.43</v>
          </cell>
          <cell r="I2554" t="str">
            <v>FIN Submission</v>
          </cell>
          <cell r="J2554">
            <v>41859</v>
          </cell>
        </row>
        <row r="2555">
          <cell r="A2555" t="str">
            <v>37744-S551</v>
          </cell>
          <cell r="B2555" t="str">
            <v>LIN - CW Screen Refurbishment</v>
          </cell>
          <cell r="C2555" t="str">
            <v>zINVALID FIN Approval - Internal</v>
          </cell>
          <cell r="D2555">
            <v>100</v>
          </cell>
          <cell r="E2555" t="str">
            <v>APPROVED</v>
          </cell>
          <cell r="F2555">
            <v>40542</v>
          </cell>
          <cell r="G2555">
            <v>40754</v>
          </cell>
          <cell r="H2555">
            <v>339726.34</v>
          </cell>
          <cell r="I2555" t="str">
            <v>FIN Submission</v>
          </cell>
          <cell r="J2555">
            <v>41859</v>
          </cell>
        </row>
        <row r="2556">
          <cell r="A2556" t="str">
            <v>38122-T684</v>
          </cell>
          <cell r="B2556" t="str">
            <v>2010 PCB Equip. Removal/Destruction</v>
          </cell>
          <cell r="C2556" t="str">
            <v>zINVALID FIN Approval - Internal</v>
          </cell>
          <cell r="D2556">
            <v>102</v>
          </cell>
          <cell r="E2556" t="str">
            <v>APPROVED</v>
          </cell>
          <cell r="F2556">
            <v>40709</v>
          </cell>
          <cell r="G2556">
            <v>41638</v>
          </cell>
          <cell r="H2556">
            <v>1638107.45</v>
          </cell>
          <cell r="I2556" t="str">
            <v>FIN Submission</v>
          </cell>
          <cell r="J2556">
            <v>41859</v>
          </cell>
        </row>
        <row r="2557">
          <cell r="A2557" t="str">
            <v>36602-S520</v>
          </cell>
          <cell r="B2557" t="str">
            <v>LIN  - Battery &amp; Charger Replacemen</v>
          </cell>
          <cell r="C2557" t="str">
            <v>zINVALID FIN Approval - Internal</v>
          </cell>
          <cell r="D2557">
            <v>103</v>
          </cell>
          <cell r="E2557" t="str">
            <v>APPROVED</v>
          </cell>
          <cell r="F2557">
            <v>40542</v>
          </cell>
          <cell r="G2557">
            <v>41273</v>
          </cell>
          <cell r="H2557">
            <v>206286</v>
          </cell>
          <cell r="I2557" t="str">
            <v>FIN Submission</v>
          </cell>
          <cell r="J2557">
            <v>41859</v>
          </cell>
        </row>
        <row r="2558">
          <cell r="A2558" t="str">
            <v>36564-S590</v>
          </cell>
          <cell r="B2558" t="str">
            <v>POA - HVAC Replacement</v>
          </cell>
          <cell r="C2558" t="str">
            <v>zINVALID FIN Approval - Internal</v>
          </cell>
          <cell r="D2558">
            <v>103</v>
          </cell>
          <cell r="E2558" t="str">
            <v>APPROVED</v>
          </cell>
          <cell r="F2558">
            <v>40512</v>
          </cell>
          <cell r="G2558">
            <v>40691</v>
          </cell>
          <cell r="H2558">
            <v>83136.22</v>
          </cell>
          <cell r="I2558" t="str">
            <v>FIN Submission</v>
          </cell>
          <cell r="J2558">
            <v>41859</v>
          </cell>
        </row>
        <row r="2559">
          <cell r="A2559" t="str">
            <v>34602-D359</v>
          </cell>
          <cell r="B2559" t="str">
            <v>25 kV Feeder Extension Bissett Road</v>
          </cell>
          <cell r="C2559" t="str">
            <v>zINVALID FIN Approval - Internal</v>
          </cell>
          <cell r="D2559">
            <v>104</v>
          </cell>
          <cell r="E2559" t="str">
            <v>APPROVED</v>
          </cell>
          <cell r="F2559">
            <v>40724</v>
          </cell>
          <cell r="G2559">
            <v>41615</v>
          </cell>
          <cell r="H2559">
            <v>1285635.32</v>
          </cell>
          <cell r="I2559" t="str">
            <v>FIN Submission</v>
          </cell>
          <cell r="J2559">
            <v>41859</v>
          </cell>
        </row>
        <row r="2560">
          <cell r="A2560" t="str">
            <v>36482-S494</v>
          </cell>
          <cell r="B2560" t="str">
            <v>LIN4-U&amp;U-3/4 Turbine Bearing Rep.</v>
          </cell>
          <cell r="C2560" t="str">
            <v>zINVALID FIN Approval - Internal</v>
          </cell>
          <cell r="D2560">
            <v>104</v>
          </cell>
          <cell r="E2560" t="str">
            <v>APPROVED</v>
          </cell>
          <cell r="F2560">
            <v>40015</v>
          </cell>
          <cell r="G2560">
            <v>40481</v>
          </cell>
          <cell r="H2560">
            <v>609445.4</v>
          </cell>
          <cell r="I2560" t="str">
            <v>FIN Submission</v>
          </cell>
          <cell r="J2560">
            <v>41859</v>
          </cell>
        </row>
        <row r="2561">
          <cell r="A2561" t="str">
            <v>38362-S615</v>
          </cell>
          <cell r="B2561" t="str">
            <v>TUC U&amp;U #1 GEN ROTOR RESTORE</v>
          </cell>
          <cell r="C2561" t="str">
            <v>zINVALID FIN Approval - External</v>
          </cell>
          <cell r="D2561">
            <v>105</v>
          </cell>
          <cell r="E2561" t="str">
            <v>APPROVED</v>
          </cell>
          <cell r="F2561">
            <v>40162</v>
          </cell>
          <cell r="G2561">
            <v>40633</v>
          </cell>
          <cell r="H2561">
            <v>3629159.9</v>
          </cell>
          <cell r="I2561" t="str">
            <v>FIN Submission</v>
          </cell>
          <cell r="J2561">
            <v>41859</v>
          </cell>
        </row>
        <row r="2562">
          <cell r="A2562" t="str">
            <v>29982-S304</v>
          </cell>
          <cell r="B2562" t="str">
            <v>TUC Unit #3 Turbine IP Blades</v>
          </cell>
          <cell r="C2562" t="str">
            <v>FIN Approval - Internal</v>
          </cell>
          <cell r="D2562">
            <v>105</v>
          </cell>
          <cell r="E2562" t="str">
            <v>APPROVED</v>
          </cell>
          <cell r="F2562">
            <v>39813</v>
          </cell>
          <cell r="G2562">
            <v>41225</v>
          </cell>
          <cell r="H2562">
            <v>993546.4</v>
          </cell>
          <cell r="I2562" t="str">
            <v>FIN Submission</v>
          </cell>
          <cell r="J2562">
            <v>41859</v>
          </cell>
        </row>
        <row r="2563">
          <cell r="A2563" t="str">
            <v>28345-S231</v>
          </cell>
          <cell r="B2563" t="str">
            <v>LIN-REPLACE ROTARY DUMPER</v>
          </cell>
          <cell r="C2563" t="str">
            <v>zINVALID FIN Approval - Internal</v>
          </cell>
          <cell r="D2563">
            <v>108</v>
          </cell>
          <cell r="E2563" t="str">
            <v>APPROVED</v>
          </cell>
          <cell r="F2563">
            <v>39568</v>
          </cell>
          <cell r="G2563">
            <v>40999</v>
          </cell>
          <cell r="H2563">
            <v>4959508.3499999996</v>
          </cell>
          <cell r="I2563" t="str">
            <v>FIN Submission</v>
          </cell>
          <cell r="J2563">
            <v>41859</v>
          </cell>
        </row>
        <row r="2564">
          <cell r="A2564" t="str">
            <v>34062-S620</v>
          </cell>
          <cell r="B2564" t="str">
            <v>TRE5 - Condenser Upgrades</v>
          </cell>
          <cell r="C2564" t="str">
            <v>zINVALID FIN Approval - External</v>
          </cell>
          <cell r="D2564">
            <v>109</v>
          </cell>
          <cell r="E2564" t="str">
            <v>APPROVED</v>
          </cell>
          <cell r="F2564">
            <v>40543</v>
          </cell>
          <cell r="G2564">
            <v>40634</v>
          </cell>
          <cell r="H2564">
            <v>2748907.54</v>
          </cell>
          <cell r="I2564" t="str">
            <v>FIN Submission</v>
          </cell>
          <cell r="J2564">
            <v>41859</v>
          </cell>
        </row>
        <row r="2565">
          <cell r="A2565" t="str">
            <v>34690-S561</v>
          </cell>
          <cell r="B2565" t="str">
            <v>LIN - Boiler Feed Pump Rebuild</v>
          </cell>
          <cell r="C2565" t="str">
            <v>zINVALID FIN Approval - Internal</v>
          </cell>
          <cell r="D2565">
            <v>110</v>
          </cell>
          <cell r="E2565" t="str">
            <v>APPROVED</v>
          </cell>
          <cell r="F2565">
            <v>40771</v>
          </cell>
          <cell r="G2565">
            <v>40863</v>
          </cell>
          <cell r="H2565">
            <v>633477.81999999995</v>
          </cell>
          <cell r="I2565" t="str">
            <v>FIN Submission</v>
          </cell>
          <cell r="J2565">
            <v>41859</v>
          </cell>
        </row>
        <row r="2566">
          <cell r="A2566" t="str">
            <v>34702-S641</v>
          </cell>
          <cell r="B2566" t="str">
            <v>LIN - Mill Component Replacement</v>
          </cell>
          <cell r="C2566" t="str">
            <v>zINVALID FIN Approval - Internal</v>
          </cell>
          <cell r="D2566">
            <v>110</v>
          </cell>
          <cell r="E2566" t="str">
            <v>APPROVED</v>
          </cell>
          <cell r="F2566">
            <v>40542</v>
          </cell>
          <cell r="G2566">
            <v>40693</v>
          </cell>
          <cell r="H2566">
            <v>945968.8</v>
          </cell>
          <cell r="I2566" t="str">
            <v>FIN Submission</v>
          </cell>
          <cell r="J2566">
            <v>41859</v>
          </cell>
        </row>
        <row r="2567">
          <cell r="A2567" t="str">
            <v>29018-D188</v>
          </cell>
          <cell r="B2567" t="str">
            <v>Convert 20H-305 Along Purcell's Cov</v>
          </cell>
          <cell r="C2567" t="str">
            <v>FIN Approval - Internal</v>
          </cell>
          <cell r="D2567">
            <v>112</v>
          </cell>
          <cell r="E2567" t="str">
            <v>APPROVED</v>
          </cell>
          <cell r="F2567">
            <v>39964</v>
          </cell>
          <cell r="G2567">
            <v>40482</v>
          </cell>
          <cell r="H2567">
            <v>421131.83</v>
          </cell>
          <cell r="I2567" t="str">
            <v>FIN Submission</v>
          </cell>
          <cell r="J2567">
            <v>41859</v>
          </cell>
        </row>
        <row r="2568">
          <cell r="A2568" t="str">
            <v>34368-S524</v>
          </cell>
          <cell r="B2568" t="str">
            <v xml:space="preserve">POA - Screw Cooler Rotor Replaceme </v>
          </cell>
          <cell r="C2568" t="str">
            <v>zINVALID FIN Approval - Internal</v>
          </cell>
          <cell r="D2568">
            <v>112</v>
          </cell>
          <cell r="E2568" t="str">
            <v>APPROVED</v>
          </cell>
          <cell r="F2568">
            <v>40461</v>
          </cell>
          <cell r="G2568">
            <v>40602</v>
          </cell>
          <cell r="H2568">
            <v>260331.36</v>
          </cell>
          <cell r="I2568" t="str">
            <v>FIN Submission</v>
          </cell>
          <cell r="J2568">
            <v>41859</v>
          </cell>
        </row>
        <row r="2569">
          <cell r="A2569" t="str">
            <v>28493-P730</v>
          </cell>
          <cell r="B2569" t="str">
            <v>2007 &amp; 2008 CLASS 3 LIGHT WORK VEHI</v>
          </cell>
          <cell r="C2569" t="str">
            <v>FIN Approval - Internal</v>
          </cell>
          <cell r="D2569">
            <v>113</v>
          </cell>
          <cell r="E2569" t="str">
            <v>APPROVED</v>
          </cell>
          <cell r="F2569">
            <v>39890</v>
          </cell>
          <cell r="G2569">
            <v>40055</v>
          </cell>
          <cell r="H2569">
            <v>684163</v>
          </cell>
          <cell r="I2569" t="str">
            <v>FIN Submission</v>
          </cell>
          <cell r="J2569">
            <v>41859</v>
          </cell>
        </row>
        <row r="2570">
          <cell r="A2570" t="str">
            <v>29062-D167</v>
          </cell>
          <cell r="B2570" t="str">
            <v>50N-410 Device Replacements/ Reliab</v>
          </cell>
          <cell r="C2570" t="str">
            <v>FIN Approval - Internal</v>
          </cell>
          <cell r="D2570">
            <v>113</v>
          </cell>
          <cell r="E2570" t="str">
            <v>APPROVED</v>
          </cell>
          <cell r="F2570">
            <v>39861</v>
          </cell>
          <cell r="G2570">
            <v>40177</v>
          </cell>
          <cell r="H2570">
            <v>845615.64</v>
          </cell>
          <cell r="I2570" t="str">
            <v>FIN Submission</v>
          </cell>
          <cell r="J2570">
            <v>41859</v>
          </cell>
        </row>
        <row r="2571">
          <cell r="A2571" t="str">
            <v>28363-T583</v>
          </cell>
          <cell r="B2571" t="str">
            <v>55V-WATERVILLE: ADD 7.5/10/12.5 MVA</v>
          </cell>
          <cell r="C2571" t="str">
            <v>FIN Approval - Internal</v>
          </cell>
          <cell r="D2571">
            <v>114</v>
          </cell>
          <cell r="E2571" t="str">
            <v>APPROVED</v>
          </cell>
          <cell r="F2571">
            <v>39885</v>
          </cell>
          <cell r="G2571">
            <v>40543</v>
          </cell>
          <cell r="H2571">
            <v>699384.7</v>
          </cell>
          <cell r="I2571" t="str">
            <v>FIN Submission</v>
          </cell>
          <cell r="J2571">
            <v>41859</v>
          </cell>
        </row>
        <row r="2572">
          <cell r="A2572" t="str">
            <v>28138-D944</v>
          </cell>
          <cell r="B2572" t="str">
            <v>Hwy 215 Shubenacadie Rebuild</v>
          </cell>
          <cell r="C2572" t="str">
            <v>FIN Approval - Internal</v>
          </cell>
          <cell r="D2572">
            <v>114</v>
          </cell>
          <cell r="E2572" t="str">
            <v>APPROVED</v>
          </cell>
          <cell r="F2572">
            <v>39863</v>
          </cell>
          <cell r="G2572">
            <v>39964</v>
          </cell>
          <cell r="H2572">
            <v>87503.71</v>
          </cell>
          <cell r="I2572" t="str">
            <v>FIN Submission</v>
          </cell>
          <cell r="J2572">
            <v>41859</v>
          </cell>
        </row>
        <row r="2573">
          <cell r="A2573" t="str">
            <v>29007-D177</v>
          </cell>
          <cell r="B2573" t="str">
            <v>10C-arichat Transformer Replacement</v>
          </cell>
          <cell r="C2573" t="str">
            <v>FIN Approval - Internal</v>
          </cell>
          <cell r="D2573">
            <v>115</v>
          </cell>
          <cell r="E2573" t="str">
            <v>APPROVED</v>
          </cell>
          <cell r="F2573">
            <v>39903</v>
          </cell>
          <cell r="G2573">
            <v>40512</v>
          </cell>
          <cell r="H2573">
            <v>306419.46999999997</v>
          </cell>
          <cell r="I2573" t="str">
            <v>FIN Submission</v>
          </cell>
          <cell r="J2573">
            <v>41859</v>
          </cell>
        </row>
        <row r="2574">
          <cell r="A2574" t="str">
            <v>28490-P742</v>
          </cell>
          <cell r="B2574" t="str">
            <v xml:space="preserve">2007 &amp; 2008 TRANSPORTATION VEHICLE </v>
          </cell>
          <cell r="C2574" t="str">
            <v>FIN Approval - Internal</v>
          </cell>
          <cell r="D2574">
            <v>115</v>
          </cell>
          <cell r="E2574" t="str">
            <v>APPROVED</v>
          </cell>
          <cell r="F2574">
            <v>39813</v>
          </cell>
          <cell r="G2574">
            <v>41182</v>
          </cell>
          <cell r="H2574">
            <v>2957001.16</v>
          </cell>
          <cell r="I2574" t="str">
            <v>FIN Submission</v>
          </cell>
          <cell r="J2574">
            <v>41859</v>
          </cell>
        </row>
        <row r="2575">
          <cell r="A2575" t="str">
            <v>28348-S215</v>
          </cell>
          <cell r="B2575" t="str">
            <v>LIN2-CW LARGE BORE PIPING AND VALVE</v>
          </cell>
          <cell r="C2575" t="str">
            <v>zINVALID FIN Approval - Internal</v>
          </cell>
          <cell r="D2575">
            <v>118</v>
          </cell>
          <cell r="E2575" t="str">
            <v>APPROVED</v>
          </cell>
          <cell r="F2575">
            <v>39378</v>
          </cell>
          <cell r="G2575">
            <v>39964</v>
          </cell>
          <cell r="H2575">
            <v>857489.31</v>
          </cell>
          <cell r="I2575" t="str">
            <v>FIN Submission</v>
          </cell>
          <cell r="J2575">
            <v>41859</v>
          </cell>
        </row>
        <row r="2576">
          <cell r="A2576" t="str">
            <v>30966-S422</v>
          </cell>
          <cell r="B2576" t="str">
            <v>LIN Eye Wash Station Enhancements</v>
          </cell>
          <cell r="C2576" t="str">
            <v>zINVALID FIN Approval - Internal</v>
          </cell>
          <cell r="D2576">
            <v>119</v>
          </cell>
          <cell r="E2576" t="str">
            <v>APPROVED</v>
          </cell>
          <cell r="F2576">
            <v>40441</v>
          </cell>
          <cell r="G2576">
            <v>40451</v>
          </cell>
          <cell r="H2576">
            <v>293273.84000000003</v>
          </cell>
          <cell r="I2576" t="str">
            <v>FIN Submission</v>
          </cell>
          <cell r="J2576">
            <v>41859</v>
          </cell>
        </row>
        <row r="2577">
          <cell r="A2577" t="str">
            <v>25441-S921</v>
          </cell>
          <cell r="B2577" t="str">
            <v>POA CELL 3 - STAGE 2 RESIDUE MANAGE</v>
          </cell>
          <cell r="C2577" t="str">
            <v>zINVALID FIN Approval - Internal</v>
          </cell>
          <cell r="D2577">
            <v>119</v>
          </cell>
          <cell r="E2577" t="str">
            <v>APPROVED</v>
          </cell>
          <cell r="F2577">
            <v>39092</v>
          </cell>
          <cell r="G2577">
            <v>39812</v>
          </cell>
          <cell r="H2577">
            <v>1737016.93</v>
          </cell>
          <cell r="I2577" t="str">
            <v>FIN Submission</v>
          </cell>
          <cell r="J2577">
            <v>41859</v>
          </cell>
        </row>
        <row r="2578">
          <cell r="A2578" t="str">
            <v>27116-S761</v>
          </cell>
          <cell r="B2578" t="str">
            <v>POT - LAB UPGRADES</v>
          </cell>
          <cell r="C2578" t="str">
            <v>zINVALID FIN Approval - Internal</v>
          </cell>
          <cell r="D2578">
            <v>122</v>
          </cell>
          <cell r="E2578" t="str">
            <v>APPROVED</v>
          </cell>
          <cell r="F2578">
            <v>40847</v>
          </cell>
          <cell r="G2578">
            <v>41818</v>
          </cell>
          <cell r="H2578">
            <v>42216.86</v>
          </cell>
          <cell r="I2578" t="str">
            <v>FIN Submission</v>
          </cell>
          <cell r="J2578">
            <v>41859</v>
          </cell>
        </row>
        <row r="2579">
          <cell r="A2579" t="str">
            <v>28073-D996</v>
          </cell>
          <cell r="B2579" t="str">
            <v>131H Install New Feeder</v>
          </cell>
          <cell r="C2579" t="str">
            <v>zINVALID FIN Approval - Internal</v>
          </cell>
          <cell r="D2579">
            <v>123</v>
          </cell>
          <cell r="E2579" t="str">
            <v>APPROVED</v>
          </cell>
          <cell r="F2579">
            <v>39708</v>
          </cell>
          <cell r="G2579">
            <v>41449</v>
          </cell>
          <cell r="H2579">
            <v>258631.97</v>
          </cell>
          <cell r="I2579" t="str">
            <v>FIN Submission</v>
          </cell>
          <cell r="J2579">
            <v>41859</v>
          </cell>
        </row>
        <row r="2580">
          <cell r="A2580" t="str">
            <v>28492-D133</v>
          </cell>
          <cell r="B2580" t="str">
            <v>2007 Metro Replace Arrestors</v>
          </cell>
          <cell r="C2580" t="str">
            <v>zINVALID FIN Approval - Internal</v>
          </cell>
          <cell r="D2580">
            <v>123</v>
          </cell>
          <cell r="E2580" t="str">
            <v>APPROVED</v>
          </cell>
          <cell r="F2580">
            <v>39355</v>
          </cell>
          <cell r="G2580">
            <v>40360</v>
          </cell>
          <cell r="H2580">
            <v>922959.02</v>
          </cell>
          <cell r="I2580" t="str">
            <v>FIN Submission</v>
          </cell>
          <cell r="J2580">
            <v>41859</v>
          </cell>
        </row>
        <row r="2581">
          <cell r="A2581" t="str">
            <v>28883-S292</v>
          </cell>
          <cell r="B2581" t="str">
            <v>LIN-MILL COMPONENT REPLACEMENTS PRO</v>
          </cell>
          <cell r="C2581" t="str">
            <v>zINVALID FIN Approval - Internal</v>
          </cell>
          <cell r="D2581">
            <v>123</v>
          </cell>
          <cell r="E2581" t="str">
            <v>APPROVED</v>
          </cell>
          <cell r="F2581">
            <v>39695</v>
          </cell>
          <cell r="G2581">
            <v>40786</v>
          </cell>
          <cell r="H2581">
            <v>863846.82</v>
          </cell>
          <cell r="I2581" t="str">
            <v>FIN Submission</v>
          </cell>
          <cell r="J2581">
            <v>41859</v>
          </cell>
        </row>
        <row r="2582">
          <cell r="A2582" t="str">
            <v>28888-S348</v>
          </cell>
          <cell r="B2582" t="str">
            <v>LIN-PLANT SECURITY UPGRADE</v>
          </cell>
          <cell r="C2582" t="str">
            <v>zINVALID FIN Approval - Internal</v>
          </cell>
          <cell r="D2582">
            <v>123</v>
          </cell>
          <cell r="E2582" t="str">
            <v>APPROVED</v>
          </cell>
          <cell r="F2582">
            <v>39695</v>
          </cell>
          <cell r="G2582">
            <v>40117</v>
          </cell>
          <cell r="H2582">
            <v>489705.87</v>
          </cell>
          <cell r="I2582" t="str">
            <v>FIN Submission</v>
          </cell>
          <cell r="J2582">
            <v>41859</v>
          </cell>
        </row>
        <row r="2583">
          <cell r="A2583" t="str">
            <v>28893-S326</v>
          </cell>
          <cell r="B2583" t="str">
            <v>LIN - LEVEL 1 BOILER HOUSE FLOOR GR</v>
          </cell>
          <cell r="C2583" t="str">
            <v>zINVALID FIN Approval - Internal</v>
          </cell>
          <cell r="D2583">
            <v>124</v>
          </cell>
          <cell r="E2583" t="str">
            <v>APPROVED</v>
          </cell>
          <cell r="F2583">
            <v>39695</v>
          </cell>
          <cell r="G2583">
            <v>40786</v>
          </cell>
          <cell r="H2583">
            <v>757067.01</v>
          </cell>
          <cell r="I2583" t="str">
            <v>FIN Submission</v>
          </cell>
          <cell r="J2583">
            <v>41859</v>
          </cell>
        </row>
        <row r="2584">
          <cell r="A2584" t="str">
            <v>29763-S307</v>
          </cell>
          <cell r="B2584" t="str">
            <v>LIN CW Cable Trench Rerouting</v>
          </cell>
          <cell r="C2584" t="str">
            <v>zINVALID FIN Approval - Internal</v>
          </cell>
          <cell r="D2584">
            <v>124</v>
          </cell>
          <cell r="E2584" t="str">
            <v>APPROVED</v>
          </cell>
          <cell r="F2584">
            <v>39791</v>
          </cell>
          <cell r="G2584">
            <v>40481</v>
          </cell>
          <cell r="H2584">
            <v>462953.14</v>
          </cell>
          <cell r="I2584" t="str">
            <v>FIN Submission</v>
          </cell>
          <cell r="J2584">
            <v>41859</v>
          </cell>
        </row>
        <row r="2585">
          <cell r="A2585" t="str">
            <v>28515-D142</v>
          </cell>
          <cell r="B2585" t="str">
            <v>2007 Metro System Performance Impro</v>
          </cell>
          <cell r="C2585" t="str">
            <v>zINVALID FIN Approval - Internal</v>
          </cell>
          <cell r="D2585">
            <v>125</v>
          </cell>
          <cell r="E2585" t="str">
            <v>APPROVED</v>
          </cell>
          <cell r="F2585">
            <v>39813</v>
          </cell>
          <cell r="G2585">
            <v>40389</v>
          </cell>
          <cell r="H2585">
            <v>330891.68</v>
          </cell>
          <cell r="I2585" t="str">
            <v>FIN Submission</v>
          </cell>
          <cell r="J2585">
            <v>41859</v>
          </cell>
        </row>
        <row r="2586">
          <cell r="A2586" t="str">
            <v>29039-S345</v>
          </cell>
          <cell r="B2586" t="str">
            <v>LIN4 Fire Protection / Turbine Hall</v>
          </cell>
          <cell r="C2586" t="str">
            <v>zINVALID FIN Approval - Internal</v>
          </cell>
          <cell r="D2586">
            <v>125</v>
          </cell>
          <cell r="E2586" t="str">
            <v>APPROVED</v>
          </cell>
          <cell r="F2586">
            <v>39994</v>
          </cell>
          <cell r="G2586">
            <v>41151</v>
          </cell>
          <cell r="H2586">
            <v>314611.33</v>
          </cell>
          <cell r="I2586" t="str">
            <v>FIN Submission</v>
          </cell>
          <cell r="J2586">
            <v>41859</v>
          </cell>
        </row>
        <row r="2587">
          <cell r="A2587" t="str">
            <v>11004-T669</v>
          </cell>
          <cell r="B2587" t="str">
            <v>Canaan Rd Circuit Breaker Additions</v>
          </cell>
          <cell r="C2587" t="str">
            <v>FIN Approval - Internal</v>
          </cell>
          <cell r="D2587">
            <v>126</v>
          </cell>
          <cell r="E2587" t="str">
            <v>APPROVED</v>
          </cell>
          <cell r="F2587">
            <v>40754</v>
          </cell>
          <cell r="G2587">
            <v>41485</v>
          </cell>
          <cell r="H2587">
            <v>2129493.04</v>
          </cell>
          <cell r="I2587" t="str">
            <v>FIN Submission</v>
          </cell>
          <cell r="J2587">
            <v>41859</v>
          </cell>
        </row>
        <row r="2588">
          <cell r="A2588" t="str">
            <v>26382-S994</v>
          </cell>
          <cell r="B2588" t="str">
            <v>LIN - REPLACE ANNEX HVAC</v>
          </cell>
          <cell r="C2588" t="str">
            <v>zINVALID FIN Approval - Internal</v>
          </cell>
          <cell r="D2588">
            <v>126</v>
          </cell>
          <cell r="E2588" t="str">
            <v>APPROVED</v>
          </cell>
          <cell r="F2588">
            <v>39314</v>
          </cell>
          <cell r="G2588">
            <v>39690</v>
          </cell>
          <cell r="H2588">
            <v>284279.87</v>
          </cell>
          <cell r="I2588" t="str">
            <v>FIN Submission</v>
          </cell>
          <cell r="J2588">
            <v>41859</v>
          </cell>
        </row>
        <row r="2589">
          <cell r="A2589" t="str">
            <v>27404-S123</v>
          </cell>
          <cell r="B2589" t="str">
            <v>LIN 1 - REFURBISH 1B CW PUMP</v>
          </cell>
          <cell r="C2589" t="str">
            <v>zINVALID FIN Approval - Internal</v>
          </cell>
          <cell r="D2589">
            <v>126</v>
          </cell>
          <cell r="E2589" t="str">
            <v>APPROVED</v>
          </cell>
          <cell r="F2589">
            <v>39314</v>
          </cell>
          <cell r="G2589">
            <v>39568</v>
          </cell>
          <cell r="H2589">
            <v>383501.2</v>
          </cell>
          <cell r="I2589" t="str">
            <v>FIN Submission</v>
          </cell>
          <cell r="J2589">
            <v>41859</v>
          </cell>
        </row>
        <row r="2590">
          <cell r="A2590" t="str">
            <v>30917-S436</v>
          </cell>
          <cell r="B2590" t="str">
            <v>LIN Boiler Feed Pump Rebuild</v>
          </cell>
          <cell r="C2590" t="str">
            <v>zINVALID FIN Approval - Internal</v>
          </cell>
          <cell r="D2590">
            <v>127</v>
          </cell>
          <cell r="E2590" t="str">
            <v>APPROVED</v>
          </cell>
          <cell r="F2590">
            <v>40330</v>
          </cell>
          <cell r="G2590">
            <v>40483</v>
          </cell>
          <cell r="H2590">
            <v>351410.51</v>
          </cell>
          <cell r="I2590" t="str">
            <v>FIN Submission</v>
          </cell>
          <cell r="J2590">
            <v>41859</v>
          </cell>
        </row>
        <row r="2591">
          <cell r="A2591" t="str">
            <v>27409-S915</v>
          </cell>
          <cell r="B2591" t="str">
            <v>LIN - UPGRADE GAURDRAILS</v>
          </cell>
          <cell r="C2591" t="str">
            <v>zINVALID FIN Approval - Internal</v>
          </cell>
          <cell r="D2591">
            <v>128</v>
          </cell>
          <cell r="E2591" t="str">
            <v>APPROVED</v>
          </cell>
          <cell r="F2591">
            <v>39021</v>
          </cell>
          <cell r="G2591">
            <v>39783</v>
          </cell>
          <cell r="H2591">
            <v>449044.36</v>
          </cell>
          <cell r="I2591" t="str">
            <v>FIN Submission</v>
          </cell>
          <cell r="J2591">
            <v>41859</v>
          </cell>
        </row>
        <row r="2592">
          <cell r="A2592" t="str">
            <v>24779-S937</v>
          </cell>
          <cell r="B2592" t="str">
            <v>LIN-2006 MOTOR REFURBISHMENT PROGRA</v>
          </cell>
          <cell r="C2592" t="str">
            <v>zINVALID FIN Approval - Internal</v>
          </cell>
          <cell r="D2592">
            <v>128</v>
          </cell>
          <cell r="E2592" t="str">
            <v>APPROVED</v>
          </cell>
          <cell r="F2592">
            <v>39072</v>
          </cell>
          <cell r="G2592">
            <v>39783</v>
          </cell>
          <cell r="H2592">
            <v>252665.53</v>
          </cell>
          <cell r="I2592" t="str">
            <v>FIN Submission</v>
          </cell>
          <cell r="J2592">
            <v>41859</v>
          </cell>
        </row>
        <row r="2593">
          <cell r="A2593" t="str">
            <v>28349-S193</v>
          </cell>
          <cell r="B2593" t="str">
            <v>LIN4-WATERWALL PROGRAM</v>
          </cell>
          <cell r="C2593" t="str">
            <v>zINVALID FIN Approval - Internal</v>
          </cell>
          <cell r="D2593">
            <v>128</v>
          </cell>
          <cell r="E2593" t="str">
            <v>APPROVED</v>
          </cell>
          <cell r="F2593">
            <v>39378</v>
          </cell>
          <cell r="G2593">
            <v>39964</v>
          </cell>
          <cell r="H2593">
            <v>285235.43</v>
          </cell>
          <cell r="I2593" t="str">
            <v>FIN Submission</v>
          </cell>
          <cell r="J2593">
            <v>41859</v>
          </cell>
        </row>
        <row r="2594">
          <cell r="A2594" t="str">
            <v>24722-S522</v>
          </cell>
          <cell r="B2594" t="str">
            <v>LIN1-Turbine Supervisory Control Re</v>
          </cell>
          <cell r="C2594" t="str">
            <v>zINVALID FIN Approval - Internal</v>
          </cell>
          <cell r="D2594">
            <v>129</v>
          </cell>
          <cell r="E2594" t="str">
            <v>APPROVED</v>
          </cell>
          <cell r="F2594">
            <v>40451</v>
          </cell>
          <cell r="G2594">
            <v>40724</v>
          </cell>
          <cell r="H2594">
            <v>762730.02</v>
          </cell>
          <cell r="I2594" t="str">
            <v>FIN Submission</v>
          </cell>
          <cell r="J2594">
            <v>41859</v>
          </cell>
        </row>
        <row r="2595">
          <cell r="A2595" t="str">
            <v>28327-S166</v>
          </cell>
          <cell r="B2595" t="str">
            <v>LIN - 2007 MOTOR REFURBISHMENT PROG</v>
          </cell>
          <cell r="C2595" t="str">
            <v>zINVALID FIN Approval - Internal</v>
          </cell>
          <cell r="D2595">
            <v>130</v>
          </cell>
          <cell r="E2595" t="str">
            <v>APPROVED</v>
          </cell>
          <cell r="F2595">
            <v>39378</v>
          </cell>
          <cell r="G2595">
            <v>39629</v>
          </cell>
          <cell r="H2595">
            <v>152189.63</v>
          </cell>
          <cell r="I2595" t="str">
            <v>FIN Submission</v>
          </cell>
          <cell r="J2595">
            <v>41859</v>
          </cell>
        </row>
        <row r="2596">
          <cell r="A2596" t="str">
            <v>28889-S298</v>
          </cell>
          <cell r="B2596" t="str">
            <v>LIN-PLANT CRANE REGULATORY UPGRADES</v>
          </cell>
          <cell r="C2596" t="str">
            <v>zINVALID FIN Approval - Internal</v>
          </cell>
          <cell r="D2596">
            <v>130</v>
          </cell>
          <cell r="E2596" t="str">
            <v>APPROVED</v>
          </cell>
          <cell r="F2596">
            <v>39964</v>
          </cell>
          <cell r="G2596">
            <v>40357</v>
          </cell>
          <cell r="H2596">
            <v>35186.800000000003</v>
          </cell>
          <cell r="I2596" t="str">
            <v>FIN Submission</v>
          </cell>
          <cell r="J2596">
            <v>41859</v>
          </cell>
        </row>
        <row r="2597">
          <cell r="A2597" t="str">
            <v>25398-S268</v>
          </cell>
          <cell r="B2597" t="str">
            <v>LIN - REPLACE UNIT 1 #6 HP HEATER</v>
          </cell>
          <cell r="C2597" t="str">
            <v>zINVALID FIN Approval - Internal</v>
          </cell>
          <cell r="D2597">
            <v>131</v>
          </cell>
          <cell r="E2597" t="str">
            <v>APPROVED</v>
          </cell>
          <cell r="F2597">
            <v>39752</v>
          </cell>
          <cell r="G2597">
            <v>39964</v>
          </cell>
          <cell r="H2597">
            <v>712885.28</v>
          </cell>
          <cell r="I2597" t="str">
            <v>FIN Submission</v>
          </cell>
          <cell r="J2597">
            <v>41859</v>
          </cell>
        </row>
        <row r="2598">
          <cell r="A2598" t="str">
            <v>28913-S320</v>
          </cell>
          <cell r="B2598" t="str">
            <v>LIN 2008 BOILER FEED PUMP REBUILD</v>
          </cell>
          <cell r="C2598" t="str">
            <v>zINVALID FIN Approval - Internal</v>
          </cell>
          <cell r="D2598">
            <v>131</v>
          </cell>
          <cell r="E2598" t="str">
            <v>APPROVED</v>
          </cell>
          <cell r="F2598">
            <v>39752</v>
          </cell>
          <cell r="G2598">
            <v>40846</v>
          </cell>
          <cell r="H2598">
            <v>474637.87</v>
          </cell>
          <cell r="I2598" t="str">
            <v>FIN Submission</v>
          </cell>
          <cell r="J2598">
            <v>41859</v>
          </cell>
        </row>
        <row r="2599">
          <cell r="A2599" t="str">
            <v>28916-S294</v>
          </cell>
          <cell r="B2599" t="str">
            <v>LIN- 4160V AND 600V BREAKER REPLACE</v>
          </cell>
          <cell r="C2599" t="str">
            <v>zINVALID FIN Approval - Internal</v>
          </cell>
          <cell r="D2599">
            <v>131</v>
          </cell>
          <cell r="E2599" t="str">
            <v>APPROVED</v>
          </cell>
          <cell r="F2599">
            <v>39695</v>
          </cell>
          <cell r="G2599">
            <v>40025</v>
          </cell>
          <cell r="H2599">
            <v>73746.92</v>
          </cell>
          <cell r="I2599" t="str">
            <v>FIN Submission</v>
          </cell>
          <cell r="J2599">
            <v>41859</v>
          </cell>
        </row>
        <row r="2600">
          <cell r="A2600" t="str">
            <v>28891-S199</v>
          </cell>
          <cell r="B2600" t="str">
            <v>LIN- ELECTRICAL UPGRADE, COAL SYSTE</v>
          </cell>
          <cell r="C2600" t="str">
            <v>zINVALID FIN Approval - Internal</v>
          </cell>
          <cell r="D2600">
            <v>131</v>
          </cell>
          <cell r="E2600" t="str">
            <v>APPROVED</v>
          </cell>
          <cell r="F2600">
            <v>39752</v>
          </cell>
          <cell r="G2600">
            <v>40816</v>
          </cell>
          <cell r="H2600">
            <v>438614.31</v>
          </cell>
          <cell r="I2600" t="str">
            <v>FIN Submission</v>
          </cell>
          <cell r="J2600">
            <v>41859</v>
          </cell>
        </row>
        <row r="2601">
          <cell r="A2601" t="str">
            <v>28906-S127</v>
          </cell>
          <cell r="B2601" t="str">
            <v>LIN1-2-BURNER FRONT ATOMIZING STEAM</v>
          </cell>
          <cell r="C2601" t="str">
            <v>zINVALID FIN Approval - Internal</v>
          </cell>
          <cell r="D2601">
            <v>131</v>
          </cell>
          <cell r="E2601" t="str">
            <v>APPROVED</v>
          </cell>
          <cell r="F2601">
            <v>39695</v>
          </cell>
          <cell r="G2601">
            <v>39813</v>
          </cell>
          <cell r="H2601">
            <v>64239.7</v>
          </cell>
          <cell r="I2601" t="str">
            <v>FIN Submission</v>
          </cell>
          <cell r="J2601">
            <v>41859</v>
          </cell>
        </row>
        <row r="2602">
          <cell r="A2602" t="str">
            <v>28784-S296</v>
          </cell>
          <cell r="B2602" t="str">
            <v>POA 4KV MOTOR REFURBISHMENT PROGRAM</v>
          </cell>
          <cell r="C2602" t="str">
            <v>zINVALID FIN Approval - Internal</v>
          </cell>
          <cell r="D2602">
            <v>131</v>
          </cell>
          <cell r="E2602" t="str">
            <v>APPROVED</v>
          </cell>
          <cell r="F2602">
            <v>39812</v>
          </cell>
          <cell r="G2602">
            <v>40694</v>
          </cell>
          <cell r="H2602">
            <v>85455.79</v>
          </cell>
          <cell r="I2602" t="str">
            <v>FIN Submission</v>
          </cell>
          <cell r="J2602">
            <v>41859</v>
          </cell>
        </row>
        <row r="2603">
          <cell r="A2603" t="str">
            <v>28882-S105</v>
          </cell>
          <cell r="B2603" t="str">
            <v>LIN - ANION/CATION RESIN</v>
          </cell>
          <cell r="C2603" t="str">
            <v>zINVALID FIN Approval - Internal</v>
          </cell>
          <cell r="D2603">
            <v>132</v>
          </cell>
          <cell r="E2603" t="str">
            <v>APPROVED</v>
          </cell>
          <cell r="F2603">
            <v>39695</v>
          </cell>
          <cell r="G2603">
            <v>40481</v>
          </cell>
          <cell r="H2603">
            <v>158840.32000000001</v>
          </cell>
          <cell r="I2603" t="str">
            <v>FIN Submission</v>
          </cell>
          <cell r="J2603">
            <v>41859</v>
          </cell>
        </row>
        <row r="2604">
          <cell r="A2604" t="str">
            <v>24818-S299</v>
          </cell>
          <cell r="B2604" t="str">
            <v>LIN - INSTALL BFP MODULATING RECIRC</v>
          </cell>
          <cell r="C2604" t="str">
            <v>zINVALID FIN Approval - Internal</v>
          </cell>
          <cell r="D2604">
            <v>132</v>
          </cell>
          <cell r="E2604" t="str">
            <v>APPROVED</v>
          </cell>
          <cell r="F2604">
            <v>39813</v>
          </cell>
          <cell r="G2604">
            <v>40025</v>
          </cell>
          <cell r="H2604">
            <v>271251.67</v>
          </cell>
          <cell r="I2604" t="str">
            <v>FIN Submission</v>
          </cell>
          <cell r="J2604">
            <v>41859</v>
          </cell>
        </row>
        <row r="2605">
          <cell r="A2605" t="str">
            <v>28910-S301</v>
          </cell>
          <cell r="B2605" t="str">
            <v>LIN 2008-COMMON WATER LINE REPLACEM</v>
          </cell>
          <cell r="C2605" t="str">
            <v>zINVALID FIN Approval - Internal</v>
          </cell>
          <cell r="D2605">
            <v>132</v>
          </cell>
          <cell r="E2605" t="str">
            <v>APPROVED</v>
          </cell>
          <cell r="F2605">
            <v>39752</v>
          </cell>
          <cell r="G2605">
            <v>40116</v>
          </cell>
          <cell r="H2605">
            <v>275287.01</v>
          </cell>
          <cell r="I2605" t="str">
            <v>FIN Submission</v>
          </cell>
          <cell r="J2605">
            <v>41859</v>
          </cell>
        </row>
        <row r="2606">
          <cell r="A2606" t="str">
            <v>28899-S331</v>
          </cell>
          <cell r="B2606" t="str">
            <v>LIN-SEAL INTERIOR ASH STORAGE AREA</v>
          </cell>
          <cell r="C2606" t="str">
            <v>zINVALID FIN Approval - Internal</v>
          </cell>
          <cell r="D2606">
            <v>132</v>
          </cell>
          <cell r="E2606" t="str">
            <v>APPROVED</v>
          </cell>
          <cell r="F2606">
            <v>39752</v>
          </cell>
          <cell r="G2606">
            <v>40847</v>
          </cell>
          <cell r="H2606">
            <v>655536.03</v>
          </cell>
          <cell r="I2606" t="str">
            <v>FIN Submission</v>
          </cell>
          <cell r="J2606">
            <v>41859</v>
          </cell>
        </row>
        <row r="2607">
          <cell r="A2607" t="str">
            <v>28911-S291</v>
          </cell>
          <cell r="B2607" t="str">
            <v>LIN1-CW VALVES &amp; PIPING REPLACEMENT</v>
          </cell>
          <cell r="C2607" t="str">
            <v>zINVALID FIN Approval - Internal</v>
          </cell>
          <cell r="D2607">
            <v>132</v>
          </cell>
          <cell r="E2607" t="str">
            <v>APPROVED</v>
          </cell>
          <cell r="F2607">
            <v>39752</v>
          </cell>
          <cell r="G2607">
            <v>40482</v>
          </cell>
          <cell r="H2607">
            <v>994903.63</v>
          </cell>
          <cell r="I2607" t="str">
            <v>FIN Submission</v>
          </cell>
          <cell r="J2607">
            <v>41859</v>
          </cell>
        </row>
        <row r="2608">
          <cell r="A2608" t="str">
            <v>28917-S321</v>
          </cell>
          <cell r="B2608" t="str">
            <v>LIN3-ID FAN VIV REBUILD</v>
          </cell>
          <cell r="C2608" t="str">
            <v>zINVALID FIN Approval - Internal</v>
          </cell>
          <cell r="D2608">
            <v>132</v>
          </cell>
          <cell r="E2608" t="str">
            <v>APPROVED</v>
          </cell>
          <cell r="F2608">
            <v>39963</v>
          </cell>
          <cell r="G2608">
            <v>40178</v>
          </cell>
          <cell r="H2608">
            <v>102316.68</v>
          </cell>
          <cell r="I2608" t="str">
            <v>FIN Submission</v>
          </cell>
          <cell r="J2608">
            <v>41859</v>
          </cell>
        </row>
        <row r="2609">
          <cell r="A2609" t="str">
            <v>28783-S419</v>
          </cell>
          <cell r="B2609" t="str">
            <v>POA HVAC Refurbishment Program</v>
          </cell>
          <cell r="C2609" t="str">
            <v>zINVALID FIN Approval - Internal</v>
          </cell>
          <cell r="D2609">
            <v>132</v>
          </cell>
          <cell r="E2609" t="str">
            <v>APPROVED</v>
          </cell>
          <cell r="F2609">
            <v>40056</v>
          </cell>
          <cell r="G2609">
            <v>40602</v>
          </cell>
          <cell r="H2609">
            <v>112150.33</v>
          </cell>
          <cell r="I2609" t="str">
            <v>FIN Submission</v>
          </cell>
          <cell r="J2609">
            <v>41859</v>
          </cell>
        </row>
        <row r="2610">
          <cell r="A2610" t="str">
            <v>28861-S240</v>
          </cell>
          <cell r="B2610" t="str">
            <v>POA- FIRE PROTECTION UPGRADES</v>
          </cell>
          <cell r="C2610" t="str">
            <v>zINVALID FIN Approval - Internal</v>
          </cell>
          <cell r="D2610">
            <v>132</v>
          </cell>
          <cell r="E2610" t="str">
            <v>APPROVED</v>
          </cell>
          <cell r="F2610">
            <v>41060</v>
          </cell>
          <cell r="G2610">
            <v>41060</v>
          </cell>
          <cell r="H2610">
            <v>30939.75</v>
          </cell>
          <cell r="I2610" t="str">
            <v>FIN Submission</v>
          </cell>
          <cell r="J2610">
            <v>41859</v>
          </cell>
        </row>
        <row r="2611">
          <cell r="A2611" t="str">
            <v>28553-S697</v>
          </cell>
          <cell r="B2611" t="str">
            <v>POT SSC COOLING WATER LINE REPL</v>
          </cell>
          <cell r="C2611" t="str">
            <v>zINVALID FIN Approval - Internal</v>
          </cell>
          <cell r="D2611">
            <v>132</v>
          </cell>
          <cell r="E2611" t="str">
            <v>APPROVED</v>
          </cell>
          <cell r="F2611">
            <v>40862</v>
          </cell>
          <cell r="G2611">
            <v>41593</v>
          </cell>
          <cell r="H2611">
            <v>39624.11</v>
          </cell>
          <cell r="I2611" t="str">
            <v>FIN Submission</v>
          </cell>
          <cell r="J2611">
            <v>41859</v>
          </cell>
        </row>
        <row r="2612">
          <cell r="A2612" t="str">
            <v>18909-H560</v>
          </cell>
          <cell r="B2612" t="str">
            <v>HYD -U&amp;U Big Falls Scrollcase Refu</v>
          </cell>
          <cell r="C2612" t="str">
            <v>FIN Approval - Internal</v>
          </cell>
          <cell r="D2612">
            <v>134</v>
          </cell>
          <cell r="E2612" t="str">
            <v>APPROVED</v>
          </cell>
          <cell r="F2612">
            <v>40147</v>
          </cell>
          <cell r="G2612">
            <v>41010</v>
          </cell>
          <cell r="H2612">
            <v>260622.46</v>
          </cell>
          <cell r="I2612" t="str">
            <v>FIN Submission</v>
          </cell>
          <cell r="J2612">
            <v>41859</v>
          </cell>
        </row>
        <row r="2613">
          <cell r="A2613" t="str">
            <v>28393-S711</v>
          </cell>
          <cell r="B2613" t="str">
            <v>POT 2A Mill and Feeder Refurbishmen</v>
          </cell>
          <cell r="C2613" t="str">
            <v>zINVALID FIN Approval - Internal</v>
          </cell>
          <cell r="D2613">
            <v>134</v>
          </cell>
          <cell r="E2613" t="str">
            <v>APPROVED</v>
          </cell>
          <cell r="F2613">
            <v>41136</v>
          </cell>
          <cell r="G2613">
            <v>41547</v>
          </cell>
          <cell r="H2613">
            <v>619529.29</v>
          </cell>
          <cell r="I2613" t="str">
            <v>FIN Submission</v>
          </cell>
          <cell r="J2613">
            <v>41859</v>
          </cell>
        </row>
        <row r="2614">
          <cell r="A2614" t="str">
            <v>16387-H602</v>
          </cell>
          <cell r="B2614" t="str">
            <v>HYD- Ruth Falls #3 Runner Replmt</v>
          </cell>
          <cell r="C2614" t="str">
            <v>FIN Approval - Internal</v>
          </cell>
          <cell r="D2614">
            <v>138</v>
          </cell>
          <cell r="E2614" t="str">
            <v>APPROVED</v>
          </cell>
          <cell r="F2614">
            <v>41320</v>
          </cell>
          <cell r="G2614">
            <v>41578</v>
          </cell>
          <cell r="H2614">
            <v>822141.17</v>
          </cell>
          <cell r="I2614" t="str">
            <v>FIN Submission</v>
          </cell>
          <cell r="J2614">
            <v>41859</v>
          </cell>
        </row>
        <row r="2615">
          <cell r="A2615" t="str">
            <v>22467-S587</v>
          </cell>
          <cell r="B2615" t="str">
            <v>POT - Condenser Waterbox Replacemen</v>
          </cell>
          <cell r="C2615" t="str">
            <v>FIN Approval - Internal</v>
          </cell>
          <cell r="D2615">
            <v>139</v>
          </cell>
          <cell r="E2615" t="str">
            <v>APPROVED</v>
          </cell>
          <cell r="F2615">
            <v>40754</v>
          </cell>
          <cell r="G2615">
            <v>41639</v>
          </cell>
          <cell r="H2615">
            <v>537724.43000000005</v>
          </cell>
          <cell r="I2615" t="str">
            <v>FIN Submission</v>
          </cell>
          <cell r="J2615">
            <v>41859</v>
          </cell>
        </row>
        <row r="2616">
          <cell r="A2616" t="str">
            <v>16497-H593</v>
          </cell>
          <cell r="B2616" t="str">
            <v>HYD - Nictaux Electrical Refurbishm</v>
          </cell>
          <cell r="C2616" t="str">
            <v>FIN Approval - Internal</v>
          </cell>
          <cell r="D2616">
            <v>140</v>
          </cell>
          <cell r="E2616" t="str">
            <v>APPROVED</v>
          </cell>
          <cell r="F2616">
            <v>40846</v>
          </cell>
          <cell r="G2616">
            <v>41054</v>
          </cell>
          <cell r="H2616">
            <v>985395.39</v>
          </cell>
          <cell r="I2616" t="str">
            <v>FIN Submission</v>
          </cell>
          <cell r="J2616">
            <v>41859</v>
          </cell>
        </row>
        <row r="2617">
          <cell r="A2617" t="str">
            <v>17583-H611</v>
          </cell>
          <cell r="B2617" t="str">
            <v>HYD - BER-GUL - Electrical Refurbis</v>
          </cell>
          <cell r="C2617" t="str">
            <v>FIN Approval - Internal</v>
          </cell>
          <cell r="D2617">
            <v>141</v>
          </cell>
          <cell r="E2617" t="str">
            <v>APPROVED</v>
          </cell>
          <cell r="F2617">
            <v>41299</v>
          </cell>
          <cell r="G2617">
            <v>41639</v>
          </cell>
          <cell r="H2617">
            <v>950969.24</v>
          </cell>
          <cell r="I2617" t="str">
            <v>FIN Submission</v>
          </cell>
          <cell r="J2617">
            <v>41859</v>
          </cell>
        </row>
        <row r="2618">
          <cell r="A2618" t="str">
            <v>44781-T781</v>
          </cell>
          <cell r="B2618" t="str">
            <v>69KV Structures for Aliant</v>
          </cell>
          <cell r="C2618" t="str">
            <v>FIN Approval - Internal</v>
          </cell>
          <cell r="D2618">
            <v>16</v>
          </cell>
          <cell r="E2618" t="str">
            <v>APPROVED</v>
          </cell>
          <cell r="F2618">
            <v>41517</v>
          </cell>
          <cell r="G2618">
            <v>41759</v>
          </cell>
          <cell r="H2618">
            <v>0</v>
          </cell>
          <cell r="I2618" t="str">
            <v>FIN Submission</v>
          </cell>
          <cell r="J2618">
            <v>41843</v>
          </cell>
        </row>
        <row r="2619">
          <cell r="A2619" t="str">
            <v>44127-D487</v>
          </cell>
          <cell r="B2619" t="str">
            <v>542W-311 East Berlin - Line Move</v>
          </cell>
          <cell r="C2619" t="str">
            <v>FIN Approval - Internal</v>
          </cell>
          <cell r="D2619">
            <v>18</v>
          </cell>
          <cell r="E2619" t="str">
            <v>APPROVED</v>
          </cell>
          <cell r="F2619">
            <v>41363</v>
          </cell>
          <cell r="G2619">
            <v>41670</v>
          </cell>
          <cell r="H2619">
            <v>23970.29</v>
          </cell>
          <cell r="I2619" t="str">
            <v>FIN Submission</v>
          </cell>
          <cell r="J2619">
            <v>41843</v>
          </cell>
        </row>
        <row r="2620">
          <cell r="A2620" t="str">
            <v>44314-T769</v>
          </cell>
          <cell r="B2620" t="str">
            <v>L5003 Upgrade</v>
          </cell>
          <cell r="C2620" t="str">
            <v>FIN Approval - Internal</v>
          </cell>
          <cell r="D2620">
            <v>18</v>
          </cell>
          <cell r="E2620" t="str">
            <v>APPROVED</v>
          </cell>
          <cell r="F2620">
            <v>41578</v>
          </cell>
          <cell r="G2620">
            <v>41669</v>
          </cell>
          <cell r="H2620">
            <v>91619.98</v>
          </cell>
          <cell r="I2620" t="str">
            <v>FIN Submission</v>
          </cell>
          <cell r="J2620">
            <v>41843</v>
          </cell>
        </row>
        <row r="2621">
          <cell r="A2621" t="str">
            <v>44228-T767</v>
          </cell>
          <cell r="B2621" t="str">
            <v>L5026 Upgrade  Pole &amp; Arm Replacmnt</v>
          </cell>
          <cell r="C2621" t="str">
            <v>FIN Approval - Internal</v>
          </cell>
          <cell r="D2621">
            <v>18</v>
          </cell>
          <cell r="E2621" t="str">
            <v>APPROVED</v>
          </cell>
          <cell r="F2621">
            <v>41575</v>
          </cell>
          <cell r="G2621">
            <v>41758</v>
          </cell>
          <cell r="H2621">
            <v>101697.51</v>
          </cell>
          <cell r="I2621" t="str">
            <v>FIN Submission</v>
          </cell>
          <cell r="J2621">
            <v>41843</v>
          </cell>
        </row>
        <row r="2622">
          <cell r="A2622" t="str">
            <v>44316-T771</v>
          </cell>
          <cell r="B2622" t="str">
            <v>L6015 Upgrade</v>
          </cell>
          <cell r="C2622" t="str">
            <v>FIN Approval - Internal</v>
          </cell>
          <cell r="D2622">
            <v>18</v>
          </cell>
          <cell r="E2622" t="str">
            <v>APPROVED</v>
          </cell>
          <cell r="F2622">
            <v>41606</v>
          </cell>
          <cell r="G2622">
            <v>41758</v>
          </cell>
          <cell r="H2622">
            <v>124419.42</v>
          </cell>
          <cell r="I2622" t="str">
            <v>FIN Submission</v>
          </cell>
          <cell r="J2622">
            <v>41843</v>
          </cell>
        </row>
        <row r="2623">
          <cell r="A2623" t="str">
            <v>44006-SB29</v>
          </cell>
          <cell r="B2623" t="str">
            <v xml:space="preserve">POT- UU Vacuum Dehydrator for Unit </v>
          </cell>
          <cell r="C2623" t="str">
            <v>zINVALID FIN Approval - Internal</v>
          </cell>
          <cell r="D2623">
            <v>18</v>
          </cell>
          <cell r="E2623" t="str">
            <v>APPROVED</v>
          </cell>
          <cell r="F2623">
            <v>41305</v>
          </cell>
          <cell r="G2623">
            <v>41426</v>
          </cell>
          <cell r="H2623">
            <v>90157.82</v>
          </cell>
          <cell r="I2623" t="str">
            <v>FIN Submission</v>
          </cell>
          <cell r="J2623">
            <v>41843</v>
          </cell>
        </row>
        <row r="2624">
          <cell r="A2624" t="str">
            <v>44306-D491</v>
          </cell>
          <cell r="B2624" t="str">
            <v>16W-301 McCormack Rd Rebuild</v>
          </cell>
          <cell r="C2624" t="str">
            <v>FIN Approval - Internal</v>
          </cell>
          <cell r="D2624">
            <v>19</v>
          </cell>
          <cell r="E2624" t="str">
            <v>APPROVED</v>
          </cell>
          <cell r="F2624">
            <v>41728</v>
          </cell>
          <cell r="G2624">
            <v>41759</v>
          </cell>
          <cell r="H2624">
            <v>112836.57</v>
          </cell>
          <cell r="I2624" t="str">
            <v>FIN Submission</v>
          </cell>
          <cell r="J2624">
            <v>41843</v>
          </cell>
        </row>
        <row r="2625">
          <cell r="A2625" t="str">
            <v>44346-D501</v>
          </cell>
          <cell r="B2625" t="str">
            <v>545W-311 Dagley Road - Rebuild</v>
          </cell>
          <cell r="C2625" t="str">
            <v>FIN Approval - Internal</v>
          </cell>
          <cell r="D2625">
            <v>19</v>
          </cell>
          <cell r="E2625" t="str">
            <v>APPROVED</v>
          </cell>
          <cell r="F2625">
            <v>41542</v>
          </cell>
          <cell r="G2625">
            <v>41758</v>
          </cell>
          <cell r="H2625">
            <v>165629.47</v>
          </cell>
          <cell r="I2625" t="str">
            <v>FIN Submission</v>
          </cell>
          <cell r="J2625">
            <v>41843</v>
          </cell>
        </row>
        <row r="2626">
          <cell r="A2626" t="str">
            <v>44407-D508</v>
          </cell>
          <cell r="B2626" t="str">
            <v>581N-301 Harmony Overloaded</v>
          </cell>
          <cell r="C2626" t="str">
            <v>FIN Approval - Internal</v>
          </cell>
          <cell r="D2626">
            <v>19</v>
          </cell>
          <cell r="E2626" t="str">
            <v>APPROVED</v>
          </cell>
          <cell r="F2626">
            <v>41518</v>
          </cell>
          <cell r="G2626">
            <v>41758</v>
          </cell>
          <cell r="H2626">
            <v>55677.51</v>
          </cell>
          <cell r="I2626" t="str">
            <v>FIN Submission</v>
          </cell>
          <cell r="J2626">
            <v>41843</v>
          </cell>
        </row>
        <row r="2627">
          <cell r="A2627" t="str">
            <v>44327-D499</v>
          </cell>
          <cell r="B2627" t="str">
            <v>77V-302 Beechwood Ln - Rebuild</v>
          </cell>
          <cell r="C2627" t="str">
            <v>FIN Approval - Internal</v>
          </cell>
          <cell r="D2627">
            <v>19</v>
          </cell>
          <cell r="E2627" t="str">
            <v>APPROVED</v>
          </cell>
          <cell r="F2627">
            <v>41547</v>
          </cell>
          <cell r="G2627">
            <v>41759</v>
          </cell>
          <cell r="H2627">
            <v>43135.38</v>
          </cell>
          <cell r="I2627" t="str">
            <v>FIN Submission</v>
          </cell>
          <cell r="J2627">
            <v>41843</v>
          </cell>
        </row>
        <row r="2628">
          <cell r="A2628" t="str">
            <v>44166-T764</v>
          </cell>
          <cell r="B2628" t="str">
            <v>L6531 Upgrade</v>
          </cell>
          <cell r="C2628" t="str">
            <v>FIN Approval - Internal</v>
          </cell>
          <cell r="D2628">
            <v>22</v>
          </cell>
          <cell r="E2628" t="str">
            <v>APPROVED</v>
          </cell>
          <cell r="F2628">
            <v>41416</v>
          </cell>
          <cell r="G2628">
            <v>41758</v>
          </cell>
          <cell r="H2628">
            <v>108685.75999999999</v>
          </cell>
          <cell r="I2628" t="str">
            <v>FIN Submission</v>
          </cell>
          <cell r="J2628">
            <v>41843</v>
          </cell>
        </row>
        <row r="2629">
          <cell r="A2629" t="str">
            <v>44092-T765</v>
          </cell>
          <cell r="B2629" t="str">
            <v>91W Transformer Replacement</v>
          </cell>
          <cell r="C2629" t="str">
            <v>FIN Approval - Internal</v>
          </cell>
          <cell r="D2629">
            <v>23</v>
          </cell>
          <cell r="E2629" t="str">
            <v>APPROVED</v>
          </cell>
          <cell r="F2629">
            <v>41400</v>
          </cell>
          <cell r="G2629">
            <v>41638</v>
          </cell>
          <cell r="H2629">
            <v>327396.23</v>
          </cell>
          <cell r="I2629" t="str">
            <v>FIN Submission</v>
          </cell>
          <cell r="J2629">
            <v>41843</v>
          </cell>
        </row>
        <row r="2630">
          <cell r="A2630" t="str">
            <v>44029-D478</v>
          </cell>
          <cell r="B2630" t="str">
            <v>62N-413 Fall Brook Road Re-build</v>
          </cell>
          <cell r="C2630" t="str">
            <v>FIN Approval - Internal</v>
          </cell>
          <cell r="D2630">
            <v>24</v>
          </cell>
          <cell r="E2630" t="str">
            <v>APPROVED</v>
          </cell>
          <cell r="F2630">
            <v>41516</v>
          </cell>
          <cell r="G2630">
            <v>41638</v>
          </cell>
          <cell r="H2630">
            <v>49293.02</v>
          </cell>
          <cell r="I2630" t="str">
            <v>FIN Submission</v>
          </cell>
          <cell r="J2630">
            <v>41843</v>
          </cell>
        </row>
        <row r="2631">
          <cell r="A2631" t="str">
            <v>44088-D484</v>
          </cell>
          <cell r="B2631" t="str">
            <v>88W-312 BUNKER ISLAND LINE REMOVAL</v>
          </cell>
          <cell r="C2631" t="str">
            <v>FIN Approval - Internal</v>
          </cell>
          <cell r="D2631">
            <v>24</v>
          </cell>
          <cell r="E2631" t="str">
            <v>APPROVED</v>
          </cell>
          <cell r="F2631">
            <v>41455</v>
          </cell>
          <cell r="G2631">
            <v>41820</v>
          </cell>
          <cell r="H2631">
            <v>44612.99</v>
          </cell>
          <cell r="I2631" t="str">
            <v>FIN Submission</v>
          </cell>
          <cell r="J2631">
            <v>41843</v>
          </cell>
        </row>
        <row r="2632">
          <cell r="A2632" t="str">
            <v>43352-D452</v>
          </cell>
          <cell r="B2632" t="str">
            <v>92H-333 Hiking Trail Pole Replace</v>
          </cell>
          <cell r="C2632" t="str">
            <v>zINVALID FIN Approval - Internal</v>
          </cell>
          <cell r="D2632">
            <v>26</v>
          </cell>
          <cell r="E2632" t="str">
            <v>APPROVED</v>
          </cell>
          <cell r="F2632">
            <v>41261</v>
          </cell>
          <cell r="G2632">
            <v>41424</v>
          </cell>
          <cell r="H2632">
            <v>17720.349999999999</v>
          </cell>
          <cell r="I2632" t="str">
            <v>FIN Submission</v>
          </cell>
          <cell r="J2632">
            <v>41843</v>
          </cell>
        </row>
        <row r="2633">
          <cell r="A2633" t="str">
            <v>43161-D457</v>
          </cell>
          <cell r="B2633" t="str">
            <v>U&amp;U 18V-413 Upper Burlington ICP</v>
          </cell>
          <cell r="C2633" t="str">
            <v>zINVALID FIN Approval - Internal</v>
          </cell>
          <cell r="D2633">
            <v>26</v>
          </cell>
          <cell r="E2633" t="str">
            <v>APPROVED</v>
          </cell>
          <cell r="F2633">
            <v>41261</v>
          </cell>
          <cell r="G2633">
            <v>41639</v>
          </cell>
          <cell r="H2633">
            <v>72048.710000000006</v>
          </cell>
          <cell r="I2633" t="str">
            <v>FIN Submission</v>
          </cell>
          <cell r="J2633">
            <v>41843</v>
          </cell>
        </row>
        <row r="2634">
          <cell r="A2634" t="str">
            <v>43351-T743</v>
          </cell>
          <cell r="B2634" t="str">
            <v>L5535 Upgrade</v>
          </cell>
          <cell r="C2634" t="str">
            <v>FIN Approval - Internal</v>
          </cell>
          <cell r="D2634">
            <v>27</v>
          </cell>
          <cell r="E2634" t="str">
            <v>APPROVED</v>
          </cell>
          <cell r="F2634">
            <v>41182</v>
          </cell>
          <cell r="G2634">
            <v>41669</v>
          </cell>
          <cell r="H2634">
            <v>101271.27</v>
          </cell>
          <cell r="I2634" t="str">
            <v>FIN Submission</v>
          </cell>
          <cell r="J2634">
            <v>41843</v>
          </cell>
        </row>
        <row r="2635">
          <cell r="A2635" t="str">
            <v>43259-D447</v>
          </cell>
          <cell r="B2635" t="str">
            <v>IR #168 Rear Creignish</v>
          </cell>
          <cell r="C2635" t="str">
            <v>FIN Approval - Internal</v>
          </cell>
          <cell r="D2635">
            <v>30</v>
          </cell>
          <cell r="E2635" t="str">
            <v>APPROVED</v>
          </cell>
          <cell r="F2635">
            <v>41638</v>
          </cell>
          <cell r="G2635">
            <v>41851</v>
          </cell>
          <cell r="H2635">
            <v>0</v>
          </cell>
          <cell r="I2635" t="str">
            <v>FIN Submission</v>
          </cell>
          <cell r="J2635">
            <v>41843</v>
          </cell>
        </row>
        <row r="2636">
          <cell r="A2636" t="str">
            <v>43262-D448</v>
          </cell>
          <cell r="B2636" t="str">
            <v>IR #236 Irish Mountain</v>
          </cell>
          <cell r="C2636" t="str">
            <v>FIN Approval - Internal</v>
          </cell>
          <cell r="D2636">
            <v>30</v>
          </cell>
          <cell r="E2636" t="str">
            <v>APPROVED</v>
          </cell>
          <cell r="F2636">
            <v>41638</v>
          </cell>
          <cell r="G2636">
            <v>41851</v>
          </cell>
          <cell r="H2636">
            <v>0</v>
          </cell>
          <cell r="I2636" t="str">
            <v>FIN Submission</v>
          </cell>
          <cell r="J2636">
            <v>41843</v>
          </cell>
        </row>
        <row r="2637">
          <cell r="A2637" t="str">
            <v>43263-D450</v>
          </cell>
          <cell r="B2637" t="str">
            <v>IR #237 South Cape Mabou</v>
          </cell>
          <cell r="C2637" t="str">
            <v>FIN Approval - Internal</v>
          </cell>
          <cell r="D2637">
            <v>30</v>
          </cell>
          <cell r="E2637" t="str">
            <v>APPROVED</v>
          </cell>
          <cell r="F2637">
            <v>41638</v>
          </cell>
          <cell r="G2637">
            <v>41851</v>
          </cell>
          <cell r="H2637">
            <v>0</v>
          </cell>
          <cell r="I2637" t="str">
            <v>FIN Submission</v>
          </cell>
          <cell r="J2637">
            <v>41843</v>
          </cell>
        </row>
        <row r="2638">
          <cell r="A2638" t="str">
            <v>42632-T719</v>
          </cell>
          <cell r="B2638" t="str">
            <v>L5530A Upgrade</v>
          </cell>
          <cell r="C2638" t="str">
            <v>zINVALID FIN Approval - Internal</v>
          </cell>
          <cell r="D2638">
            <v>30</v>
          </cell>
          <cell r="E2638" t="str">
            <v>APPROVED</v>
          </cell>
          <cell r="F2638">
            <v>41145</v>
          </cell>
          <cell r="G2638">
            <v>41639</v>
          </cell>
          <cell r="H2638">
            <v>135746.10999999999</v>
          </cell>
          <cell r="I2638" t="str">
            <v>FIN Submission</v>
          </cell>
          <cell r="J2638">
            <v>41843</v>
          </cell>
        </row>
        <row r="2639">
          <cell r="A2639" t="str">
            <v>43198-D477</v>
          </cell>
          <cell r="B2639" t="str">
            <v>77V-302 - Conway - ICP</v>
          </cell>
          <cell r="C2639" t="str">
            <v>FIN Approval - Internal</v>
          </cell>
          <cell r="D2639">
            <v>31</v>
          </cell>
          <cell r="E2639" t="str">
            <v>APPROVED</v>
          </cell>
          <cell r="F2639">
            <v>41443</v>
          </cell>
          <cell r="G2639">
            <v>41758</v>
          </cell>
          <cell r="H2639">
            <v>124001.87</v>
          </cell>
          <cell r="I2639" t="str">
            <v>FIN Submission</v>
          </cell>
          <cell r="J2639">
            <v>41843</v>
          </cell>
        </row>
        <row r="2640">
          <cell r="A2640" t="str">
            <v>43192-D468</v>
          </cell>
          <cell r="B2640" t="str">
            <v>U&amp;U 25W-303 Shelburne ICP</v>
          </cell>
          <cell r="C2640" t="str">
            <v>FIN Approval - External</v>
          </cell>
          <cell r="D2640">
            <v>31</v>
          </cell>
          <cell r="E2640" t="str">
            <v>APPROVED</v>
          </cell>
          <cell r="F2640">
            <v>41514</v>
          </cell>
          <cell r="G2640">
            <v>41669</v>
          </cell>
          <cell r="H2640">
            <v>166638.04</v>
          </cell>
          <cell r="I2640" t="str">
            <v>FIN Submission</v>
          </cell>
          <cell r="J2640">
            <v>41843</v>
          </cell>
        </row>
        <row r="2641">
          <cell r="A2641" t="str">
            <v>42086-D406</v>
          </cell>
          <cell r="B2641" t="str">
            <v>509V-301 Central Grove Rebuild</v>
          </cell>
          <cell r="C2641" t="str">
            <v>zINVALID FIN Approval - Internal</v>
          </cell>
          <cell r="D2641">
            <v>32</v>
          </cell>
          <cell r="E2641" t="str">
            <v>APPROVED</v>
          </cell>
          <cell r="F2641">
            <v>41151</v>
          </cell>
          <cell r="G2641">
            <v>41273</v>
          </cell>
          <cell r="H2641">
            <v>110082</v>
          </cell>
          <cell r="I2641" t="str">
            <v>FIN Submission</v>
          </cell>
          <cell r="J2641">
            <v>41843</v>
          </cell>
        </row>
        <row r="2642">
          <cell r="A2642" t="str">
            <v>43185-D460</v>
          </cell>
          <cell r="B2642" t="str">
            <v>U&amp;U 22V-323G Prospect Rd ICP</v>
          </cell>
          <cell r="C2642" t="str">
            <v>FIN Approval - Internal</v>
          </cell>
          <cell r="D2642">
            <v>32</v>
          </cell>
          <cell r="E2642" t="str">
            <v>APPROVED</v>
          </cell>
          <cell r="F2642">
            <v>41261</v>
          </cell>
          <cell r="G2642">
            <v>41669</v>
          </cell>
          <cell r="H2642">
            <v>32942.449999999997</v>
          </cell>
          <cell r="I2642" t="str">
            <v>FIN Submission</v>
          </cell>
          <cell r="J2642">
            <v>41843</v>
          </cell>
        </row>
        <row r="2643">
          <cell r="A2643" t="str">
            <v>43347-D455</v>
          </cell>
          <cell r="B2643" t="str">
            <v>Eastern Voltage Regulator Replace</v>
          </cell>
          <cell r="C2643" t="str">
            <v>FIN Approval - Internal</v>
          </cell>
          <cell r="D2643">
            <v>33</v>
          </cell>
          <cell r="E2643" t="str">
            <v>APPROVED</v>
          </cell>
          <cell r="F2643">
            <v>41639</v>
          </cell>
          <cell r="G2643">
            <v>41820</v>
          </cell>
          <cell r="H2643">
            <v>52783.48</v>
          </cell>
          <cell r="I2643" t="str">
            <v>FIN Submission</v>
          </cell>
          <cell r="J2643">
            <v>41843</v>
          </cell>
        </row>
        <row r="2644">
          <cell r="A2644" t="str">
            <v>42067-D398</v>
          </cell>
          <cell r="B2644" t="str">
            <v>16V-315 Lewiston Rd Reconductor</v>
          </cell>
          <cell r="C2644" t="str">
            <v>zINVALID FIN Approval - Internal</v>
          </cell>
          <cell r="D2644">
            <v>34</v>
          </cell>
          <cell r="E2644" t="str">
            <v>APPROVED</v>
          </cell>
          <cell r="F2644">
            <v>41182</v>
          </cell>
          <cell r="G2644">
            <v>41514</v>
          </cell>
          <cell r="H2644">
            <v>116822.63</v>
          </cell>
          <cell r="I2644" t="str">
            <v>FIN Submission</v>
          </cell>
          <cell r="J2644">
            <v>41843</v>
          </cell>
        </row>
        <row r="2645">
          <cell r="A2645" t="str">
            <v>42026-D396</v>
          </cell>
          <cell r="B2645" t="str">
            <v>70V-311 - Port Lorne Rebuild</v>
          </cell>
          <cell r="C2645" t="str">
            <v>zINVALID FIN Approval - Internal</v>
          </cell>
          <cell r="D2645">
            <v>34</v>
          </cell>
          <cell r="E2645" t="str">
            <v>APPROVED</v>
          </cell>
          <cell r="F2645">
            <v>41151</v>
          </cell>
          <cell r="G2645">
            <v>41394</v>
          </cell>
          <cell r="H2645">
            <v>29665.08</v>
          </cell>
          <cell r="I2645" t="str">
            <v>FIN Submission</v>
          </cell>
          <cell r="J2645">
            <v>41843</v>
          </cell>
        </row>
        <row r="2646">
          <cell r="A2646" t="str">
            <v>42629-T718</v>
          </cell>
          <cell r="B2646" t="str">
            <v>L5575 Upgrade</v>
          </cell>
          <cell r="C2646" t="str">
            <v>FIN Approval - Internal</v>
          </cell>
          <cell r="D2646">
            <v>34</v>
          </cell>
          <cell r="E2646" t="str">
            <v>APPROVED</v>
          </cell>
          <cell r="F2646">
            <v>41182</v>
          </cell>
          <cell r="G2646">
            <v>41639</v>
          </cell>
          <cell r="H2646">
            <v>83801.789999999994</v>
          </cell>
          <cell r="I2646" t="str">
            <v>FIN Submission</v>
          </cell>
          <cell r="J2646">
            <v>41843</v>
          </cell>
        </row>
        <row r="2647">
          <cell r="A2647" t="str">
            <v>42636-T723</v>
          </cell>
          <cell r="B2647" t="str">
            <v>L6539 Upgrade</v>
          </cell>
          <cell r="C2647" t="str">
            <v>FIN Approval - Internal</v>
          </cell>
          <cell r="D2647">
            <v>34</v>
          </cell>
          <cell r="E2647" t="str">
            <v>APPROVED</v>
          </cell>
          <cell r="F2647">
            <v>41547</v>
          </cell>
          <cell r="G2647">
            <v>41669</v>
          </cell>
          <cell r="H2647">
            <v>225376.74</v>
          </cell>
          <cell r="I2647" t="str">
            <v>FIN Submission</v>
          </cell>
          <cell r="J2647">
            <v>41843</v>
          </cell>
        </row>
        <row r="2648">
          <cell r="A2648" t="str">
            <v>43106-D466</v>
          </cell>
          <cell r="B2648" t="str">
            <v>U&amp;U 126H-311 Porter's Lake ICP</v>
          </cell>
          <cell r="C2648" t="str">
            <v>zINVALID FIN Approval - Internal</v>
          </cell>
          <cell r="D2648">
            <v>34</v>
          </cell>
          <cell r="E2648" t="str">
            <v>APPROVED</v>
          </cell>
          <cell r="F2648">
            <v>41261</v>
          </cell>
          <cell r="G2648">
            <v>41638</v>
          </cell>
          <cell r="H2648">
            <v>214307.27</v>
          </cell>
          <cell r="I2648" t="str">
            <v>FIN Submission</v>
          </cell>
          <cell r="J2648">
            <v>41843</v>
          </cell>
        </row>
        <row r="2649">
          <cell r="A2649" t="str">
            <v>42727-SA10</v>
          </cell>
          <cell r="B2649" t="str">
            <v xml:space="preserve">POT UU Decommission Coal Unloading </v>
          </cell>
          <cell r="C2649" t="str">
            <v>FIN Approval - Internal</v>
          </cell>
          <cell r="D2649">
            <v>35</v>
          </cell>
          <cell r="E2649" t="str">
            <v>APPROVED</v>
          </cell>
          <cell r="F2649">
            <v>41120</v>
          </cell>
          <cell r="G2649">
            <v>41639</v>
          </cell>
          <cell r="H2649">
            <v>64966.23</v>
          </cell>
          <cell r="I2649" t="str">
            <v>FIN Submission</v>
          </cell>
          <cell r="J2649">
            <v>41843</v>
          </cell>
        </row>
        <row r="2650">
          <cell r="A2650" t="str">
            <v>41824-S881</v>
          </cell>
          <cell r="B2650" t="str">
            <v xml:space="preserve">POA-U&amp;U-3A Coal Belt Replacement </v>
          </cell>
          <cell r="C2650" t="str">
            <v>zINVALID FIN Approval - Internal</v>
          </cell>
          <cell r="D2650">
            <v>36</v>
          </cell>
          <cell r="E2650" t="str">
            <v>APPROVED</v>
          </cell>
          <cell r="F2650">
            <v>40847</v>
          </cell>
          <cell r="G2650">
            <v>41182</v>
          </cell>
          <cell r="H2650">
            <v>50938.95</v>
          </cell>
          <cell r="I2650" t="str">
            <v>FIN Submission</v>
          </cell>
          <cell r="J2650">
            <v>41843</v>
          </cell>
        </row>
        <row r="2651">
          <cell r="A2651" t="str">
            <v>41864-S883</v>
          </cell>
          <cell r="B2651" t="str">
            <v>POA-U&amp;U-Dozer Cabin Glass Upgrade</v>
          </cell>
          <cell r="C2651" t="str">
            <v>zINVALID FIN Approval - Internal</v>
          </cell>
          <cell r="D2651">
            <v>36</v>
          </cell>
          <cell r="E2651" t="str">
            <v>APPROVED</v>
          </cell>
          <cell r="F2651">
            <v>40877</v>
          </cell>
          <cell r="G2651">
            <v>41121</v>
          </cell>
          <cell r="H2651">
            <v>21323.87</v>
          </cell>
          <cell r="I2651" t="str">
            <v>FIN Submission</v>
          </cell>
          <cell r="J2651">
            <v>41843</v>
          </cell>
        </row>
        <row r="2652">
          <cell r="A2652" t="str">
            <v>41647-D379</v>
          </cell>
          <cell r="B2652" t="str">
            <v>Grande Anse Voltage Reg Replacement</v>
          </cell>
          <cell r="C2652" t="str">
            <v>zINVALID FIN Approval - Internal</v>
          </cell>
          <cell r="D2652">
            <v>51</v>
          </cell>
          <cell r="E2652" t="str">
            <v>APPROVED</v>
          </cell>
          <cell r="F2652">
            <v>40967</v>
          </cell>
          <cell r="G2652">
            <v>41577</v>
          </cell>
          <cell r="H2652">
            <v>43857.68</v>
          </cell>
          <cell r="I2652" t="str">
            <v>FIN Submission</v>
          </cell>
          <cell r="J2652">
            <v>41843</v>
          </cell>
        </row>
        <row r="2653">
          <cell r="A2653" t="str">
            <v>41597-S944</v>
          </cell>
          <cell r="B2653" t="str">
            <v>POA - Inline Sodium Analyzer Replac</v>
          </cell>
          <cell r="C2653" t="str">
            <v>zINVALID FIN Approval - Internal</v>
          </cell>
          <cell r="D2653">
            <v>52</v>
          </cell>
          <cell r="E2653" t="str">
            <v>APPROVED</v>
          </cell>
          <cell r="F2653">
            <v>41184</v>
          </cell>
          <cell r="G2653">
            <v>41394</v>
          </cell>
          <cell r="H2653">
            <v>25444.32</v>
          </cell>
          <cell r="I2653" t="str">
            <v>FIN Submission</v>
          </cell>
          <cell r="J2653">
            <v>41843</v>
          </cell>
        </row>
        <row r="2654">
          <cell r="A2654" t="str">
            <v>41567-SA46</v>
          </cell>
          <cell r="B2654" t="str">
            <v>POA - Loop Seal Fluidizing Nozzle R</v>
          </cell>
          <cell r="C2654" t="str">
            <v>zINVALID FIN Approval - Internal</v>
          </cell>
          <cell r="D2654">
            <v>52</v>
          </cell>
          <cell r="E2654" t="str">
            <v>APPROVED</v>
          </cell>
          <cell r="F2654">
            <v>41203</v>
          </cell>
          <cell r="G2654">
            <v>41334</v>
          </cell>
          <cell r="H2654">
            <v>117645.65</v>
          </cell>
          <cell r="I2654" t="str">
            <v>FIN Submission</v>
          </cell>
          <cell r="J2654">
            <v>41843</v>
          </cell>
        </row>
        <row r="2655">
          <cell r="A2655" t="str">
            <v>41623-D377</v>
          </cell>
          <cell r="B2655" t="str">
            <v>22C Cleveland New Feeder</v>
          </cell>
          <cell r="C2655" t="str">
            <v>zINVALID FIN Approval - Internal</v>
          </cell>
          <cell r="D2655">
            <v>53</v>
          </cell>
          <cell r="E2655" t="str">
            <v>APPROVED</v>
          </cell>
          <cell r="F2655">
            <v>40907</v>
          </cell>
          <cell r="G2655">
            <v>41182</v>
          </cell>
          <cell r="H2655">
            <v>34451.089999999997</v>
          </cell>
          <cell r="I2655" t="str">
            <v>FIN Submission</v>
          </cell>
          <cell r="J2655">
            <v>41843</v>
          </cell>
        </row>
        <row r="2656">
          <cell r="A2656" t="str">
            <v>41261-S978</v>
          </cell>
          <cell r="B2656" t="str">
            <v>TUC1- DC Exciter Refurbishment</v>
          </cell>
          <cell r="C2656" t="str">
            <v>zINVALID FIN Approval - Internal</v>
          </cell>
          <cell r="D2656">
            <v>53</v>
          </cell>
          <cell r="E2656" t="str">
            <v>APPROVED</v>
          </cell>
          <cell r="F2656">
            <v>41274</v>
          </cell>
          <cell r="G2656">
            <v>41639</v>
          </cell>
          <cell r="H2656">
            <v>62922.81</v>
          </cell>
          <cell r="I2656" t="str">
            <v>FIN Submission</v>
          </cell>
          <cell r="J2656">
            <v>41843</v>
          </cell>
        </row>
        <row r="2657">
          <cell r="A2657" t="str">
            <v>41571-SA16</v>
          </cell>
          <cell r="B2657" t="str">
            <v xml:space="preserve">POA-High Pressure Piping and Valve </v>
          </cell>
          <cell r="C2657" t="str">
            <v>zINVALID FIN Approval - Internal</v>
          </cell>
          <cell r="D2657">
            <v>54</v>
          </cell>
          <cell r="E2657" t="str">
            <v>APPROVED</v>
          </cell>
          <cell r="F2657">
            <v>41204</v>
          </cell>
          <cell r="G2657">
            <v>41517</v>
          </cell>
          <cell r="H2657">
            <v>58847.5</v>
          </cell>
          <cell r="I2657" t="str">
            <v>FIN Submission</v>
          </cell>
          <cell r="J2657">
            <v>41843</v>
          </cell>
        </row>
        <row r="2658">
          <cell r="A2658" t="str">
            <v>41448-SA13</v>
          </cell>
          <cell r="B2658" t="str">
            <v>POT - Screen Wash System Refurbishm</v>
          </cell>
          <cell r="C2658" t="str">
            <v>zINVALID FIN Approval - Internal</v>
          </cell>
          <cell r="D2658">
            <v>55</v>
          </cell>
          <cell r="E2658" t="str">
            <v>APPROVED</v>
          </cell>
          <cell r="F2658">
            <v>41061</v>
          </cell>
          <cell r="G2658">
            <v>41244</v>
          </cell>
          <cell r="H2658">
            <v>26819.07</v>
          </cell>
          <cell r="I2658" t="str">
            <v>FIN Submission</v>
          </cell>
          <cell r="J2658">
            <v>41843</v>
          </cell>
        </row>
        <row r="2659">
          <cell r="A2659" t="str">
            <v>41333-D407</v>
          </cell>
          <cell r="B2659" t="str">
            <v>16N-301 Stewiacke Reconductor</v>
          </cell>
          <cell r="C2659" t="str">
            <v>zINVALID FIN Approval - Internal</v>
          </cell>
          <cell r="D2659">
            <v>56</v>
          </cell>
          <cell r="E2659" t="str">
            <v>APPROVED</v>
          </cell>
          <cell r="F2659">
            <v>41151</v>
          </cell>
          <cell r="G2659">
            <v>41547</v>
          </cell>
          <cell r="H2659">
            <v>263578.52</v>
          </cell>
          <cell r="I2659" t="str">
            <v>FIN Submission</v>
          </cell>
          <cell r="J2659">
            <v>41843</v>
          </cell>
        </row>
        <row r="2660">
          <cell r="A2660" t="str">
            <v>41047-S908</v>
          </cell>
          <cell r="B2660" t="str">
            <v>POA - 4KV &amp; 600V Breaker Refurbishm</v>
          </cell>
          <cell r="C2660" t="str">
            <v>zINVALID FIN Approval - Internal</v>
          </cell>
          <cell r="D2660">
            <v>56</v>
          </cell>
          <cell r="E2660" t="str">
            <v>APPROVED</v>
          </cell>
          <cell r="F2660">
            <v>41394</v>
          </cell>
          <cell r="G2660">
            <v>41577</v>
          </cell>
          <cell r="H2660">
            <v>28397.25</v>
          </cell>
          <cell r="I2660" t="str">
            <v>FIN Submission</v>
          </cell>
          <cell r="J2660">
            <v>41843</v>
          </cell>
        </row>
        <row r="2661">
          <cell r="A2661" t="str">
            <v>41150-SA74</v>
          </cell>
          <cell r="B2661" t="str">
            <v>LIN 4160V  and 600V Motor Refurbish</v>
          </cell>
          <cell r="C2661" t="str">
            <v>zINVALID FIN Approval - Internal</v>
          </cell>
          <cell r="D2661">
            <v>57</v>
          </cell>
          <cell r="E2661" t="str">
            <v>APPROVED</v>
          </cell>
          <cell r="F2661">
            <v>41267</v>
          </cell>
          <cell r="G2661">
            <v>41267</v>
          </cell>
          <cell r="H2661">
            <v>70396.92</v>
          </cell>
          <cell r="I2661" t="str">
            <v>FIN Submission</v>
          </cell>
          <cell r="J2661">
            <v>41843</v>
          </cell>
        </row>
        <row r="2662">
          <cell r="A2662" t="str">
            <v>41057-S919</v>
          </cell>
          <cell r="B2662" t="str">
            <v>POA - Sootblower Refurbishment</v>
          </cell>
          <cell r="C2662" t="str">
            <v>zINVALID FIN Approval - Internal</v>
          </cell>
          <cell r="D2662">
            <v>57</v>
          </cell>
          <cell r="E2662" t="str">
            <v>APPROVED</v>
          </cell>
          <cell r="F2662">
            <v>41364</v>
          </cell>
          <cell r="G2662">
            <v>41364</v>
          </cell>
          <cell r="H2662">
            <v>57336.63</v>
          </cell>
          <cell r="I2662" t="str">
            <v>FIN Submission</v>
          </cell>
          <cell r="J2662">
            <v>41843</v>
          </cell>
        </row>
        <row r="2663">
          <cell r="A2663" t="str">
            <v>40247-P847</v>
          </cell>
          <cell r="B2663" t="str">
            <v>2011 Radio Tower Upgrades</v>
          </cell>
          <cell r="C2663" t="str">
            <v>FIN Approval - Internal</v>
          </cell>
          <cell r="D2663">
            <v>59</v>
          </cell>
          <cell r="E2663" t="str">
            <v>APPROVED</v>
          </cell>
          <cell r="F2663">
            <v>40907</v>
          </cell>
          <cell r="G2663">
            <v>40908</v>
          </cell>
          <cell r="H2663">
            <v>318592.40999999997</v>
          </cell>
          <cell r="I2663" t="str">
            <v>FIN Submission</v>
          </cell>
          <cell r="J2663">
            <v>41843</v>
          </cell>
        </row>
        <row r="2664">
          <cell r="A2664" t="str">
            <v>41398-D417</v>
          </cell>
          <cell r="B2664" t="str">
            <v>2012 Padmount Transformer Replaceme</v>
          </cell>
          <cell r="C2664" t="str">
            <v>FIN Approval - Internal</v>
          </cell>
          <cell r="D2664">
            <v>61</v>
          </cell>
          <cell r="E2664" t="str">
            <v>APPROVED</v>
          </cell>
          <cell r="F2664">
            <v>41182</v>
          </cell>
          <cell r="G2664">
            <v>41606</v>
          </cell>
          <cell r="H2664">
            <v>777646.34</v>
          </cell>
          <cell r="I2664" t="str">
            <v>FIN Submission</v>
          </cell>
          <cell r="J2664">
            <v>41843</v>
          </cell>
        </row>
        <row r="2665">
          <cell r="A2665" t="str">
            <v>41391-T728</v>
          </cell>
          <cell r="B2665" t="str">
            <v>L6025 Spar Arm Reinforcement</v>
          </cell>
          <cell r="C2665" t="str">
            <v>FIN Approval - Internal</v>
          </cell>
          <cell r="D2665">
            <v>63</v>
          </cell>
          <cell r="E2665" t="str">
            <v>APPROVED</v>
          </cell>
          <cell r="F2665">
            <v>41327</v>
          </cell>
          <cell r="G2665">
            <v>41639</v>
          </cell>
          <cell r="H2665">
            <v>834833.52</v>
          </cell>
          <cell r="I2665" t="str">
            <v>FIN Submission</v>
          </cell>
          <cell r="J2665">
            <v>41843</v>
          </cell>
        </row>
        <row r="2666">
          <cell r="A2666" t="str">
            <v>40848-S786</v>
          </cell>
          <cell r="B2666" t="str">
            <v>U&amp;U POA- Bulk Acid Tank Line Repl.</v>
          </cell>
          <cell r="C2666" t="str">
            <v>zINVALID FIN Approval - Internal</v>
          </cell>
          <cell r="D2666">
            <v>63</v>
          </cell>
          <cell r="E2666" t="str">
            <v>APPROVED</v>
          </cell>
          <cell r="F2666">
            <v>40661</v>
          </cell>
          <cell r="G2666">
            <v>41029</v>
          </cell>
          <cell r="H2666">
            <v>75057.289999999994</v>
          </cell>
          <cell r="I2666" t="str">
            <v>FIN Submission</v>
          </cell>
          <cell r="J2666">
            <v>41843</v>
          </cell>
        </row>
        <row r="2667">
          <cell r="A2667" t="str">
            <v>40724-T657</v>
          </cell>
          <cell r="B2667" t="str">
            <v>L5532 Upgrade</v>
          </cell>
          <cell r="C2667" t="str">
            <v>zINVALID FIN Approval - Internal</v>
          </cell>
          <cell r="D2667">
            <v>65</v>
          </cell>
          <cell r="E2667" t="str">
            <v>APPROVED</v>
          </cell>
          <cell r="F2667">
            <v>41182</v>
          </cell>
          <cell r="G2667">
            <v>41182</v>
          </cell>
          <cell r="H2667">
            <v>137471.73000000001</v>
          </cell>
          <cell r="I2667" t="str">
            <v>FIN Submission</v>
          </cell>
          <cell r="J2667">
            <v>41843</v>
          </cell>
        </row>
        <row r="2668">
          <cell r="A2668" t="str">
            <v>39723-T652</v>
          </cell>
          <cell r="B2668" t="str">
            <v>104H-T63 Transformer Refurbishment</v>
          </cell>
          <cell r="C2668" t="str">
            <v>FIN Approval - Internal</v>
          </cell>
          <cell r="D2668">
            <v>66</v>
          </cell>
          <cell r="E2668" t="str">
            <v>APPROVED</v>
          </cell>
          <cell r="F2668">
            <v>40543</v>
          </cell>
          <cell r="G2668">
            <v>41182</v>
          </cell>
          <cell r="H2668">
            <v>759692.52</v>
          </cell>
          <cell r="I2668" t="str">
            <v>FIN Submission</v>
          </cell>
          <cell r="J2668">
            <v>41843</v>
          </cell>
        </row>
        <row r="2669">
          <cell r="A2669" t="str">
            <v>40725-T658</v>
          </cell>
          <cell r="B2669" t="str">
            <v>L5011 Upgrade</v>
          </cell>
          <cell r="C2669" t="str">
            <v>zINVALID FIN Approval - Internal</v>
          </cell>
          <cell r="D2669">
            <v>66</v>
          </cell>
          <cell r="E2669" t="str">
            <v>APPROVED</v>
          </cell>
          <cell r="F2669">
            <v>41177</v>
          </cell>
          <cell r="G2669">
            <v>41182</v>
          </cell>
          <cell r="H2669">
            <v>154998.29</v>
          </cell>
          <cell r="I2669" t="str">
            <v>FIN Submission</v>
          </cell>
          <cell r="J2669">
            <v>41843</v>
          </cell>
        </row>
        <row r="2670">
          <cell r="A2670" t="str">
            <v>40340-S765</v>
          </cell>
          <cell r="B2670" t="str">
            <v>POT - Replace B Depac transport ves</v>
          </cell>
          <cell r="C2670" t="str">
            <v>zINVALID FIN Approval - Internal</v>
          </cell>
          <cell r="D2670">
            <v>66</v>
          </cell>
          <cell r="E2670" t="str">
            <v>APPROVED</v>
          </cell>
          <cell r="F2670">
            <v>40756</v>
          </cell>
          <cell r="G2670">
            <v>40969</v>
          </cell>
          <cell r="H2670">
            <v>65730.42</v>
          </cell>
          <cell r="I2670" t="str">
            <v>FIN Submission</v>
          </cell>
          <cell r="J2670">
            <v>41843</v>
          </cell>
        </row>
        <row r="2671">
          <cell r="A2671" t="str">
            <v>40545-D349</v>
          </cell>
          <cell r="B2671" t="str">
            <v>2011 New Reliability Technologies</v>
          </cell>
          <cell r="C2671" t="str">
            <v>zINVALID FIN Approval - Internal</v>
          </cell>
          <cell r="D2671">
            <v>69</v>
          </cell>
          <cell r="E2671" t="str">
            <v>APPROVED</v>
          </cell>
          <cell r="F2671">
            <v>40938</v>
          </cell>
          <cell r="G2671">
            <v>41273</v>
          </cell>
          <cell r="H2671">
            <v>78896.509999999995</v>
          </cell>
          <cell r="I2671" t="str">
            <v>FIN Submission</v>
          </cell>
          <cell r="J2671">
            <v>41843</v>
          </cell>
        </row>
        <row r="2672">
          <cell r="A2672" t="str">
            <v>40623-H613</v>
          </cell>
          <cell r="B2672" t="str">
            <v>HYD - U&amp;U Hollow Bridge Canal Dyke</v>
          </cell>
          <cell r="C2672" t="str">
            <v>FIN Approval - Internal</v>
          </cell>
          <cell r="D2672">
            <v>74</v>
          </cell>
          <cell r="E2672" t="str">
            <v>APPROVED</v>
          </cell>
          <cell r="F2672">
            <v>40848</v>
          </cell>
          <cell r="G2672">
            <v>41244</v>
          </cell>
          <cell r="H2672">
            <v>950059.67</v>
          </cell>
          <cell r="I2672" t="str">
            <v>FIN Submission</v>
          </cell>
          <cell r="J2672">
            <v>41843</v>
          </cell>
        </row>
        <row r="2673">
          <cell r="A2673" t="str">
            <v>40234-S704</v>
          </cell>
          <cell r="B2673" t="str">
            <v>LIN 4160V and 600v BREAKER REFURBIS</v>
          </cell>
          <cell r="C2673" t="str">
            <v>zINVALID FIN Approval - Internal</v>
          </cell>
          <cell r="D2673">
            <v>76</v>
          </cell>
          <cell r="E2673" t="str">
            <v>APPROVED</v>
          </cell>
          <cell r="F2673">
            <v>40901</v>
          </cell>
          <cell r="G2673">
            <v>41392</v>
          </cell>
          <cell r="H2673">
            <v>91120.87</v>
          </cell>
          <cell r="I2673" t="str">
            <v>FIN Submission</v>
          </cell>
          <cell r="J2673">
            <v>41843</v>
          </cell>
        </row>
        <row r="2674">
          <cell r="A2674" t="str">
            <v>40422-S866</v>
          </cell>
          <cell r="B2674" t="str">
            <v>LIN3 Boiler Refurbishment</v>
          </cell>
          <cell r="C2674" t="str">
            <v>zINVALID FIN Approval - Internal</v>
          </cell>
          <cell r="D2674">
            <v>76</v>
          </cell>
          <cell r="E2674" t="str">
            <v>APPROVED</v>
          </cell>
          <cell r="F2674">
            <v>40898</v>
          </cell>
          <cell r="G2674">
            <v>40987</v>
          </cell>
          <cell r="H2674">
            <v>595217.17000000004</v>
          </cell>
          <cell r="I2674" t="str">
            <v>FIN Submission</v>
          </cell>
          <cell r="J2674">
            <v>41843</v>
          </cell>
        </row>
        <row r="2675">
          <cell r="A2675" t="str">
            <v>40427-S751</v>
          </cell>
          <cell r="B2675" t="str">
            <v>LIN3 Turbine Fire Suppression</v>
          </cell>
          <cell r="C2675" t="str">
            <v>zINVALID FIN Approval - Internal</v>
          </cell>
          <cell r="D2675">
            <v>76</v>
          </cell>
          <cell r="E2675" t="str">
            <v>APPROVED</v>
          </cell>
          <cell r="F2675">
            <v>40938</v>
          </cell>
          <cell r="G2675">
            <v>41212</v>
          </cell>
          <cell r="H2675">
            <v>245623</v>
          </cell>
          <cell r="I2675" t="str">
            <v>FIN Submission</v>
          </cell>
          <cell r="J2675">
            <v>41843</v>
          </cell>
        </row>
        <row r="2676">
          <cell r="A2676" t="str">
            <v>40383-S739</v>
          </cell>
          <cell r="B2676" t="str">
            <v>POA-NOx Analyzer/CEM Components</v>
          </cell>
          <cell r="C2676" t="str">
            <v>zINVALID FIN Approval - Internal</v>
          </cell>
          <cell r="D2676">
            <v>76</v>
          </cell>
          <cell r="E2676" t="str">
            <v>APPROVED</v>
          </cell>
          <cell r="F2676">
            <v>40793</v>
          </cell>
          <cell r="G2676">
            <v>40975</v>
          </cell>
          <cell r="H2676">
            <v>19328</v>
          </cell>
          <cell r="I2676" t="str">
            <v>FIN Submission</v>
          </cell>
          <cell r="J2676">
            <v>41843</v>
          </cell>
        </row>
        <row r="2677">
          <cell r="A2677" t="str">
            <v>40253-S835</v>
          </cell>
          <cell r="B2677" t="str">
            <v>POT - Ash contacted water managemen</v>
          </cell>
          <cell r="C2677" t="str">
            <v>zINVALID FIN Approval - Internal</v>
          </cell>
          <cell r="D2677">
            <v>77</v>
          </cell>
          <cell r="E2677" t="str">
            <v>APPROVED</v>
          </cell>
          <cell r="F2677">
            <v>40904</v>
          </cell>
          <cell r="G2677">
            <v>41087</v>
          </cell>
          <cell r="H2677">
            <v>28268.14</v>
          </cell>
          <cell r="I2677" t="str">
            <v>FIN Submission</v>
          </cell>
          <cell r="J2677">
            <v>41843</v>
          </cell>
        </row>
        <row r="2678">
          <cell r="A2678" t="str">
            <v>40344-S797</v>
          </cell>
          <cell r="B2678" t="str">
            <v>POT - Waterwall replacement 2011</v>
          </cell>
          <cell r="C2678" t="str">
            <v>zINVALID FIN Approval - Internal</v>
          </cell>
          <cell r="D2678">
            <v>77</v>
          </cell>
          <cell r="E2678" t="str">
            <v>APPROVED</v>
          </cell>
          <cell r="F2678">
            <v>40756</v>
          </cell>
          <cell r="G2678">
            <v>40969</v>
          </cell>
          <cell r="H2678">
            <v>300495.37</v>
          </cell>
          <cell r="I2678" t="str">
            <v>FIN Submission</v>
          </cell>
          <cell r="J2678">
            <v>41843</v>
          </cell>
        </row>
        <row r="2679">
          <cell r="A2679" t="str">
            <v>40375-S878</v>
          </cell>
          <cell r="B2679" t="str">
            <v xml:space="preserve">LIN Crane Bus Duct Replacement </v>
          </cell>
          <cell r="C2679" t="str">
            <v>zINVALID FIN Approval - Internal</v>
          </cell>
          <cell r="D2679">
            <v>78</v>
          </cell>
          <cell r="E2679" t="str">
            <v>APPROVED</v>
          </cell>
          <cell r="F2679">
            <v>40898</v>
          </cell>
          <cell r="G2679">
            <v>40998</v>
          </cell>
          <cell r="H2679">
            <v>27385.91</v>
          </cell>
          <cell r="I2679" t="str">
            <v>FIN Submission</v>
          </cell>
          <cell r="J2679">
            <v>41843</v>
          </cell>
        </row>
        <row r="2680">
          <cell r="A2680" t="str">
            <v>40423-S760</v>
          </cell>
          <cell r="B2680" t="str">
            <v xml:space="preserve">LIN4 Boiler Refurbish </v>
          </cell>
          <cell r="C2680" t="str">
            <v>zINVALID FIN Approval - Internal</v>
          </cell>
          <cell r="D2680">
            <v>78</v>
          </cell>
          <cell r="E2680" t="str">
            <v>APPROVED</v>
          </cell>
          <cell r="F2680">
            <v>40682</v>
          </cell>
          <cell r="G2680">
            <v>41143</v>
          </cell>
          <cell r="H2680">
            <v>537128.15</v>
          </cell>
          <cell r="I2680" t="str">
            <v>FIN Submission</v>
          </cell>
          <cell r="J2680">
            <v>41843</v>
          </cell>
        </row>
        <row r="2681">
          <cell r="A2681" t="str">
            <v>40022-S675</v>
          </cell>
          <cell r="B2681" t="str">
            <v>POA-U&amp;U 1B BFP Check Valve Refurb.</v>
          </cell>
          <cell r="C2681" t="str">
            <v>zINVALID FIN Approval - Internal</v>
          </cell>
          <cell r="D2681">
            <v>78</v>
          </cell>
          <cell r="E2681" t="str">
            <v>APPROVED</v>
          </cell>
          <cell r="F2681">
            <v>40492</v>
          </cell>
          <cell r="G2681">
            <v>40755</v>
          </cell>
          <cell r="H2681">
            <v>95679</v>
          </cell>
          <cell r="I2681" t="str">
            <v>FIN Submission</v>
          </cell>
          <cell r="J2681">
            <v>41843</v>
          </cell>
        </row>
        <row r="2682">
          <cell r="A2682" t="str">
            <v>40329-D350</v>
          </cell>
          <cell r="B2682" t="str">
            <v>Padmount Switchgear Replacement</v>
          </cell>
          <cell r="C2682" t="str">
            <v>zINVALID FIN Approval - Internal</v>
          </cell>
          <cell r="D2682">
            <v>78</v>
          </cell>
          <cell r="E2682" t="str">
            <v>APPROVED</v>
          </cell>
          <cell r="F2682">
            <v>41261</v>
          </cell>
          <cell r="G2682">
            <v>41273</v>
          </cell>
          <cell r="H2682">
            <v>70101.009999999995</v>
          </cell>
          <cell r="I2682" t="str">
            <v>FIN Submission</v>
          </cell>
          <cell r="J2682">
            <v>41843</v>
          </cell>
        </row>
        <row r="2683">
          <cell r="A2683" t="str">
            <v>40038-S780</v>
          </cell>
          <cell r="B2683" t="str">
            <v>POA - Security System Upgrade</v>
          </cell>
          <cell r="C2683" t="str">
            <v>zINVALID FIN Approval - Internal</v>
          </cell>
          <cell r="D2683">
            <v>79</v>
          </cell>
          <cell r="E2683" t="str">
            <v>APPROVED</v>
          </cell>
          <cell r="F2683">
            <v>40816</v>
          </cell>
          <cell r="G2683">
            <v>41121</v>
          </cell>
          <cell r="H2683">
            <v>29104.32</v>
          </cell>
          <cell r="I2683" t="str">
            <v>FIN Submission</v>
          </cell>
          <cell r="J2683">
            <v>41843</v>
          </cell>
        </row>
        <row r="2684">
          <cell r="A2684" t="str">
            <v>38901-D293</v>
          </cell>
          <cell r="B2684" t="str">
            <v>23H-303 Targeted Replacements</v>
          </cell>
          <cell r="C2684" t="str">
            <v>FIN Approval - Internal</v>
          </cell>
          <cell r="D2684">
            <v>82</v>
          </cell>
          <cell r="E2684" t="str">
            <v>APPROVED</v>
          </cell>
          <cell r="F2684">
            <v>40452</v>
          </cell>
          <cell r="G2684">
            <v>40542</v>
          </cell>
          <cell r="H2684">
            <v>268325.59999999998</v>
          </cell>
          <cell r="I2684" t="str">
            <v>FIN Submission</v>
          </cell>
          <cell r="J2684">
            <v>41843</v>
          </cell>
        </row>
        <row r="2685">
          <cell r="A2685" t="str">
            <v>40203-D341</v>
          </cell>
          <cell r="B2685" t="str">
            <v>Gold River Phase 1</v>
          </cell>
          <cell r="C2685" t="str">
            <v>FIN Approval - Internal</v>
          </cell>
          <cell r="D2685">
            <v>85</v>
          </cell>
          <cell r="E2685" t="str">
            <v>APPROVED</v>
          </cell>
          <cell r="F2685">
            <v>40907</v>
          </cell>
          <cell r="G2685">
            <v>41820</v>
          </cell>
          <cell r="H2685">
            <v>376986.23</v>
          </cell>
          <cell r="I2685" t="str">
            <v>FIN Submission</v>
          </cell>
          <cell r="J2685">
            <v>41843</v>
          </cell>
        </row>
        <row r="2686">
          <cell r="A2686" t="str">
            <v>40301-H607</v>
          </cell>
          <cell r="B2686" t="str">
            <v xml:space="preserve">HYD - Big Falls Spillway - Walkway </v>
          </cell>
          <cell r="C2686" t="str">
            <v>FIN Approval - Internal</v>
          </cell>
          <cell r="D2686">
            <v>85</v>
          </cell>
          <cell r="E2686" t="str">
            <v>APPROVED</v>
          </cell>
          <cell r="F2686">
            <v>40878</v>
          </cell>
          <cell r="G2686">
            <v>41059</v>
          </cell>
          <cell r="H2686">
            <v>277071.75</v>
          </cell>
          <cell r="I2686" t="str">
            <v>FIN Submission</v>
          </cell>
          <cell r="J2686">
            <v>41843</v>
          </cell>
        </row>
        <row r="2687">
          <cell r="A2687" t="str">
            <v>39590-T725</v>
          </cell>
          <cell r="B2687" t="str">
            <v>Upgrade L5547</v>
          </cell>
          <cell r="C2687" t="str">
            <v>zINVALID FIN Approval - Internal</v>
          </cell>
          <cell r="D2687">
            <v>85</v>
          </cell>
          <cell r="E2687" t="str">
            <v>APPROVED</v>
          </cell>
          <cell r="F2687">
            <v>41333</v>
          </cell>
          <cell r="G2687">
            <v>41608</v>
          </cell>
          <cell r="H2687">
            <v>93096.55</v>
          </cell>
          <cell r="I2687" t="str">
            <v>FIN Submission</v>
          </cell>
          <cell r="J2687">
            <v>41843</v>
          </cell>
        </row>
        <row r="2688">
          <cell r="A2688" t="str">
            <v>40310-T747</v>
          </cell>
          <cell r="B2688" t="str">
            <v>15N Willow Ln Circuit Switcher Add</v>
          </cell>
          <cell r="C2688" t="str">
            <v>FIN Approval - Internal</v>
          </cell>
          <cell r="D2688">
            <v>88</v>
          </cell>
          <cell r="E2688" t="str">
            <v>APPROVED</v>
          </cell>
          <cell r="F2688">
            <v>41501</v>
          </cell>
          <cell r="G2688">
            <v>41728</v>
          </cell>
          <cell r="H2688">
            <v>529153.94999999995</v>
          </cell>
          <cell r="I2688" t="str">
            <v>FIN Submission</v>
          </cell>
          <cell r="J2688">
            <v>41843</v>
          </cell>
        </row>
        <row r="2689">
          <cell r="A2689" t="str">
            <v>39406-H604</v>
          </cell>
          <cell r="B2689" t="str">
            <v>HYD U&amp;U Dickie Brook Unit # 1</v>
          </cell>
          <cell r="C2689" t="str">
            <v>FIN Approval - Internal</v>
          </cell>
          <cell r="D2689">
            <v>93</v>
          </cell>
          <cell r="E2689" t="str">
            <v>APPROVED</v>
          </cell>
          <cell r="F2689">
            <v>40817</v>
          </cell>
          <cell r="G2689">
            <v>41090</v>
          </cell>
          <cell r="H2689">
            <v>603907.32999999996</v>
          </cell>
          <cell r="I2689" t="str">
            <v>FIN Submission</v>
          </cell>
          <cell r="J2689">
            <v>41843</v>
          </cell>
        </row>
        <row r="2690">
          <cell r="A2690" t="str">
            <v>38819-T675</v>
          </cell>
          <cell r="B2690" t="str">
            <v xml:space="preserve">51V Tremont Circuit Breaker &amp; Bus </v>
          </cell>
          <cell r="C2690" t="str">
            <v>FIN Approval - Internal</v>
          </cell>
          <cell r="D2690">
            <v>94</v>
          </cell>
          <cell r="E2690" t="str">
            <v>APPROVED</v>
          </cell>
          <cell r="F2690">
            <v>40908</v>
          </cell>
          <cell r="G2690">
            <v>41486</v>
          </cell>
          <cell r="H2690">
            <v>7437554.3300000001</v>
          </cell>
          <cell r="I2690" t="str">
            <v>FIN Submission</v>
          </cell>
          <cell r="J2690">
            <v>41843</v>
          </cell>
        </row>
        <row r="2691">
          <cell r="A2691" t="str">
            <v>33742-D238</v>
          </cell>
          <cell r="B2691" t="str">
            <v>22C-404 Device Replacements</v>
          </cell>
          <cell r="C2691" t="str">
            <v>FIN Approval - Internal</v>
          </cell>
          <cell r="D2691">
            <v>97</v>
          </cell>
          <cell r="E2691" t="str">
            <v>APPROVED</v>
          </cell>
          <cell r="F2691">
            <v>40268</v>
          </cell>
          <cell r="G2691">
            <v>40877</v>
          </cell>
          <cell r="H2691">
            <v>437331.31</v>
          </cell>
          <cell r="I2691" t="str">
            <v>FIN Submission</v>
          </cell>
          <cell r="J2691">
            <v>41843</v>
          </cell>
        </row>
        <row r="2692">
          <cell r="A2692" t="str">
            <v>37882-S655</v>
          </cell>
          <cell r="B2692" t="str">
            <v>POT - Install contractor office, lu</v>
          </cell>
          <cell r="C2692" t="str">
            <v>zINVALID FIN Approval - Internal</v>
          </cell>
          <cell r="D2692">
            <v>100</v>
          </cell>
          <cell r="E2692" t="str">
            <v>APPROVED</v>
          </cell>
          <cell r="F2692">
            <v>40724</v>
          </cell>
          <cell r="G2692">
            <v>41635</v>
          </cell>
          <cell r="H2692">
            <v>33486.07</v>
          </cell>
          <cell r="I2692" t="str">
            <v>FIN Submission</v>
          </cell>
          <cell r="J2692">
            <v>41843</v>
          </cell>
        </row>
        <row r="2693">
          <cell r="A2693" t="str">
            <v>39269-D386</v>
          </cell>
          <cell r="B2693" t="str">
            <v>2011 Recloser Additions</v>
          </cell>
          <cell r="C2693" t="str">
            <v>FIN Approval - Internal</v>
          </cell>
          <cell r="D2693">
            <v>102</v>
          </cell>
          <cell r="E2693" t="str">
            <v>APPROVED</v>
          </cell>
          <cell r="F2693">
            <v>41180</v>
          </cell>
          <cell r="G2693">
            <v>41636</v>
          </cell>
          <cell r="H2693">
            <v>494632.78</v>
          </cell>
          <cell r="I2693" t="str">
            <v>FIN Submission</v>
          </cell>
          <cell r="J2693">
            <v>41843</v>
          </cell>
        </row>
        <row r="2694">
          <cell r="A2694" t="str">
            <v>37884-S602</v>
          </cell>
          <cell r="B2694" t="str">
            <v xml:space="preserve">POT - Fly Ash Inlet Valve Assembly </v>
          </cell>
          <cell r="C2694" t="str">
            <v>zINVALID FIN Approval - Internal</v>
          </cell>
          <cell r="D2694">
            <v>102</v>
          </cell>
          <cell r="E2694" t="str">
            <v>APPROVED</v>
          </cell>
          <cell r="F2694">
            <v>40816</v>
          </cell>
          <cell r="G2694">
            <v>41608</v>
          </cell>
          <cell r="H2694">
            <v>54953.43</v>
          </cell>
          <cell r="I2694" t="str">
            <v>FIN Submission</v>
          </cell>
          <cell r="J2694">
            <v>41843</v>
          </cell>
        </row>
        <row r="2695">
          <cell r="A2695" t="str">
            <v>36622-S521</v>
          </cell>
          <cell r="B2695" t="str">
            <v>LIN - 4160V Breakers</v>
          </cell>
          <cell r="C2695" t="str">
            <v>zINVALID FIN Approval - Internal</v>
          </cell>
          <cell r="D2695">
            <v>103</v>
          </cell>
          <cell r="E2695" t="str">
            <v>APPROVED</v>
          </cell>
          <cell r="F2695">
            <v>40543</v>
          </cell>
          <cell r="G2695">
            <v>40755</v>
          </cell>
          <cell r="H2695">
            <v>156810.16</v>
          </cell>
          <cell r="I2695" t="str">
            <v>FIN Submission</v>
          </cell>
          <cell r="J2695">
            <v>41843</v>
          </cell>
        </row>
        <row r="2696">
          <cell r="A2696" t="str">
            <v>36803-S572</v>
          </cell>
          <cell r="B2696" t="str">
            <v>LIN Fire System Electrical Panel</v>
          </cell>
          <cell r="C2696" t="str">
            <v>zINVALID FIN Approval - Internal</v>
          </cell>
          <cell r="D2696">
            <v>103</v>
          </cell>
          <cell r="E2696" t="str">
            <v>APPROVED</v>
          </cell>
          <cell r="F2696">
            <v>40542</v>
          </cell>
          <cell r="G2696">
            <v>40724</v>
          </cell>
          <cell r="H2696">
            <v>43982.28</v>
          </cell>
          <cell r="I2696" t="str">
            <v>FIN Submission</v>
          </cell>
          <cell r="J2696">
            <v>41843</v>
          </cell>
        </row>
        <row r="2697">
          <cell r="A2697" t="str">
            <v>36587-S528</v>
          </cell>
          <cell r="B2697" t="str">
            <v>POA Dissolved O2 Analyzer Replaceme</v>
          </cell>
          <cell r="C2697" t="str">
            <v>zINVALID FIN Approval - Internal</v>
          </cell>
          <cell r="D2697">
            <v>103</v>
          </cell>
          <cell r="E2697" t="str">
            <v>APPROVED</v>
          </cell>
          <cell r="F2697">
            <v>40574</v>
          </cell>
          <cell r="G2697">
            <v>40633</v>
          </cell>
          <cell r="H2697">
            <v>43515.42</v>
          </cell>
          <cell r="I2697" t="str">
            <v>FIN Submission</v>
          </cell>
          <cell r="J2697">
            <v>41843</v>
          </cell>
        </row>
        <row r="2698">
          <cell r="A2698" t="str">
            <v>37102-S889</v>
          </cell>
          <cell r="B2698" t="str">
            <v>LIN Coal System CO Monitor</v>
          </cell>
          <cell r="C2698" t="str">
            <v>zINVALID FIN Approval - Internal</v>
          </cell>
          <cell r="D2698">
            <v>105</v>
          </cell>
          <cell r="E2698" t="str">
            <v>APPROVED</v>
          </cell>
          <cell r="F2698">
            <v>41264</v>
          </cell>
          <cell r="G2698">
            <v>41326</v>
          </cell>
          <cell r="H2698">
            <v>31461.64</v>
          </cell>
          <cell r="I2698" t="str">
            <v>FIN Submission</v>
          </cell>
          <cell r="J2698">
            <v>41843</v>
          </cell>
        </row>
        <row r="2699">
          <cell r="A2699" t="str">
            <v>38915-D294</v>
          </cell>
          <cell r="B2699" t="str">
            <v>Martins Brook Regulation Additions</v>
          </cell>
          <cell r="C2699" t="str">
            <v>FIN Approval - Internal</v>
          </cell>
          <cell r="D2699">
            <v>107</v>
          </cell>
          <cell r="E2699" t="str">
            <v>APPROVED</v>
          </cell>
          <cell r="F2699">
            <v>40633</v>
          </cell>
          <cell r="G2699">
            <v>41820</v>
          </cell>
          <cell r="H2699">
            <v>116516.04</v>
          </cell>
          <cell r="I2699" t="str">
            <v>FIN Submission</v>
          </cell>
          <cell r="J2699">
            <v>41843</v>
          </cell>
        </row>
        <row r="2700">
          <cell r="A2700" t="str">
            <v>38859-H609</v>
          </cell>
          <cell r="B2700" t="str">
            <v>HYD Big Falls Headgate Replacement</v>
          </cell>
          <cell r="C2700" t="str">
            <v>FIN Approval - Internal</v>
          </cell>
          <cell r="D2700">
            <v>108</v>
          </cell>
          <cell r="E2700" t="str">
            <v>APPROVED</v>
          </cell>
          <cell r="F2700">
            <v>40923</v>
          </cell>
          <cell r="G2700">
            <v>41057</v>
          </cell>
          <cell r="H2700">
            <v>5941685.1799999997</v>
          </cell>
          <cell r="I2700" t="str">
            <v>FIN Submission</v>
          </cell>
          <cell r="J2700">
            <v>41843</v>
          </cell>
        </row>
        <row r="2701">
          <cell r="A2701" t="str">
            <v>38885-D303</v>
          </cell>
          <cell r="B2701" t="str">
            <v>19C Canso Distribution Supply</v>
          </cell>
          <cell r="C2701" t="str">
            <v>FIN Approval - Internal</v>
          </cell>
          <cell r="D2701">
            <v>109</v>
          </cell>
          <cell r="E2701" t="str">
            <v>APPROVED</v>
          </cell>
          <cell r="F2701">
            <v>40513</v>
          </cell>
          <cell r="G2701">
            <v>41728</v>
          </cell>
          <cell r="H2701">
            <v>435681.13</v>
          </cell>
          <cell r="I2701" t="str">
            <v>FIN Submission</v>
          </cell>
          <cell r="J2701">
            <v>41843</v>
          </cell>
        </row>
        <row r="2702">
          <cell r="A2702" t="str">
            <v>35082-S425</v>
          </cell>
          <cell r="B2702" t="str">
            <v>LIN Refurbish Bottom Ash</v>
          </cell>
          <cell r="C2702" t="str">
            <v>zINVALID FIN Approval - Internal</v>
          </cell>
          <cell r="D2702">
            <v>109</v>
          </cell>
          <cell r="E2702" t="str">
            <v>APPROVED</v>
          </cell>
          <cell r="F2702">
            <v>39964</v>
          </cell>
          <cell r="G2702">
            <v>40147</v>
          </cell>
          <cell r="H2702">
            <v>402301.31</v>
          </cell>
          <cell r="I2702" t="str">
            <v>FIN Submission</v>
          </cell>
          <cell r="J2702">
            <v>41843</v>
          </cell>
        </row>
        <row r="2703">
          <cell r="A2703" t="str">
            <v>29064-D187</v>
          </cell>
          <cell r="B2703" t="str">
            <v>82V-401 Device Replacements/ Reliab</v>
          </cell>
          <cell r="C2703" t="str">
            <v>FIN Approval - Internal</v>
          </cell>
          <cell r="D2703">
            <v>112</v>
          </cell>
          <cell r="E2703" t="str">
            <v>APPROVED</v>
          </cell>
          <cell r="F2703">
            <v>39861</v>
          </cell>
          <cell r="G2703">
            <v>40177</v>
          </cell>
          <cell r="H2703">
            <v>837282.65</v>
          </cell>
          <cell r="I2703" t="str">
            <v>FIN Submission</v>
          </cell>
          <cell r="J2703">
            <v>41843</v>
          </cell>
        </row>
        <row r="2704">
          <cell r="A2704" t="str">
            <v>30948-S411</v>
          </cell>
          <cell r="B2704" t="str">
            <v>LIN Replace Medium Pressure Header</v>
          </cell>
          <cell r="C2704" t="str">
            <v>zINVALID FIN Approval - Internal</v>
          </cell>
          <cell r="D2704">
            <v>121</v>
          </cell>
          <cell r="E2704" t="str">
            <v>APPROVED</v>
          </cell>
          <cell r="F2704">
            <v>39964</v>
          </cell>
          <cell r="G2704">
            <v>40148</v>
          </cell>
          <cell r="H2704">
            <v>29307.08</v>
          </cell>
          <cell r="I2704" t="str">
            <v>FIN Submission</v>
          </cell>
          <cell r="J2704">
            <v>41843</v>
          </cell>
        </row>
        <row r="2705">
          <cell r="A2705" t="str">
            <v>30918-S421</v>
          </cell>
          <cell r="B2705" t="str">
            <v>LIN 600V Breaker Refurb / Replace</v>
          </cell>
          <cell r="C2705" t="str">
            <v>zINVALID FIN Approval - Internal</v>
          </cell>
          <cell r="D2705">
            <v>124</v>
          </cell>
          <cell r="E2705" t="str">
            <v>APPROVED</v>
          </cell>
          <cell r="F2705">
            <v>40118</v>
          </cell>
          <cell r="G2705">
            <v>40481</v>
          </cell>
          <cell r="H2705">
            <v>245459.53</v>
          </cell>
          <cell r="I2705" t="str">
            <v>FIN Submission</v>
          </cell>
          <cell r="J2705">
            <v>41843</v>
          </cell>
        </row>
        <row r="2706">
          <cell r="A2706" t="str">
            <v>29078-S285</v>
          </cell>
          <cell r="B2706" t="str">
            <v>LIN - UNIT 3-4 STACK REPAIR AT DUCT</v>
          </cell>
          <cell r="C2706" t="str">
            <v>zINVALID FIN Approval - Internal</v>
          </cell>
          <cell r="D2706">
            <v>130</v>
          </cell>
          <cell r="E2706" t="str">
            <v>APPROVED</v>
          </cell>
          <cell r="F2706">
            <v>39470</v>
          </cell>
          <cell r="G2706">
            <v>39568</v>
          </cell>
          <cell r="H2706">
            <v>163478.92000000001</v>
          </cell>
          <cell r="I2706" t="str">
            <v>FIN Submission</v>
          </cell>
          <cell r="J2706">
            <v>41843</v>
          </cell>
        </row>
        <row r="2707">
          <cell r="A2707" t="str">
            <v>29058-S363</v>
          </cell>
          <cell r="B2707" t="str">
            <v>LIN-REPLACE REVERSE OSMOSIS SEPALAT</v>
          </cell>
          <cell r="C2707" t="str">
            <v>zINVALID FIN Approval - Internal</v>
          </cell>
          <cell r="D2707">
            <v>132</v>
          </cell>
          <cell r="E2707" t="str">
            <v>APPROVED</v>
          </cell>
          <cell r="F2707">
            <v>39813</v>
          </cell>
          <cell r="G2707">
            <v>40116</v>
          </cell>
          <cell r="H2707">
            <v>41525.1</v>
          </cell>
          <cell r="I2707" t="str">
            <v>FIN Submission</v>
          </cell>
          <cell r="J2707">
            <v>41843</v>
          </cell>
        </row>
        <row r="2708">
          <cell r="A2708" t="str">
            <v>44771-D519</v>
          </cell>
          <cell r="B2708" t="str">
            <v>Line Ext for Aerie Estates Ben Eion</v>
          </cell>
          <cell r="C2708" t="str">
            <v>FIN Approval - Internal</v>
          </cell>
          <cell r="D2708">
            <v>12</v>
          </cell>
          <cell r="E2708" t="str">
            <v>APPROVED</v>
          </cell>
          <cell r="F2708">
            <v>41639</v>
          </cell>
          <cell r="G2708">
            <v>41669</v>
          </cell>
          <cell r="H2708">
            <v>-180.06</v>
          </cell>
          <cell r="I2708" t="str">
            <v>FIN Submission</v>
          </cell>
          <cell r="J2708">
            <v>41841</v>
          </cell>
        </row>
        <row r="2709">
          <cell r="A2709" t="str">
            <v>42726-SA66</v>
          </cell>
          <cell r="B2709" t="str">
            <v>LIN UU Ash Silo #2 Closure</v>
          </cell>
          <cell r="C2709" t="str">
            <v>zINVALID FIN Approval - Internal</v>
          </cell>
          <cell r="D2709">
            <v>29</v>
          </cell>
          <cell r="E2709" t="str">
            <v>APPROVED</v>
          </cell>
          <cell r="F2709">
            <v>41163</v>
          </cell>
          <cell r="G2709">
            <v>41274</v>
          </cell>
          <cell r="H2709">
            <v>51468.3</v>
          </cell>
          <cell r="I2709" t="str">
            <v>FIN Submission</v>
          </cell>
          <cell r="J2709">
            <v>41841</v>
          </cell>
        </row>
        <row r="2710">
          <cell r="A2710" t="str">
            <v>42087-P878</v>
          </cell>
          <cell r="B2710" t="str">
            <v>Transportation Electric Veh Add't</v>
          </cell>
          <cell r="C2710" t="str">
            <v>zINVALID FIN Approval - Internal</v>
          </cell>
          <cell r="D2710">
            <v>33</v>
          </cell>
          <cell r="E2710" t="str">
            <v>APPROVED</v>
          </cell>
          <cell r="F2710">
            <v>40889</v>
          </cell>
          <cell r="G2710">
            <v>41243</v>
          </cell>
          <cell r="H2710">
            <v>93575.54</v>
          </cell>
          <cell r="I2710" t="str">
            <v>FIN Submission</v>
          </cell>
          <cell r="J2710">
            <v>41841</v>
          </cell>
        </row>
        <row r="2711">
          <cell r="A2711" t="str">
            <v>42006-T702</v>
          </cell>
          <cell r="B2711" t="str">
            <v>7N Remote Grnd Electrode Connection</v>
          </cell>
          <cell r="C2711" t="str">
            <v>zINVALID FIN Approval - Internal</v>
          </cell>
          <cell r="D2711">
            <v>36</v>
          </cell>
          <cell r="E2711" t="str">
            <v>APPROVED</v>
          </cell>
          <cell r="F2711">
            <v>41212</v>
          </cell>
          <cell r="G2711">
            <v>41638</v>
          </cell>
          <cell r="H2711">
            <v>-41.86</v>
          </cell>
          <cell r="I2711" t="str">
            <v>FIN Submission</v>
          </cell>
          <cell r="J2711">
            <v>41841</v>
          </cell>
        </row>
        <row r="2712">
          <cell r="A2712" t="str">
            <v>41784-S870</v>
          </cell>
          <cell r="B2712" t="str">
            <v>LIN UU GPS Coal Pile Safety Upgrad</v>
          </cell>
          <cell r="C2712" t="str">
            <v>zINVALID FIN Approval - Internal</v>
          </cell>
          <cell r="D2712">
            <v>47</v>
          </cell>
          <cell r="E2712" t="str">
            <v>APPROVED</v>
          </cell>
          <cell r="F2712">
            <v>41099</v>
          </cell>
          <cell r="G2712">
            <v>41326</v>
          </cell>
          <cell r="H2712">
            <v>201242.06</v>
          </cell>
          <cell r="I2712" t="str">
            <v>FIN Submission</v>
          </cell>
          <cell r="J2712">
            <v>41841</v>
          </cell>
        </row>
        <row r="2713">
          <cell r="A2713" t="str">
            <v>41256-S882</v>
          </cell>
          <cell r="B2713" t="str">
            <v xml:space="preserve">LIN UU Ash Silo Closure </v>
          </cell>
          <cell r="C2713" t="str">
            <v>zINVALID FIN Approval - Internal</v>
          </cell>
          <cell r="D2713">
            <v>52</v>
          </cell>
          <cell r="E2713" t="str">
            <v>APPROVED</v>
          </cell>
          <cell r="F2713">
            <v>40938</v>
          </cell>
          <cell r="G2713">
            <v>41059</v>
          </cell>
          <cell r="H2713">
            <v>92042.12</v>
          </cell>
          <cell r="I2713" t="str">
            <v>FIN Submission</v>
          </cell>
          <cell r="J2713">
            <v>41841</v>
          </cell>
        </row>
        <row r="2714">
          <cell r="A2714" t="str">
            <v>41586-S839</v>
          </cell>
          <cell r="B2714" t="str">
            <v>POT - U and U Generator retaining r</v>
          </cell>
          <cell r="C2714" t="str">
            <v>zINVALID FIN Approval - Internal</v>
          </cell>
          <cell r="D2714">
            <v>55</v>
          </cell>
          <cell r="E2714" t="str">
            <v>APPROVED</v>
          </cell>
          <cell r="F2714">
            <v>40827</v>
          </cell>
          <cell r="G2714">
            <v>41193</v>
          </cell>
          <cell r="H2714">
            <v>242122.7</v>
          </cell>
          <cell r="I2714" t="str">
            <v>FIN Submission</v>
          </cell>
          <cell r="J2714">
            <v>41841</v>
          </cell>
        </row>
        <row r="2715">
          <cell r="A2715" t="str">
            <v>41066-SA44</v>
          </cell>
          <cell r="B2715" t="str">
            <v>POA - Heated Storage Upgrade</v>
          </cell>
          <cell r="C2715" t="str">
            <v>zINVALID FIN Approval - Internal</v>
          </cell>
          <cell r="D2715">
            <v>58</v>
          </cell>
          <cell r="E2715" t="str">
            <v>APPROVED</v>
          </cell>
          <cell r="F2715">
            <v>41152</v>
          </cell>
          <cell r="G2715">
            <v>41578</v>
          </cell>
          <cell r="H2715">
            <v>92856.48</v>
          </cell>
          <cell r="I2715" t="str">
            <v>FIN Submission</v>
          </cell>
          <cell r="J2715">
            <v>41841</v>
          </cell>
        </row>
        <row r="2716">
          <cell r="A2716" t="str">
            <v>40428-S752</v>
          </cell>
          <cell r="B2716" t="str">
            <v>POA- Fire Protection Upgrade</v>
          </cell>
          <cell r="C2716" t="str">
            <v>zINVALID FIN Approval - Internal</v>
          </cell>
          <cell r="D2716">
            <v>76</v>
          </cell>
          <cell r="E2716" t="str">
            <v>APPROVED</v>
          </cell>
          <cell r="F2716">
            <v>41060</v>
          </cell>
          <cell r="G2716">
            <v>41274</v>
          </cell>
          <cell r="H2716">
            <v>336570.81</v>
          </cell>
          <cell r="I2716" t="str">
            <v>FIN Submission</v>
          </cell>
          <cell r="J2716">
            <v>41841</v>
          </cell>
        </row>
        <row r="2717">
          <cell r="A2717" t="str">
            <v>40037-S719</v>
          </cell>
          <cell r="B2717" t="str">
            <v>POA - 2011 Fall Protection</v>
          </cell>
          <cell r="C2717" t="str">
            <v>zINVALID FIN Approval - Internal</v>
          </cell>
          <cell r="D2717">
            <v>79</v>
          </cell>
          <cell r="E2717" t="str">
            <v>APPROVED</v>
          </cell>
          <cell r="F2717">
            <v>40908</v>
          </cell>
          <cell r="G2717">
            <v>41029</v>
          </cell>
          <cell r="H2717">
            <v>51544.45</v>
          </cell>
          <cell r="I2717" t="str">
            <v>FIN Submission</v>
          </cell>
          <cell r="J2717">
            <v>41841</v>
          </cell>
        </row>
        <row r="2718">
          <cell r="A2718" t="str">
            <v>40113-S703</v>
          </cell>
          <cell r="B2718" t="str">
            <v>POT Class 3 Fall protection</v>
          </cell>
          <cell r="C2718" t="str">
            <v>zINVALID FIN Approval - Internal</v>
          </cell>
          <cell r="D2718">
            <v>80</v>
          </cell>
          <cell r="E2718" t="str">
            <v>APPROVED</v>
          </cell>
          <cell r="F2718">
            <v>40907</v>
          </cell>
          <cell r="G2718">
            <v>41638</v>
          </cell>
          <cell r="H2718">
            <v>118392.91</v>
          </cell>
          <cell r="I2718" t="str">
            <v>FIN Submission</v>
          </cell>
          <cell r="J2718">
            <v>41841</v>
          </cell>
        </row>
        <row r="2719">
          <cell r="A2719" t="str">
            <v>39627-T693</v>
          </cell>
          <cell r="B2719" t="str">
            <v>Digby Wind Project Trans Line</v>
          </cell>
          <cell r="C2719" t="str">
            <v>zINVALID FIN Approval - Internal</v>
          </cell>
          <cell r="D2719">
            <v>83</v>
          </cell>
          <cell r="E2719" t="str">
            <v>APPROVED</v>
          </cell>
          <cell r="F2719">
            <v>40542</v>
          </cell>
          <cell r="G2719">
            <v>41364</v>
          </cell>
          <cell r="H2719">
            <v>4174697.88</v>
          </cell>
          <cell r="I2719" t="str">
            <v>FIN Submission</v>
          </cell>
          <cell r="J2719">
            <v>41841</v>
          </cell>
        </row>
        <row r="2720">
          <cell r="A2720" t="str">
            <v>38846-S578</v>
          </cell>
          <cell r="B2720" t="str">
            <v xml:space="preserve">LIN1 - Fire Protection / Turbine </v>
          </cell>
          <cell r="C2720" t="str">
            <v>zINVALID FIN Approval - Internal</v>
          </cell>
          <cell r="D2720">
            <v>91</v>
          </cell>
          <cell r="E2720" t="str">
            <v>APPROVED</v>
          </cell>
          <cell r="F2720">
            <v>40542</v>
          </cell>
          <cell r="G2720">
            <v>40877</v>
          </cell>
          <cell r="H2720">
            <v>300336.36</v>
          </cell>
          <cell r="I2720" t="str">
            <v>FIN Submission</v>
          </cell>
          <cell r="J2720">
            <v>41841</v>
          </cell>
        </row>
        <row r="2721">
          <cell r="A2721" t="str">
            <v>37606-S843</v>
          </cell>
          <cell r="B2721" t="str">
            <v>LIN-U&amp;U-Generator Diesel Fuel Tank</v>
          </cell>
          <cell r="C2721" t="str">
            <v>zINVALID FIN Approval - Internal</v>
          </cell>
          <cell r="D2721">
            <v>97</v>
          </cell>
          <cell r="E2721" t="str">
            <v>APPROVED</v>
          </cell>
          <cell r="F2721">
            <v>41091</v>
          </cell>
          <cell r="G2721">
            <v>41212</v>
          </cell>
          <cell r="H2721">
            <v>82209.899999999994</v>
          </cell>
          <cell r="I2721" t="str">
            <v>FIN Submission</v>
          </cell>
          <cell r="J2721">
            <v>41841</v>
          </cell>
        </row>
        <row r="2722">
          <cell r="A2722" t="str">
            <v>37402-S952</v>
          </cell>
          <cell r="B2722" t="str">
            <v>POT - Coal Crusher Vibratory Feeder</v>
          </cell>
          <cell r="C2722" t="str">
            <v>zINVALID FIN Approval - Internal</v>
          </cell>
          <cell r="D2722">
            <v>112</v>
          </cell>
          <cell r="E2722" t="str">
            <v>APPROVED</v>
          </cell>
          <cell r="F2722">
            <v>41304</v>
          </cell>
          <cell r="G2722">
            <v>41902</v>
          </cell>
          <cell r="H2722">
            <v>158477.22</v>
          </cell>
          <cell r="I2722" t="str">
            <v>FIN Submission</v>
          </cell>
          <cell r="J2722">
            <v>41841</v>
          </cell>
        </row>
        <row r="2723">
          <cell r="A2723" t="str">
            <v>42591-S981</v>
          </cell>
          <cell r="B2723" t="str">
            <v>LIN UU Kom Dozer Rebuild</v>
          </cell>
          <cell r="C2723" t="str">
            <v>zINVALID FIN Approval - Internal</v>
          </cell>
          <cell r="D2723">
            <v>22</v>
          </cell>
          <cell r="E2723" t="str">
            <v>APPROVED</v>
          </cell>
          <cell r="F2723">
            <v>41020</v>
          </cell>
          <cell r="G2723">
            <v>41142</v>
          </cell>
          <cell r="H2723">
            <v>89116.56</v>
          </cell>
          <cell r="I2723" t="str">
            <v>FIN Submission</v>
          </cell>
          <cell r="J2723">
            <v>41836</v>
          </cell>
        </row>
        <row r="2724">
          <cell r="A2724" t="str">
            <v>42886-SA47</v>
          </cell>
          <cell r="B2724" t="str">
            <v>LIN3 U&amp;U Boiler Refurbishment</v>
          </cell>
          <cell r="C2724" t="str">
            <v>zINVALID FIN Approval - Internal</v>
          </cell>
          <cell r="D2724">
            <v>26</v>
          </cell>
          <cell r="E2724" t="str">
            <v>APPROVED</v>
          </cell>
          <cell r="F2724">
            <v>41063</v>
          </cell>
          <cell r="G2724">
            <v>41120</v>
          </cell>
          <cell r="H2724">
            <v>152823.57</v>
          </cell>
          <cell r="I2724" t="str">
            <v>FIN Submission</v>
          </cell>
          <cell r="J2724">
            <v>41836</v>
          </cell>
        </row>
        <row r="2725">
          <cell r="A2725" t="str">
            <v>42314-SA08</v>
          </cell>
          <cell r="B2725" t="str">
            <v>POA - Ash Blowers Replacement</v>
          </cell>
          <cell r="C2725" t="str">
            <v>zINVALID FIN Approval - Internal</v>
          </cell>
          <cell r="D2725">
            <v>30</v>
          </cell>
          <cell r="E2725" t="str">
            <v>APPROVED</v>
          </cell>
          <cell r="F2725">
            <v>41213</v>
          </cell>
          <cell r="G2725">
            <v>41424</v>
          </cell>
          <cell r="H2725">
            <v>124275.21</v>
          </cell>
          <cell r="I2725" t="str">
            <v>FIN Submission</v>
          </cell>
          <cell r="J2725">
            <v>41836</v>
          </cell>
        </row>
        <row r="2726">
          <cell r="A2726" t="str">
            <v>42111-SA71</v>
          </cell>
          <cell r="B2726" t="str">
            <v>POT - Replacement of Light Oil Tank</v>
          </cell>
          <cell r="C2726" t="str">
            <v>zINVALID FIN Approval - Internal</v>
          </cell>
          <cell r="D2726">
            <v>34</v>
          </cell>
          <cell r="E2726" t="str">
            <v>APPROVED</v>
          </cell>
          <cell r="F2726">
            <v>41455</v>
          </cell>
          <cell r="G2726">
            <v>41609</v>
          </cell>
          <cell r="H2726">
            <v>196778.06</v>
          </cell>
          <cell r="I2726" t="str">
            <v>FIN Submission</v>
          </cell>
          <cell r="J2726">
            <v>41836</v>
          </cell>
        </row>
        <row r="2727">
          <cell r="A2727" t="str">
            <v>41486-S832</v>
          </cell>
          <cell r="B2727" t="str">
            <v>POT U&amp;U HP Turbine Spindle Refurb</v>
          </cell>
          <cell r="C2727" t="str">
            <v>zINVALID FIN Approval - Internal</v>
          </cell>
          <cell r="D2727">
            <v>43</v>
          </cell>
          <cell r="E2727" t="str">
            <v>APPROVED</v>
          </cell>
          <cell r="F2727">
            <v>40827</v>
          </cell>
          <cell r="G2727">
            <v>41193</v>
          </cell>
          <cell r="H2727">
            <v>975862.12</v>
          </cell>
          <cell r="I2727" t="str">
            <v>FIN Submission</v>
          </cell>
          <cell r="J2727">
            <v>41836</v>
          </cell>
        </row>
        <row r="2728">
          <cell r="A2728" t="str">
            <v>41669-SA59</v>
          </cell>
          <cell r="B2728" t="str">
            <v>POT - HVAC Equipment Replacement</v>
          </cell>
          <cell r="C2728" t="str">
            <v>zINVALID FIN Approval - Internal</v>
          </cell>
          <cell r="D2728">
            <v>50</v>
          </cell>
          <cell r="E2728" t="str">
            <v>APPROVED</v>
          </cell>
          <cell r="F2728">
            <v>41273</v>
          </cell>
          <cell r="G2728">
            <v>41394</v>
          </cell>
          <cell r="H2728">
            <v>67372.850000000006</v>
          </cell>
          <cell r="I2728" t="str">
            <v>FIN Submission</v>
          </cell>
          <cell r="J2728">
            <v>41836</v>
          </cell>
        </row>
        <row r="2729">
          <cell r="A2729" t="str">
            <v>41600-S860</v>
          </cell>
          <cell r="B2729" t="str">
            <v>POT - U&amp;U Unit 2 Backpass Refurbish</v>
          </cell>
          <cell r="C2729" t="str">
            <v>zINVALID FIN Approval - Internal</v>
          </cell>
          <cell r="D2729">
            <v>52</v>
          </cell>
          <cell r="E2729" t="str">
            <v>APPROVED</v>
          </cell>
          <cell r="F2729">
            <v>40816</v>
          </cell>
          <cell r="G2729">
            <v>41124</v>
          </cell>
          <cell r="H2729">
            <v>543729.22</v>
          </cell>
          <cell r="I2729" t="str">
            <v>FIN Submission</v>
          </cell>
          <cell r="J2729">
            <v>41836</v>
          </cell>
        </row>
        <row r="2730">
          <cell r="A2730" t="str">
            <v>41624-S846</v>
          </cell>
          <cell r="B2730" t="str">
            <v>POT - U&amp;U ID fan structural steel</v>
          </cell>
          <cell r="C2730" t="str">
            <v>zINVALID FIN Approval - Internal</v>
          </cell>
          <cell r="D2730">
            <v>53</v>
          </cell>
          <cell r="E2730" t="str">
            <v>APPROVED</v>
          </cell>
          <cell r="F2730">
            <v>40816</v>
          </cell>
          <cell r="G2730">
            <v>41361</v>
          </cell>
          <cell r="H2730">
            <v>63820.31</v>
          </cell>
          <cell r="I2730" t="str">
            <v>FIN Submission</v>
          </cell>
          <cell r="J2730">
            <v>41836</v>
          </cell>
        </row>
        <row r="2731">
          <cell r="A2731" t="str">
            <v>41323-S831</v>
          </cell>
          <cell r="B2731" t="str">
            <v>POA-U&amp;U-B SA Compressor Rebuild</v>
          </cell>
          <cell r="C2731" t="str">
            <v>zINVALID FIN Approval - Internal</v>
          </cell>
          <cell r="D2731">
            <v>54</v>
          </cell>
          <cell r="E2731" t="str">
            <v>APPROVED</v>
          </cell>
          <cell r="F2731">
            <v>40739</v>
          </cell>
          <cell r="G2731">
            <v>41014</v>
          </cell>
          <cell r="H2731">
            <v>180600.2</v>
          </cell>
          <cell r="I2731" t="str">
            <v>FIN Submission</v>
          </cell>
          <cell r="J2731">
            <v>41836</v>
          </cell>
        </row>
        <row r="2732">
          <cell r="A2732" t="str">
            <v>41594-SB07</v>
          </cell>
          <cell r="B2732" t="str">
            <v>POT - Lab Upgrades Phase 2</v>
          </cell>
          <cell r="C2732" t="str">
            <v>zINVALID FIN Approval - Internal</v>
          </cell>
          <cell r="D2732">
            <v>54</v>
          </cell>
          <cell r="E2732" t="str">
            <v>APPROVED</v>
          </cell>
          <cell r="F2732">
            <v>41304</v>
          </cell>
          <cell r="G2732">
            <v>41819</v>
          </cell>
          <cell r="H2732">
            <v>62835.199999999997</v>
          </cell>
          <cell r="I2732" t="str">
            <v>FIN Submission</v>
          </cell>
          <cell r="J2732">
            <v>41836</v>
          </cell>
        </row>
        <row r="2733">
          <cell r="A2733" t="str">
            <v>41485-S858</v>
          </cell>
          <cell r="B2733" t="str">
            <v>POT - U&amp;U Condenser Refurbishment</v>
          </cell>
          <cell r="C2733" t="str">
            <v>zINVALID FIN Approval - Internal</v>
          </cell>
          <cell r="D2733">
            <v>54</v>
          </cell>
          <cell r="E2733" t="str">
            <v>APPROVED</v>
          </cell>
          <cell r="F2733">
            <v>40817</v>
          </cell>
          <cell r="G2733">
            <v>41101</v>
          </cell>
          <cell r="H2733">
            <v>478341.18</v>
          </cell>
          <cell r="I2733" t="str">
            <v>FIN Submission</v>
          </cell>
          <cell r="J2733">
            <v>41836</v>
          </cell>
        </row>
        <row r="2734">
          <cell r="A2734" t="str">
            <v>41451-S838</v>
          </cell>
          <cell r="B2734" t="str">
            <v>POT - U&amp;U Roof replacements</v>
          </cell>
          <cell r="C2734" t="str">
            <v>zINVALID FIN Approval - Internal</v>
          </cell>
          <cell r="D2734">
            <v>54</v>
          </cell>
          <cell r="E2734" t="str">
            <v>APPROVED</v>
          </cell>
          <cell r="F2734">
            <v>40820</v>
          </cell>
          <cell r="G2734">
            <v>41247</v>
          </cell>
          <cell r="H2734">
            <v>118030.11</v>
          </cell>
          <cell r="I2734" t="str">
            <v>FIN Submission</v>
          </cell>
          <cell r="J2734">
            <v>41836</v>
          </cell>
        </row>
        <row r="2735">
          <cell r="A2735" t="str">
            <v>41599-S845</v>
          </cell>
          <cell r="B2735" t="str">
            <v>41599 POT - Bunker C line replaceme</v>
          </cell>
          <cell r="C2735" t="str">
            <v>zINVALID FIN Approval - Internal</v>
          </cell>
          <cell r="D2735">
            <v>55</v>
          </cell>
          <cell r="E2735" t="str">
            <v>APPROVED</v>
          </cell>
          <cell r="F2735">
            <v>40789</v>
          </cell>
          <cell r="G2735">
            <v>41124</v>
          </cell>
          <cell r="H2735">
            <v>87527.01</v>
          </cell>
          <cell r="I2735" t="str">
            <v>FIN Submission</v>
          </cell>
          <cell r="J2735">
            <v>41836</v>
          </cell>
        </row>
        <row r="2736">
          <cell r="A2736" t="str">
            <v>41122-SA27</v>
          </cell>
          <cell r="B2736" t="str">
            <v>LIN 4 Battery &amp; Charger Replacement</v>
          </cell>
          <cell r="C2736" t="str">
            <v>zINVALID FIN Approval - Internal</v>
          </cell>
          <cell r="D2736">
            <v>55</v>
          </cell>
          <cell r="E2736" t="str">
            <v>APPROVED</v>
          </cell>
          <cell r="F2736">
            <v>41257</v>
          </cell>
          <cell r="G2736">
            <v>41359</v>
          </cell>
          <cell r="H2736">
            <v>184030.52</v>
          </cell>
          <cell r="I2736" t="str">
            <v>FIN Submission</v>
          </cell>
          <cell r="J2736">
            <v>41836</v>
          </cell>
        </row>
        <row r="2737">
          <cell r="A2737" t="str">
            <v>41444-S953</v>
          </cell>
          <cell r="B2737" t="str">
            <v>POT - Asbestos Abatement</v>
          </cell>
          <cell r="C2737" t="str">
            <v>zINVALID FIN Approval - Internal</v>
          </cell>
          <cell r="D2737">
            <v>55</v>
          </cell>
          <cell r="E2737" t="str">
            <v>APPROVED</v>
          </cell>
          <cell r="F2737">
            <v>41273</v>
          </cell>
          <cell r="G2737">
            <v>41638</v>
          </cell>
          <cell r="H2737">
            <v>161491.95000000001</v>
          </cell>
          <cell r="I2737" t="str">
            <v>FIN Submission</v>
          </cell>
          <cell r="J2737">
            <v>41836</v>
          </cell>
        </row>
        <row r="2738">
          <cell r="A2738" t="str">
            <v>41561-SA80</v>
          </cell>
          <cell r="B2738" t="str">
            <v>POT - Maintenance facilities Refurb</v>
          </cell>
          <cell r="C2738" t="str">
            <v>zINVALID FIN Approval - Internal</v>
          </cell>
          <cell r="D2738">
            <v>55</v>
          </cell>
          <cell r="E2738" t="str">
            <v>APPROVED</v>
          </cell>
          <cell r="F2738">
            <v>41304</v>
          </cell>
          <cell r="G2738">
            <v>41578</v>
          </cell>
          <cell r="H2738">
            <v>331130.52</v>
          </cell>
          <cell r="I2738" t="str">
            <v>FIN Submission</v>
          </cell>
          <cell r="J2738">
            <v>41836</v>
          </cell>
        </row>
        <row r="2739">
          <cell r="A2739" t="str">
            <v>41149-SA63</v>
          </cell>
          <cell r="B2739" t="str">
            <v>LIN - 4kV and 600V Breaker Refurbis</v>
          </cell>
          <cell r="C2739" t="str">
            <v>zINVALID FIN Approval - Internal</v>
          </cell>
          <cell r="D2739">
            <v>56</v>
          </cell>
          <cell r="E2739" t="str">
            <v>APPROVED</v>
          </cell>
          <cell r="F2739">
            <v>41267</v>
          </cell>
          <cell r="G2739">
            <v>41571</v>
          </cell>
          <cell r="H2739">
            <v>91851.99</v>
          </cell>
          <cell r="I2739" t="str">
            <v>FIN Submission</v>
          </cell>
          <cell r="J2739">
            <v>41836</v>
          </cell>
        </row>
        <row r="2740">
          <cell r="A2740" t="str">
            <v>41106-S801</v>
          </cell>
          <cell r="B2740" t="str">
            <v>U&amp;U-POA-North Vortex Finder Repl.</v>
          </cell>
          <cell r="C2740" t="str">
            <v>zINVALID FIN Approval - Internal</v>
          </cell>
          <cell r="D2740">
            <v>56</v>
          </cell>
          <cell r="E2740" t="str">
            <v>APPROVED</v>
          </cell>
          <cell r="F2740">
            <v>41060</v>
          </cell>
          <cell r="G2740">
            <v>41060</v>
          </cell>
          <cell r="H2740">
            <v>266086.67</v>
          </cell>
          <cell r="I2740" t="str">
            <v>FIN Submission</v>
          </cell>
          <cell r="J2740">
            <v>41836</v>
          </cell>
        </row>
        <row r="2741">
          <cell r="A2741" t="str">
            <v>41105-S798</v>
          </cell>
          <cell r="B2741" t="str">
            <v>U&amp;U-POA-SH3 Boiler Tube Refurb.</v>
          </cell>
          <cell r="C2741" t="str">
            <v>zINVALID FIN Approval - Internal</v>
          </cell>
          <cell r="D2741">
            <v>56</v>
          </cell>
          <cell r="E2741" t="str">
            <v>APPROVED</v>
          </cell>
          <cell r="F2741">
            <v>40709</v>
          </cell>
          <cell r="G2741">
            <v>40908</v>
          </cell>
          <cell r="H2741">
            <v>214046.13</v>
          </cell>
          <cell r="I2741" t="str">
            <v>FIN Submission</v>
          </cell>
          <cell r="J2741">
            <v>41836</v>
          </cell>
        </row>
        <row r="2742">
          <cell r="A2742" t="str">
            <v>41107-S803</v>
          </cell>
          <cell r="B2742" t="str">
            <v>U&amp;U-POA-Turbine Control Valve Refu.</v>
          </cell>
          <cell r="C2742" t="str">
            <v>zINVALID FIN Approval - Internal</v>
          </cell>
          <cell r="D2742">
            <v>56</v>
          </cell>
          <cell r="E2742" t="str">
            <v>APPROVED</v>
          </cell>
          <cell r="F2742">
            <v>40709</v>
          </cell>
          <cell r="G2742">
            <v>41112</v>
          </cell>
          <cell r="H2742">
            <v>82016.55</v>
          </cell>
          <cell r="I2742" t="str">
            <v>FIN Submission</v>
          </cell>
          <cell r="J2742">
            <v>41836</v>
          </cell>
        </row>
        <row r="2743">
          <cell r="A2743" t="str">
            <v>41076-SA03</v>
          </cell>
          <cell r="B2743" t="str">
            <v>POA - B Train Cation and Anion Resi</v>
          </cell>
          <cell r="C2743" t="str">
            <v>zINVALID FIN Approval - Internal</v>
          </cell>
          <cell r="D2743">
            <v>57</v>
          </cell>
          <cell r="E2743" t="str">
            <v>APPROVED</v>
          </cell>
          <cell r="F2743">
            <v>41274</v>
          </cell>
          <cell r="G2743">
            <v>41547</v>
          </cell>
          <cell r="H2743">
            <v>42220.74</v>
          </cell>
          <cell r="I2743" t="str">
            <v>FIN Submission</v>
          </cell>
          <cell r="J2743">
            <v>41836</v>
          </cell>
        </row>
        <row r="2744">
          <cell r="A2744" t="str">
            <v>41084-S972</v>
          </cell>
          <cell r="B2744" t="str">
            <v>POA - Boiler Arrowhead Replacement</v>
          </cell>
          <cell r="C2744" t="str">
            <v>zINVALID FIN Approval - Internal</v>
          </cell>
          <cell r="D2744">
            <v>57</v>
          </cell>
          <cell r="E2744" t="str">
            <v>APPROVED</v>
          </cell>
          <cell r="F2744">
            <v>41182</v>
          </cell>
          <cell r="G2744">
            <v>41424</v>
          </cell>
          <cell r="H2744">
            <v>135565.47</v>
          </cell>
          <cell r="I2744" t="str">
            <v>FIN Submission</v>
          </cell>
          <cell r="J2744">
            <v>41836</v>
          </cell>
        </row>
        <row r="2745">
          <cell r="A2745" t="str">
            <v>41071-S970</v>
          </cell>
          <cell r="B2745" t="str">
            <v>POA - Bottom Ash Drag Chain Replace</v>
          </cell>
          <cell r="C2745" t="str">
            <v>zINVALID FIN Approval - Internal</v>
          </cell>
          <cell r="D2745">
            <v>57</v>
          </cell>
          <cell r="E2745" t="str">
            <v>APPROVED</v>
          </cell>
          <cell r="F2745">
            <v>41213</v>
          </cell>
          <cell r="G2745">
            <v>41274</v>
          </cell>
          <cell r="H2745">
            <v>71383.679999999993</v>
          </cell>
          <cell r="I2745" t="str">
            <v>FIN Submission</v>
          </cell>
          <cell r="J2745">
            <v>41836</v>
          </cell>
        </row>
        <row r="2746">
          <cell r="A2746" t="str">
            <v>41053-S935</v>
          </cell>
          <cell r="B2746" t="str">
            <v>POA - Carbon Sulphur Analyzer Repla</v>
          </cell>
          <cell r="C2746" t="str">
            <v>zINVALID FIN Approval - Internal</v>
          </cell>
          <cell r="D2746">
            <v>57</v>
          </cell>
          <cell r="E2746" t="str">
            <v>APPROVED</v>
          </cell>
          <cell r="F2746">
            <v>41151</v>
          </cell>
          <cell r="G2746">
            <v>41274</v>
          </cell>
          <cell r="H2746">
            <v>102071.91</v>
          </cell>
          <cell r="I2746" t="str">
            <v>FIN Submission</v>
          </cell>
          <cell r="J2746">
            <v>41836</v>
          </cell>
        </row>
        <row r="2747">
          <cell r="A2747" t="str">
            <v>41081-S983</v>
          </cell>
          <cell r="B2747" t="str">
            <v>POA - Coal Road Paving Replacement</v>
          </cell>
          <cell r="C2747" t="str">
            <v>zINVALID FIN Approval - Internal</v>
          </cell>
          <cell r="D2747">
            <v>57</v>
          </cell>
          <cell r="E2747" t="str">
            <v>APPROVED</v>
          </cell>
          <cell r="F2747">
            <v>41274</v>
          </cell>
          <cell r="G2747">
            <v>41334</v>
          </cell>
          <cell r="H2747">
            <v>94879.88</v>
          </cell>
          <cell r="I2747" t="str">
            <v>FIN Submission</v>
          </cell>
          <cell r="J2747">
            <v>41836</v>
          </cell>
        </row>
        <row r="2748">
          <cell r="A2748" t="str">
            <v>41054-S966</v>
          </cell>
          <cell r="B2748" t="str">
            <v xml:space="preserve">POA - Turbine Vibration Monitoring </v>
          </cell>
          <cell r="C2748" t="str">
            <v>zINVALID FIN Approval - Internal</v>
          </cell>
          <cell r="D2748">
            <v>57</v>
          </cell>
          <cell r="E2748" t="str">
            <v>APPROVED</v>
          </cell>
          <cell r="F2748">
            <v>41213</v>
          </cell>
          <cell r="G2748">
            <v>41485</v>
          </cell>
          <cell r="H2748">
            <v>284832.3</v>
          </cell>
          <cell r="I2748" t="str">
            <v>FIN Submission</v>
          </cell>
          <cell r="J2748">
            <v>41836</v>
          </cell>
        </row>
        <row r="2749">
          <cell r="A2749" t="str">
            <v>41055-SA02</v>
          </cell>
          <cell r="B2749" t="str">
            <v>POA - UPS Inverter Replacement</v>
          </cell>
          <cell r="C2749" t="str">
            <v>zINVALID FIN Approval - Internal</v>
          </cell>
          <cell r="D2749">
            <v>57</v>
          </cell>
          <cell r="E2749" t="str">
            <v>APPROVED</v>
          </cell>
          <cell r="F2749">
            <v>41274</v>
          </cell>
          <cell r="G2749">
            <v>41274</v>
          </cell>
          <cell r="H2749">
            <v>165263.51999999999</v>
          </cell>
          <cell r="I2749" t="str">
            <v>FIN Submission</v>
          </cell>
          <cell r="J2749">
            <v>41836</v>
          </cell>
        </row>
        <row r="2750">
          <cell r="A2750" t="str">
            <v>41078-SA21</v>
          </cell>
          <cell r="B2750" t="str">
            <v>POA-Sidewall Feeder Replacement</v>
          </cell>
          <cell r="C2750" t="str">
            <v>zINVALID FIN Approval - Internal</v>
          </cell>
          <cell r="D2750">
            <v>57</v>
          </cell>
          <cell r="E2750" t="str">
            <v>APPROVED</v>
          </cell>
          <cell r="F2750">
            <v>41274</v>
          </cell>
          <cell r="G2750">
            <v>41364</v>
          </cell>
          <cell r="H2750">
            <v>315923.69</v>
          </cell>
          <cell r="I2750" t="str">
            <v>FIN Submission</v>
          </cell>
          <cell r="J2750">
            <v>41836</v>
          </cell>
        </row>
        <row r="2751">
          <cell r="A2751" t="str">
            <v>41239-SA50</v>
          </cell>
          <cell r="B2751" t="str">
            <v>TUC6- West Gas Compressor Refurbish</v>
          </cell>
          <cell r="C2751" t="str">
            <v>zINVALID FIN Approval - Internal</v>
          </cell>
          <cell r="D2751">
            <v>57</v>
          </cell>
          <cell r="E2751" t="str">
            <v>APPROVED</v>
          </cell>
          <cell r="F2751">
            <v>41273</v>
          </cell>
          <cell r="G2751">
            <v>41639</v>
          </cell>
          <cell r="H2751">
            <v>122450.67</v>
          </cell>
          <cell r="I2751" t="str">
            <v>FIN Submission</v>
          </cell>
          <cell r="J2751">
            <v>41836</v>
          </cell>
        </row>
        <row r="2752">
          <cell r="A2752" t="str">
            <v>41048-SA60</v>
          </cell>
          <cell r="B2752" t="str">
            <v>POA - Cooling Water (CW) Screen Ref</v>
          </cell>
          <cell r="C2752" t="str">
            <v>zINVALID FIN Approval - Internal</v>
          </cell>
          <cell r="D2752">
            <v>58</v>
          </cell>
          <cell r="E2752" t="str">
            <v>APPROVED</v>
          </cell>
          <cell r="F2752">
            <v>41274</v>
          </cell>
          <cell r="G2752">
            <v>41364</v>
          </cell>
          <cell r="H2752">
            <v>86381.09</v>
          </cell>
          <cell r="I2752" t="str">
            <v>FIN Submission</v>
          </cell>
          <cell r="J2752">
            <v>41836</v>
          </cell>
        </row>
        <row r="2753">
          <cell r="A2753" t="str">
            <v>40964-S840</v>
          </cell>
          <cell r="B2753" t="str">
            <v>POA-U&amp;U Kelly Rock Prm Crusher Rfb</v>
          </cell>
          <cell r="C2753" t="str">
            <v>zINVALID FIN Approval - Internal</v>
          </cell>
          <cell r="D2753">
            <v>58</v>
          </cell>
          <cell r="E2753" t="str">
            <v>APPROVED</v>
          </cell>
          <cell r="F2753">
            <v>40709</v>
          </cell>
          <cell r="G2753">
            <v>40907</v>
          </cell>
          <cell r="H2753">
            <v>72053.64</v>
          </cell>
          <cell r="I2753" t="str">
            <v>FIN Submission</v>
          </cell>
          <cell r="J2753">
            <v>41836</v>
          </cell>
        </row>
        <row r="2754">
          <cell r="A2754" t="str">
            <v>41082-S984</v>
          </cell>
          <cell r="B2754" t="str">
            <v>POA-2012 Valve Refubishment Program</v>
          </cell>
          <cell r="C2754" t="str">
            <v>zINVALID FIN Approval - Internal</v>
          </cell>
          <cell r="D2754">
            <v>60</v>
          </cell>
          <cell r="E2754" t="str">
            <v>APPROVED</v>
          </cell>
          <cell r="F2754">
            <v>41274</v>
          </cell>
          <cell r="G2754">
            <v>41274</v>
          </cell>
          <cell r="H2754">
            <v>92183.81</v>
          </cell>
          <cell r="I2754" t="str">
            <v>FIN Submission</v>
          </cell>
          <cell r="J2754">
            <v>41836</v>
          </cell>
        </row>
        <row r="2755">
          <cell r="A2755" t="str">
            <v>40655-SA01</v>
          </cell>
          <cell r="B2755" t="str">
            <v>LIN - Pulverizer  Refurbishment</v>
          </cell>
          <cell r="C2755" t="str">
            <v>zINVALID FIN Approval - Internal</v>
          </cell>
          <cell r="D2755">
            <v>65</v>
          </cell>
          <cell r="E2755" t="str">
            <v>APPROVED</v>
          </cell>
          <cell r="F2755">
            <v>41273</v>
          </cell>
          <cell r="G2755">
            <v>41321</v>
          </cell>
          <cell r="H2755">
            <v>537024.18999999994</v>
          </cell>
          <cell r="I2755" t="str">
            <v>FIN Submission</v>
          </cell>
          <cell r="J2755">
            <v>41836</v>
          </cell>
        </row>
        <row r="2756">
          <cell r="A2756" t="str">
            <v>40212-S735</v>
          </cell>
          <cell r="B2756" t="str">
            <v xml:space="preserve">LIN 3 4 Burner Fronts </v>
          </cell>
          <cell r="C2756" t="str">
            <v>zINVALID FIN Approval - Internal</v>
          </cell>
          <cell r="D2756">
            <v>68</v>
          </cell>
          <cell r="E2756" t="str">
            <v>APPROVED</v>
          </cell>
          <cell r="F2756">
            <v>40899</v>
          </cell>
          <cell r="G2756">
            <v>41151</v>
          </cell>
          <cell r="H2756">
            <v>51582.64</v>
          </cell>
          <cell r="I2756" t="str">
            <v>FIN Submission</v>
          </cell>
          <cell r="J2756">
            <v>41836</v>
          </cell>
        </row>
        <row r="2757">
          <cell r="A2757" t="str">
            <v>40242-S706</v>
          </cell>
          <cell r="B2757" t="str">
            <v xml:space="preserve">LIN2 Polisher Resin Replacement </v>
          </cell>
          <cell r="C2757" t="str">
            <v>zINVALID FIN Approval - Internal</v>
          </cell>
          <cell r="D2757">
            <v>68</v>
          </cell>
          <cell r="E2757" t="str">
            <v>APPROVED</v>
          </cell>
          <cell r="F2757">
            <v>40842</v>
          </cell>
          <cell r="G2757">
            <v>40938</v>
          </cell>
          <cell r="H2757">
            <v>90175.5</v>
          </cell>
          <cell r="I2757" t="str">
            <v>FIN Submission</v>
          </cell>
          <cell r="J2757">
            <v>41836</v>
          </cell>
        </row>
        <row r="2758">
          <cell r="A2758" t="str">
            <v>40232-S879</v>
          </cell>
          <cell r="B2758" t="str">
            <v>LIN4 Fire System Panel Upgrade</v>
          </cell>
          <cell r="C2758" t="str">
            <v>zINVALID FIN Approval - Internal</v>
          </cell>
          <cell r="D2758">
            <v>68</v>
          </cell>
          <cell r="E2758" t="str">
            <v>APPROVED</v>
          </cell>
          <cell r="F2758">
            <v>41182</v>
          </cell>
          <cell r="G2758">
            <v>41330</v>
          </cell>
          <cell r="H2758">
            <v>92953.13</v>
          </cell>
          <cell r="I2758" t="str">
            <v>FIN Submission</v>
          </cell>
          <cell r="J2758">
            <v>41836</v>
          </cell>
        </row>
        <row r="2759">
          <cell r="A2759" t="str">
            <v>40127-S676</v>
          </cell>
          <cell r="B2759" t="str">
            <v>LIN4-UU-CW Pump</v>
          </cell>
          <cell r="C2759" t="str">
            <v>zINVALID FIN Approval - Internal</v>
          </cell>
          <cell r="D2759">
            <v>68</v>
          </cell>
          <cell r="E2759" t="str">
            <v>APPROVED</v>
          </cell>
          <cell r="F2759">
            <v>40573</v>
          </cell>
          <cell r="G2759">
            <v>40573</v>
          </cell>
          <cell r="H2759">
            <v>211192.73</v>
          </cell>
          <cell r="I2759" t="str">
            <v>FIN Submission</v>
          </cell>
          <cell r="J2759">
            <v>41836</v>
          </cell>
        </row>
        <row r="2760">
          <cell r="A2760" t="str">
            <v>40223-S749</v>
          </cell>
          <cell r="B2760" t="str">
            <v>LIN-CW Screen Refurbishment</v>
          </cell>
          <cell r="C2760" t="str">
            <v>zINVALID FIN Approval - Internal</v>
          </cell>
          <cell r="D2760">
            <v>69</v>
          </cell>
          <cell r="E2760" t="str">
            <v>APPROVED</v>
          </cell>
          <cell r="F2760">
            <v>40868</v>
          </cell>
          <cell r="G2760">
            <v>41212</v>
          </cell>
          <cell r="H2760">
            <v>245260.94</v>
          </cell>
          <cell r="I2760" t="str">
            <v>FIN Submission</v>
          </cell>
          <cell r="J2760">
            <v>41836</v>
          </cell>
        </row>
        <row r="2761">
          <cell r="A2761" t="str">
            <v>39903-S718</v>
          </cell>
          <cell r="B2761" t="str">
            <v>LIN 2011 Mill Refurbishment</v>
          </cell>
          <cell r="C2761" t="str">
            <v>zINVALID FIN Approval - Internal</v>
          </cell>
          <cell r="D2761">
            <v>72</v>
          </cell>
          <cell r="E2761" t="str">
            <v>APPROVED</v>
          </cell>
          <cell r="F2761">
            <v>40893</v>
          </cell>
          <cell r="G2761">
            <v>40998</v>
          </cell>
          <cell r="H2761">
            <v>764707.13</v>
          </cell>
          <cell r="I2761" t="str">
            <v>FIN Submission</v>
          </cell>
          <cell r="J2761">
            <v>41836</v>
          </cell>
        </row>
        <row r="2762">
          <cell r="A2762" t="str">
            <v>39623-P823</v>
          </cell>
          <cell r="B2762" t="str">
            <v>LIN-U&amp;U-CW Pump Refurbishment</v>
          </cell>
          <cell r="C2762" t="str">
            <v>zINVALID FIN Approval - Internal</v>
          </cell>
          <cell r="D2762">
            <v>73</v>
          </cell>
          <cell r="E2762" t="str">
            <v>APPROVED</v>
          </cell>
          <cell r="F2762">
            <v>40451</v>
          </cell>
          <cell r="G2762">
            <v>40724</v>
          </cell>
          <cell r="H2762">
            <v>378757.2</v>
          </cell>
          <cell r="I2762" t="str">
            <v>FIN Submission</v>
          </cell>
          <cell r="J2762">
            <v>41836</v>
          </cell>
        </row>
        <row r="2763">
          <cell r="A2763" t="str">
            <v>40523-S678</v>
          </cell>
          <cell r="B2763" t="str">
            <v>POA-U&amp;U Arrowhead Replacement</v>
          </cell>
          <cell r="C2763" t="str">
            <v>zINVALID FIN Approval - Internal</v>
          </cell>
          <cell r="D2763">
            <v>73</v>
          </cell>
          <cell r="E2763" t="str">
            <v>APPROVED</v>
          </cell>
          <cell r="F2763">
            <v>40574</v>
          </cell>
          <cell r="G2763">
            <v>40574</v>
          </cell>
          <cell r="H2763">
            <v>138744.37</v>
          </cell>
          <cell r="I2763" t="str">
            <v>FIN Submission</v>
          </cell>
          <cell r="J2763">
            <v>41836</v>
          </cell>
        </row>
        <row r="2764">
          <cell r="A2764" t="str">
            <v>40463-S684</v>
          </cell>
          <cell r="B2764" t="str">
            <v>POA-U&amp;U Fire Pump Diesel Engine Rep</v>
          </cell>
          <cell r="C2764" t="str">
            <v>zINVALID FIN Approval - Internal</v>
          </cell>
          <cell r="D2764">
            <v>74</v>
          </cell>
          <cell r="E2764" t="str">
            <v>APPROVED</v>
          </cell>
          <cell r="F2764">
            <v>40724</v>
          </cell>
          <cell r="G2764">
            <v>41273</v>
          </cell>
          <cell r="H2764">
            <v>128639.41</v>
          </cell>
          <cell r="I2764" t="str">
            <v>FIN Submission</v>
          </cell>
          <cell r="J2764">
            <v>41836</v>
          </cell>
        </row>
        <row r="2765">
          <cell r="A2765" t="str">
            <v>40443-S819</v>
          </cell>
          <cell r="B2765" t="str">
            <v>POT -  U&amp;U Stack Roof Replacement</v>
          </cell>
          <cell r="C2765" t="str">
            <v>zINVALID FIN Approval - Internal</v>
          </cell>
          <cell r="D2765">
            <v>75</v>
          </cell>
          <cell r="E2765" t="str">
            <v>APPROVED</v>
          </cell>
          <cell r="F2765">
            <v>40795</v>
          </cell>
          <cell r="G2765">
            <v>40909</v>
          </cell>
          <cell r="H2765">
            <v>495415.21</v>
          </cell>
          <cell r="I2765" t="str">
            <v>FIN Submission</v>
          </cell>
          <cell r="J2765">
            <v>41836</v>
          </cell>
        </row>
        <row r="2766">
          <cell r="A2766" t="str">
            <v>40225-S722</v>
          </cell>
          <cell r="B2766" t="str">
            <v>LIN - Common Water Lines Upgrades</v>
          </cell>
          <cell r="C2766" t="str">
            <v>zINVALID FIN Approval - Internal</v>
          </cell>
          <cell r="D2766">
            <v>76</v>
          </cell>
          <cell r="E2766" t="str">
            <v>APPROVED</v>
          </cell>
          <cell r="F2766">
            <v>40907</v>
          </cell>
          <cell r="G2766">
            <v>41415</v>
          </cell>
          <cell r="H2766">
            <v>246747.24</v>
          </cell>
          <cell r="I2766" t="str">
            <v>FIN Submission</v>
          </cell>
          <cell r="J2766">
            <v>41836</v>
          </cell>
        </row>
        <row r="2767">
          <cell r="A2767" t="str">
            <v>40228-S815</v>
          </cell>
          <cell r="B2767" t="str">
            <v xml:space="preserve">Boiler House Intake Louvers </v>
          </cell>
          <cell r="C2767" t="str">
            <v>zINVALID FIN Approval - Internal</v>
          </cell>
          <cell r="D2767">
            <v>77</v>
          </cell>
          <cell r="E2767" t="str">
            <v>APPROVED</v>
          </cell>
          <cell r="F2767">
            <v>40870</v>
          </cell>
          <cell r="G2767">
            <v>41425</v>
          </cell>
          <cell r="H2767">
            <v>196742.54</v>
          </cell>
          <cell r="I2767" t="str">
            <v>FIN Submission</v>
          </cell>
          <cell r="J2767">
            <v>41836</v>
          </cell>
        </row>
        <row r="2768">
          <cell r="A2768" t="str">
            <v>37004-S483</v>
          </cell>
          <cell r="B2768" t="str">
            <v>LIN4 - U&amp;U- Water Wall Panel Repl.</v>
          </cell>
          <cell r="C2768" t="str">
            <v>zINVALID FIN Approval - Internal</v>
          </cell>
          <cell r="D2768">
            <v>79</v>
          </cell>
          <cell r="E2768" t="str">
            <v>APPROVED</v>
          </cell>
          <cell r="F2768">
            <v>40542</v>
          </cell>
          <cell r="G2768">
            <v>40542</v>
          </cell>
          <cell r="H2768">
            <v>264308.53000000003</v>
          </cell>
          <cell r="I2768" t="str">
            <v>FIN Submission</v>
          </cell>
          <cell r="J2768">
            <v>41836</v>
          </cell>
        </row>
        <row r="2769">
          <cell r="A2769" t="str">
            <v>40034-S759</v>
          </cell>
          <cell r="B2769" t="str">
            <v xml:space="preserve">POA - 2011 Refractory Program </v>
          </cell>
          <cell r="C2769" t="str">
            <v>zINVALID FIN Approval - Internal</v>
          </cell>
          <cell r="D2769">
            <v>79</v>
          </cell>
          <cell r="E2769" t="str">
            <v>APPROVED</v>
          </cell>
          <cell r="F2769">
            <v>41060</v>
          </cell>
          <cell r="G2769">
            <v>41060</v>
          </cell>
          <cell r="H2769">
            <v>713388.25</v>
          </cell>
          <cell r="I2769" t="str">
            <v>FIN Submission</v>
          </cell>
          <cell r="J2769">
            <v>41836</v>
          </cell>
        </row>
        <row r="2770">
          <cell r="A2770" t="str">
            <v>40033-S732</v>
          </cell>
          <cell r="B2770" t="str">
            <v>POA - 4KV Breaker Refurbishment</v>
          </cell>
          <cell r="C2770" t="str">
            <v>zINVALID FIN Approval - Internal</v>
          </cell>
          <cell r="D2770">
            <v>79</v>
          </cell>
          <cell r="E2770" t="str">
            <v>APPROVED</v>
          </cell>
          <cell r="F2770">
            <v>40908</v>
          </cell>
          <cell r="G2770">
            <v>40908</v>
          </cell>
          <cell r="H2770">
            <v>40842.660000000003</v>
          </cell>
          <cell r="I2770" t="str">
            <v>FIN Submission</v>
          </cell>
          <cell r="J2770">
            <v>41836</v>
          </cell>
        </row>
        <row r="2771">
          <cell r="A2771" t="str">
            <v>40029-S694</v>
          </cell>
          <cell r="B2771" t="str">
            <v>POA - BATTERY REPLACEMENT</v>
          </cell>
          <cell r="C2771" t="str">
            <v>zINVALID FIN Approval - Internal</v>
          </cell>
          <cell r="D2771">
            <v>79</v>
          </cell>
          <cell r="E2771" t="str">
            <v>APPROVED</v>
          </cell>
          <cell r="F2771">
            <v>40694</v>
          </cell>
          <cell r="G2771">
            <v>40999</v>
          </cell>
          <cell r="H2771">
            <v>218603.63</v>
          </cell>
          <cell r="I2771" t="str">
            <v>FIN Submission</v>
          </cell>
          <cell r="J2771">
            <v>41836</v>
          </cell>
        </row>
        <row r="2772">
          <cell r="A2772" t="str">
            <v>40050-S720</v>
          </cell>
          <cell r="B2772" t="str">
            <v>POA - Compressor Rebuild</v>
          </cell>
          <cell r="C2772" t="str">
            <v>zINVALID FIN Approval - Internal</v>
          </cell>
          <cell r="D2772">
            <v>79</v>
          </cell>
          <cell r="E2772" t="str">
            <v>APPROVED</v>
          </cell>
          <cell r="F2772">
            <v>40694</v>
          </cell>
          <cell r="G2772">
            <v>40908</v>
          </cell>
          <cell r="H2772">
            <v>112804.78</v>
          </cell>
          <cell r="I2772" t="str">
            <v>FIN Submission</v>
          </cell>
          <cell r="J2772">
            <v>41836</v>
          </cell>
        </row>
        <row r="2773">
          <cell r="A2773" t="str">
            <v>40036-S779</v>
          </cell>
          <cell r="B2773" t="str">
            <v>POA- Screw Cooler Cover Replacement</v>
          </cell>
          <cell r="C2773" t="str">
            <v>zINVALID FIN Approval - Internal</v>
          </cell>
          <cell r="D2773">
            <v>79</v>
          </cell>
          <cell r="E2773" t="str">
            <v>APPROVED</v>
          </cell>
          <cell r="F2773">
            <v>40786</v>
          </cell>
          <cell r="G2773">
            <v>40908</v>
          </cell>
          <cell r="H2773">
            <v>76388.31</v>
          </cell>
          <cell r="I2773" t="str">
            <v>FIN Submission</v>
          </cell>
          <cell r="J2773">
            <v>41836</v>
          </cell>
        </row>
        <row r="2774">
          <cell r="A2774" t="str">
            <v>39922-S639</v>
          </cell>
          <cell r="B2774" t="str">
            <v>POA-U&amp;U Valve Refurbishment</v>
          </cell>
          <cell r="C2774" t="str">
            <v>zINVALID FIN Approval - Internal</v>
          </cell>
          <cell r="D2774">
            <v>79</v>
          </cell>
          <cell r="E2774" t="str">
            <v>APPROVED</v>
          </cell>
          <cell r="F2774">
            <v>40482</v>
          </cell>
          <cell r="G2774">
            <v>40600</v>
          </cell>
          <cell r="H2774">
            <v>65129.64</v>
          </cell>
          <cell r="I2774" t="str">
            <v>FIN Submission</v>
          </cell>
          <cell r="J2774">
            <v>41836</v>
          </cell>
        </row>
        <row r="2775">
          <cell r="A2775" t="str">
            <v>40256-SA32</v>
          </cell>
          <cell r="B2775" t="str">
            <v>POT - Plant Siding Replacement</v>
          </cell>
          <cell r="C2775" t="str">
            <v>zINVALID FIN Approval - Internal</v>
          </cell>
          <cell r="D2775">
            <v>79</v>
          </cell>
          <cell r="E2775" t="str">
            <v>APPROVED</v>
          </cell>
          <cell r="F2775">
            <v>41361</v>
          </cell>
          <cell r="G2775">
            <v>41607</v>
          </cell>
          <cell r="H2775">
            <v>355133.89</v>
          </cell>
          <cell r="I2775" t="str">
            <v>FIN Submission</v>
          </cell>
          <cell r="J2775">
            <v>41836</v>
          </cell>
        </row>
        <row r="2776">
          <cell r="A2776" t="str">
            <v>39928-S674</v>
          </cell>
          <cell r="B2776" t="str">
            <v>TUC- U&amp;U #3 CW Piping Refurbishment</v>
          </cell>
          <cell r="C2776" t="str">
            <v>zINVALID FIN Approval - Internal</v>
          </cell>
          <cell r="D2776">
            <v>81</v>
          </cell>
          <cell r="E2776" t="str">
            <v>APPROVED</v>
          </cell>
          <cell r="F2776">
            <v>40573</v>
          </cell>
          <cell r="G2776">
            <v>41639</v>
          </cell>
          <cell r="H2776">
            <v>104009.69</v>
          </cell>
          <cell r="I2776" t="str">
            <v>FIN Submission</v>
          </cell>
          <cell r="J2776">
            <v>41836</v>
          </cell>
        </row>
        <row r="2777">
          <cell r="A2777" t="str">
            <v>38946-S625</v>
          </cell>
          <cell r="B2777" t="str">
            <v>LIN1 - Replace High Voltage Bushin</v>
          </cell>
          <cell r="C2777" t="str">
            <v>zINVALID FIN Approval - Internal</v>
          </cell>
          <cell r="D2777">
            <v>87</v>
          </cell>
          <cell r="E2777" t="str">
            <v>APPROVED</v>
          </cell>
          <cell r="F2777">
            <v>40430</v>
          </cell>
          <cell r="G2777">
            <v>40663</v>
          </cell>
          <cell r="H2777">
            <v>617988.01</v>
          </cell>
          <cell r="I2777" t="str">
            <v>FIN Submission</v>
          </cell>
          <cell r="J2777">
            <v>41836</v>
          </cell>
        </row>
        <row r="2778">
          <cell r="A2778" t="str">
            <v>37612-S550</v>
          </cell>
          <cell r="B2778" t="str">
            <v>LIN - Polisher Resin Replacement</v>
          </cell>
          <cell r="C2778" t="str">
            <v>zINVALID FIN Approval - Internal</v>
          </cell>
          <cell r="D2778">
            <v>98</v>
          </cell>
          <cell r="E2778" t="str">
            <v>APPROVED</v>
          </cell>
          <cell r="F2778">
            <v>40482</v>
          </cell>
          <cell r="G2778">
            <v>40633</v>
          </cell>
          <cell r="H2778">
            <v>99936.13</v>
          </cell>
          <cell r="I2778" t="str">
            <v>FIN Submission</v>
          </cell>
          <cell r="J2778">
            <v>41836</v>
          </cell>
        </row>
        <row r="2779">
          <cell r="A2779" t="str">
            <v>38895-S594</v>
          </cell>
          <cell r="B2779" t="str">
            <v>POT - Plant improvements</v>
          </cell>
          <cell r="C2779" t="str">
            <v>zINVALID FIN Approval - Internal</v>
          </cell>
          <cell r="D2779">
            <v>98</v>
          </cell>
          <cell r="E2779" t="str">
            <v>APPROVED</v>
          </cell>
          <cell r="F2779">
            <v>40594</v>
          </cell>
          <cell r="G2779">
            <v>41639</v>
          </cell>
          <cell r="H2779">
            <v>237928.4</v>
          </cell>
          <cell r="I2779" t="str">
            <v>FIN Submission</v>
          </cell>
          <cell r="J2779">
            <v>41836</v>
          </cell>
        </row>
        <row r="2780">
          <cell r="A2780" t="str">
            <v>38103-S573</v>
          </cell>
          <cell r="B2780" t="str">
            <v>POT - Wastewater cell refurbishment</v>
          </cell>
          <cell r="C2780" t="str">
            <v>zINVALID FIN Approval - Internal</v>
          </cell>
          <cell r="D2780">
            <v>99</v>
          </cell>
          <cell r="E2780" t="str">
            <v>APPROVED</v>
          </cell>
          <cell r="F2780">
            <v>40542</v>
          </cell>
          <cell r="G2780">
            <v>41609</v>
          </cell>
          <cell r="H2780">
            <v>439882.66</v>
          </cell>
          <cell r="I2780" t="str">
            <v>FIN Submission</v>
          </cell>
          <cell r="J2780">
            <v>41836</v>
          </cell>
        </row>
        <row r="2781">
          <cell r="A2781" t="str">
            <v>36762-S799</v>
          </cell>
          <cell r="B2781" t="str">
            <v>LIN 3-4 Stack Insulation Upgrades</v>
          </cell>
          <cell r="C2781" t="str">
            <v>zINVALID FIN Approval - Internal</v>
          </cell>
          <cell r="D2781">
            <v>101</v>
          </cell>
          <cell r="E2781" t="str">
            <v>APPROVED</v>
          </cell>
          <cell r="F2781">
            <v>40785</v>
          </cell>
          <cell r="G2781">
            <v>40816</v>
          </cell>
          <cell r="H2781">
            <v>142662</v>
          </cell>
          <cell r="I2781" t="str">
            <v>FIN Submission</v>
          </cell>
          <cell r="J2781">
            <v>41836</v>
          </cell>
        </row>
        <row r="2782">
          <cell r="A2782" t="str">
            <v>36586-S584</v>
          </cell>
          <cell r="B2782" t="str">
            <v>POA - Limestone Piping Replacement</v>
          </cell>
          <cell r="C2782" t="str">
            <v>zINVALID FIN Approval - Internal</v>
          </cell>
          <cell r="D2782">
            <v>103</v>
          </cell>
          <cell r="E2782" t="str">
            <v>APPROVED</v>
          </cell>
          <cell r="F2782">
            <v>40512</v>
          </cell>
          <cell r="G2782">
            <v>40754</v>
          </cell>
          <cell r="H2782">
            <v>167661.37</v>
          </cell>
          <cell r="I2782" t="str">
            <v>FIN Submission</v>
          </cell>
          <cell r="J2782">
            <v>41836</v>
          </cell>
        </row>
        <row r="2783">
          <cell r="A2783" t="str">
            <v>37422-S726</v>
          </cell>
          <cell r="B2783" t="str">
            <v>POA BA Drag Chain Replacement Progr</v>
          </cell>
          <cell r="C2783" t="str">
            <v>zINVALID FIN Approval - Internal</v>
          </cell>
          <cell r="D2783">
            <v>104</v>
          </cell>
          <cell r="E2783" t="str">
            <v>APPROVED</v>
          </cell>
          <cell r="F2783">
            <v>40847</v>
          </cell>
          <cell r="G2783">
            <v>40907</v>
          </cell>
          <cell r="H2783">
            <v>39531.85</v>
          </cell>
          <cell r="I2783" t="str">
            <v>FIN Submission</v>
          </cell>
          <cell r="J2783">
            <v>41836</v>
          </cell>
        </row>
        <row r="2784">
          <cell r="A2784" t="str">
            <v>36702-S811</v>
          </cell>
          <cell r="B2784" t="str">
            <v>Thermoprobe Upgrades</v>
          </cell>
          <cell r="C2784" t="str">
            <v>zINVALID FIN Approval - Internal</v>
          </cell>
          <cell r="D2784">
            <v>104</v>
          </cell>
          <cell r="E2784" t="str">
            <v>APPROVED</v>
          </cell>
          <cell r="F2784">
            <v>41363</v>
          </cell>
          <cell r="G2784">
            <v>41455</v>
          </cell>
          <cell r="H2784">
            <v>111178.64</v>
          </cell>
          <cell r="I2784" t="str">
            <v>FIN Submission</v>
          </cell>
          <cell r="J2784">
            <v>41836</v>
          </cell>
        </row>
        <row r="2785">
          <cell r="A2785" t="str">
            <v>43549-SA90</v>
          </cell>
          <cell r="B2785" t="str">
            <v>TRE5 UU 5-1 BFP Volute Refurbishmen</v>
          </cell>
          <cell r="C2785" t="str">
            <v>zINVALID FIN Approval - Internal</v>
          </cell>
          <cell r="D2785">
            <v>21</v>
          </cell>
          <cell r="E2785" t="str">
            <v>APPROVED</v>
          </cell>
          <cell r="F2785">
            <v>41197</v>
          </cell>
          <cell r="G2785">
            <v>41562</v>
          </cell>
          <cell r="H2785">
            <v>145749.38</v>
          </cell>
          <cell r="I2785" t="str">
            <v>FIN Submission</v>
          </cell>
          <cell r="J2785">
            <v>41831</v>
          </cell>
        </row>
        <row r="2786">
          <cell r="A2786" t="str">
            <v>43446-SA83</v>
          </cell>
          <cell r="B2786" t="str">
            <v>TRE UU Garage Heater Replacements</v>
          </cell>
          <cell r="C2786" t="str">
            <v>zINVALID FIN Approval - Internal</v>
          </cell>
          <cell r="D2786">
            <v>22</v>
          </cell>
          <cell r="E2786" t="str">
            <v>APPROVED</v>
          </cell>
          <cell r="F2786">
            <v>41243</v>
          </cell>
          <cell r="G2786">
            <v>41258</v>
          </cell>
          <cell r="H2786">
            <v>32638.42</v>
          </cell>
          <cell r="I2786" t="str">
            <v>FIN Submission</v>
          </cell>
          <cell r="J2786">
            <v>41831</v>
          </cell>
        </row>
        <row r="2787">
          <cell r="A2787" t="str">
            <v>43406-SB02</v>
          </cell>
          <cell r="B2787" t="str">
            <v>TRE5 UU 5-2 CEP Refurbishment</v>
          </cell>
          <cell r="C2787" t="str">
            <v>zINVALID FIN Approval - Internal</v>
          </cell>
          <cell r="D2787">
            <v>22</v>
          </cell>
          <cell r="E2787" t="str">
            <v>APPROVED</v>
          </cell>
          <cell r="F2787">
            <v>41197</v>
          </cell>
          <cell r="G2787">
            <v>41532</v>
          </cell>
          <cell r="H2787">
            <v>93588.7</v>
          </cell>
          <cell r="I2787" t="str">
            <v>FIN Submission</v>
          </cell>
          <cell r="J2787">
            <v>41831</v>
          </cell>
        </row>
        <row r="2788">
          <cell r="A2788" t="str">
            <v>43289-SA78</v>
          </cell>
          <cell r="B2788" t="str">
            <v>LIN3 U&amp;U Air Heater Rebuild</v>
          </cell>
          <cell r="C2788" t="str">
            <v>zINVALID FIN Approval - Internal</v>
          </cell>
          <cell r="D2788">
            <v>23</v>
          </cell>
          <cell r="E2788" t="str">
            <v>APPROVED</v>
          </cell>
          <cell r="F2788">
            <v>41146</v>
          </cell>
          <cell r="G2788">
            <v>41330</v>
          </cell>
          <cell r="H2788">
            <v>64477.83</v>
          </cell>
          <cell r="I2788" t="str">
            <v>FIN Submission</v>
          </cell>
          <cell r="J2788">
            <v>41831</v>
          </cell>
        </row>
        <row r="2789">
          <cell r="A2789" t="str">
            <v>43506-H668</v>
          </cell>
          <cell r="B2789" t="str">
            <v>HYD UU DEB9 Runner Seal Replacement</v>
          </cell>
          <cell r="C2789" t="str">
            <v>zINVALID FIN Approval - Internal</v>
          </cell>
          <cell r="D2789">
            <v>25</v>
          </cell>
          <cell r="E2789" t="str">
            <v>APPROVED</v>
          </cell>
          <cell r="F2789">
            <v>41156</v>
          </cell>
          <cell r="G2789">
            <v>41564</v>
          </cell>
          <cell r="H2789">
            <v>101277.65</v>
          </cell>
          <cell r="I2789" t="str">
            <v>FIN Submission</v>
          </cell>
          <cell r="J2789">
            <v>41831</v>
          </cell>
        </row>
        <row r="2790">
          <cell r="A2790" t="str">
            <v>43116-SB01</v>
          </cell>
          <cell r="B2790" t="str">
            <v>TRE5 UU 5-1 and 5-2 CW Pump Refurbi</v>
          </cell>
          <cell r="C2790" t="str">
            <v>zINVALID FIN Approval - Internal</v>
          </cell>
          <cell r="D2790">
            <v>25</v>
          </cell>
          <cell r="E2790" t="str">
            <v>APPROVED</v>
          </cell>
          <cell r="F2790">
            <v>41197</v>
          </cell>
          <cell r="G2790">
            <v>41320</v>
          </cell>
          <cell r="H2790">
            <v>432788.68</v>
          </cell>
          <cell r="I2790" t="str">
            <v>FIN Submission</v>
          </cell>
          <cell r="J2790">
            <v>41831</v>
          </cell>
        </row>
        <row r="2791">
          <cell r="A2791" t="str">
            <v>43139-SB62</v>
          </cell>
          <cell r="B2791" t="str">
            <v>POA - Expansion Joint Upgrade</v>
          </cell>
          <cell r="C2791" t="str">
            <v>zINVALID FIN Approval - Internal</v>
          </cell>
          <cell r="D2791">
            <v>26</v>
          </cell>
          <cell r="E2791" t="str">
            <v>APPROVED</v>
          </cell>
          <cell r="F2791">
            <v>41487</v>
          </cell>
          <cell r="G2791">
            <v>41608</v>
          </cell>
          <cell r="H2791">
            <v>88999.91</v>
          </cell>
          <cell r="I2791" t="str">
            <v>FIN Submission</v>
          </cell>
          <cell r="J2791">
            <v>41831</v>
          </cell>
        </row>
        <row r="2792">
          <cell r="A2792" t="str">
            <v>43199-D463</v>
          </cell>
          <cell r="B2792" t="str">
            <v>U&amp;U 82V-402 Elmsdale ICP</v>
          </cell>
          <cell r="C2792" t="str">
            <v>zINVALID FIN Approval - Internal</v>
          </cell>
          <cell r="D2792">
            <v>26</v>
          </cell>
          <cell r="E2792" t="str">
            <v>APPROVED</v>
          </cell>
          <cell r="F2792">
            <v>41333</v>
          </cell>
          <cell r="G2792">
            <v>41363</v>
          </cell>
          <cell r="H2792">
            <v>9756.1299999999992</v>
          </cell>
          <cell r="I2792" t="str">
            <v>FIN Submission</v>
          </cell>
          <cell r="J2792">
            <v>41831</v>
          </cell>
        </row>
        <row r="2793">
          <cell r="A2793" t="str">
            <v>43325-D451</v>
          </cell>
          <cell r="B2793" t="str">
            <v>62N-414 Spring Garden Road Re-Build</v>
          </cell>
          <cell r="C2793" t="str">
            <v>zINVALID FIN Approval - Internal</v>
          </cell>
          <cell r="D2793">
            <v>27</v>
          </cell>
          <cell r="E2793" t="str">
            <v>APPROVED</v>
          </cell>
          <cell r="F2793">
            <v>41261</v>
          </cell>
          <cell r="G2793">
            <v>41639</v>
          </cell>
          <cell r="H2793">
            <v>70804.06</v>
          </cell>
          <cell r="I2793" t="str">
            <v>FIN Submission</v>
          </cell>
          <cell r="J2793">
            <v>41831</v>
          </cell>
        </row>
        <row r="2794">
          <cell r="A2794" t="str">
            <v>42957-D443</v>
          </cell>
          <cell r="B2794" t="str">
            <v>70W-313 Lehave River Reconductor P1</v>
          </cell>
          <cell r="C2794" t="str">
            <v>zINVALID FIN Approval - Internal</v>
          </cell>
          <cell r="D2794">
            <v>27</v>
          </cell>
          <cell r="E2794" t="str">
            <v>APPROVED</v>
          </cell>
          <cell r="F2794">
            <v>41261</v>
          </cell>
          <cell r="G2794">
            <v>41273</v>
          </cell>
          <cell r="H2794">
            <v>464824.54</v>
          </cell>
          <cell r="I2794" t="str">
            <v>FIN Submission</v>
          </cell>
          <cell r="J2794">
            <v>41831</v>
          </cell>
        </row>
        <row r="2795">
          <cell r="A2795" t="str">
            <v>42830-D433</v>
          </cell>
          <cell r="B2795" t="str">
            <v>36V-302 Main St Canning Upgrade</v>
          </cell>
          <cell r="C2795" t="str">
            <v>zINVALID FIN Approval - Internal</v>
          </cell>
          <cell r="D2795">
            <v>28</v>
          </cell>
          <cell r="E2795" t="str">
            <v>APPROVED</v>
          </cell>
          <cell r="F2795">
            <v>41261</v>
          </cell>
          <cell r="G2795">
            <v>41514</v>
          </cell>
          <cell r="H2795">
            <v>97990.28</v>
          </cell>
          <cell r="I2795" t="str">
            <v>FIN Submission</v>
          </cell>
          <cell r="J2795">
            <v>41831</v>
          </cell>
        </row>
        <row r="2796">
          <cell r="A2796" t="str">
            <v>42846-D439</v>
          </cell>
          <cell r="B2796" t="str">
            <v>63V-313 Feeder Loading Improvement</v>
          </cell>
          <cell r="C2796" t="str">
            <v>zINVALID FIN Approval - Internal</v>
          </cell>
          <cell r="D2796">
            <v>28</v>
          </cell>
          <cell r="E2796" t="str">
            <v>APPROVED</v>
          </cell>
          <cell r="F2796">
            <v>41182</v>
          </cell>
          <cell r="G2796">
            <v>41639</v>
          </cell>
          <cell r="H2796">
            <v>295324.56</v>
          </cell>
          <cell r="I2796" t="str">
            <v>FIN Submission</v>
          </cell>
          <cell r="J2796">
            <v>41831</v>
          </cell>
        </row>
        <row r="2797">
          <cell r="A2797" t="str">
            <v>42758-T734</v>
          </cell>
          <cell r="B2797" t="str">
            <v>9W Tusket B52 Structure Replacement</v>
          </cell>
          <cell r="C2797" t="str">
            <v>zINVALID FIN Approval - Internal</v>
          </cell>
          <cell r="D2797">
            <v>28</v>
          </cell>
          <cell r="E2797" t="str">
            <v>APPROVED</v>
          </cell>
          <cell r="F2797">
            <v>41152</v>
          </cell>
          <cell r="G2797">
            <v>41639</v>
          </cell>
          <cell r="H2797">
            <v>273013.32</v>
          </cell>
          <cell r="I2797" t="str">
            <v>FIN Submission</v>
          </cell>
          <cell r="J2797">
            <v>41831</v>
          </cell>
        </row>
        <row r="2798">
          <cell r="A2798" t="str">
            <v>42958-D444</v>
          </cell>
          <cell r="B2798" t="str">
            <v>CBRM Abandoned Pole Removal</v>
          </cell>
          <cell r="C2798" t="str">
            <v>zINVALID FIN Approval - Internal</v>
          </cell>
          <cell r="D2798">
            <v>28</v>
          </cell>
          <cell r="E2798" t="str">
            <v>APPROVED</v>
          </cell>
          <cell r="F2798">
            <v>41261</v>
          </cell>
          <cell r="G2798">
            <v>41608</v>
          </cell>
          <cell r="H2798">
            <v>184821.85</v>
          </cell>
          <cell r="I2798" t="str">
            <v>FIN Submission</v>
          </cell>
          <cell r="J2798">
            <v>41831</v>
          </cell>
        </row>
        <row r="2799">
          <cell r="A2799" t="str">
            <v>42932-H657</v>
          </cell>
          <cell r="B2799" t="str">
            <v>HYD U&amp;U Marshall Falls Sluice Gate</v>
          </cell>
          <cell r="C2799" t="str">
            <v>zINVALID FIN Approval - Internal</v>
          </cell>
          <cell r="D2799">
            <v>28</v>
          </cell>
          <cell r="E2799" t="str">
            <v>APPROVED</v>
          </cell>
          <cell r="F2799">
            <v>41258</v>
          </cell>
          <cell r="G2799">
            <v>41450</v>
          </cell>
          <cell r="H2799">
            <v>255184.58</v>
          </cell>
          <cell r="I2799" t="str">
            <v/>
          </cell>
          <cell r="J2799">
            <v>41831</v>
          </cell>
        </row>
        <row r="2800">
          <cell r="A2800" t="str">
            <v>41966-S895</v>
          </cell>
          <cell r="B2800" t="str">
            <v>TRE6 (UU) Burner Front Refurbishmen</v>
          </cell>
          <cell r="C2800" t="str">
            <v>zINVALID FIN Approval - Internal</v>
          </cell>
          <cell r="D2800">
            <v>30</v>
          </cell>
          <cell r="E2800" t="str">
            <v>APPROVED</v>
          </cell>
          <cell r="F2800">
            <v>40892</v>
          </cell>
          <cell r="G2800">
            <v>40983</v>
          </cell>
          <cell r="H2800">
            <v>53528.42</v>
          </cell>
          <cell r="I2800" t="str">
            <v>FIN Submission</v>
          </cell>
          <cell r="J2800">
            <v>41831</v>
          </cell>
        </row>
        <row r="2801">
          <cell r="A2801" t="str">
            <v>42566-T714</v>
          </cell>
          <cell r="B2801" t="str">
            <v>Upgrade L7001</v>
          </cell>
          <cell r="C2801" t="str">
            <v>zINVALID FIN Approval - Internal</v>
          </cell>
          <cell r="D2801">
            <v>30</v>
          </cell>
          <cell r="E2801" t="str">
            <v>APPROVED</v>
          </cell>
          <cell r="F2801">
            <v>41029</v>
          </cell>
          <cell r="G2801">
            <v>41639</v>
          </cell>
          <cell r="H2801">
            <v>196398.67</v>
          </cell>
          <cell r="I2801" t="str">
            <v>FIN Submission</v>
          </cell>
          <cell r="J2801">
            <v>41831</v>
          </cell>
        </row>
        <row r="2802">
          <cell r="A2802" t="str">
            <v>42637-T724</v>
          </cell>
          <cell r="B2802" t="str">
            <v>L6552 Upgrade</v>
          </cell>
          <cell r="C2802" t="str">
            <v>zINVALID FIN Approval - Internal</v>
          </cell>
          <cell r="D2802">
            <v>31</v>
          </cell>
          <cell r="E2802" t="str">
            <v>APPROVED</v>
          </cell>
          <cell r="F2802">
            <v>41182</v>
          </cell>
          <cell r="G2802">
            <v>41273</v>
          </cell>
          <cell r="H2802">
            <v>284908.7</v>
          </cell>
          <cell r="I2802" t="str">
            <v>FIN Submission</v>
          </cell>
          <cell r="J2802">
            <v>41831</v>
          </cell>
        </row>
        <row r="2803">
          <cell r="A2803" t="str">
            <v>41968-S896</v>
          </cell>
          <cell r="B2803" t="str">
            <v>TRE6 (UU) DA Storage Tank Access Do</v>
          </cell>
          <cell r="C2803" t="str">
            <v>zINVALID FIN Approval - Internal</v>
          </cell>
          <cell r="D2803">
            <v>32</v>
          </cell>
          <cell r="E2803" t="str">
            <v>APPROVED</v>
          </cell>
          <cell r="F2803">
            <v>40892</v>
          </cell>
          <cell r="G2803">
            <v>41562</v>
          </cell>
          <cell r="H2803">
            <v>35370.26</v>
          </cell>
          <cell r="I2803" t="str">
            <v>FIN Submission</v>
          </cell>
          <cell r="J2803">
            <v>41831</v>
          </cell>
        </row>
        <row r="2804">
          <cell r="A2804" t="str">
            <v>42008-H635</v>
          </cell>
          <cell r="B2804" t="str">
            <v>HYD - U&amp;U Tidewater Penstock Repair</v>
          </cell>
          <cell r="C2804" t="str">
            <v>zINVALID FIN Approval - Internal</v>
          </cell>
          <cell r="D2804">
            <v>37</v>
          </cell>
          <cell r="E2804" t="str">
            <v>APPROVED</v>
          </cell>
          <cell r="F2804">
            <v>40895</v>
          </cell>
          <cell r="G2804">
            <v>40957</v>
          </cell>
          <cell r="H2804">
            <v>80444.539999999994</v>
          </cell>
          <cell r="I2804" t="str">
            <v>FIN Submission</v>
          </cell>
          <cell r="J2804">
            <v>41831</v>
          </cell>
        </row>
        <row r="2805">
          <cell r="A2805" t="str">
            <v>41989-H634</v>
          </cell>
          <cell r="B2805" t="str">
            <v>HYD - U&amp;U 4th Lake Overhaul</v>
          </cell>
          <cell r="C2805" t="str">
            <v>zINVALID FIN Approval - Internal</v>
          </cell>
          <cell r="D2805">
            <v>38</v>
          </cell>
          <cell r="E2805" t="str">
            <v>APPROVED</v>
          </cell>
          <cell r="F2805">
            <v>40892</v>
          </cell>
          <cell r="G2805">
            <v>41075</v>
          </cell>
          <cell r="H2805">
            <v>233617.9</v>
          </cell>
          <cell r="I2805" t="str">
            <v>FIN Submission</v>
          </cell>
          <cell r="J2805">
            <v>41831</v>
          </cell>
        </row>
        <row r="2806">
          <cell r="A2806" t="str">
            <v>41783-H627</v>
          </cell>
          <cell r="B2806" t="str">
            <v>HYD-U&amp;U MacMillan Dam Spillway</v>
          </cell>
          <cell r="C2806" t="str">
            <v>zINVALID FIN Approval - Internal</v>
          </cell>
          <cell r="D2806">
            <v>48</v>
          </cell>
          <cell r="E2806" t="str">
            <v>APPROVED</v>
          </cell>
          <cell r="F2806">
            <v>40863</v>
          </cell>
          <cell r="G2806">
            <v>41349</v>
          </cell>
          <cell r="H2806">
            <v>216673.67</v>
          </cell>
          <cell r="I2806" t="str">
            <v>FIN Submission</v>
          </cell>
          <cell r="J2806">
            <v>41831</v>
          </cell>
        </row>
        <row r="2807">
          <cell r="A2807" t="str">
            <v>41683-D381</v>
          </cell>
          <cell r="B2807" t="str">
            <v>20H-302 Cowie Hill Conversion</v>
          </cell>
          <cell r="C2807" t="str">
            <v>zINVALID FIN Approval - Internal</v>
          </cell>
          <cell r="D2807">
            <v>49</v>
          </cell>
          <cell r="E2807" t="str">
            <v>APPROVED</v>
          </cell>
          <cell r="F2807">
            <v>41182</v>
          </cell>
          <cell r="G2807">
            <v>41273</v>
          </cell>
          <cell r="H2807">
            <v>54732.480000000003</v>
          </cell>
          <cell r="I2807" t="str">
            <v>FIN Submission</v>
          </cell>
          <cell r="J2807">
            <v>41831</v>
          </cell>
        </row>
        <row r="2808">
          <cell r="A2808" t="str">
            <v>41723-D387</v>
          </cell>
          <cell r="B2808" t="str">
            <v>85S-401 South Smokey Rebuild</v>
          </cell>
          <cell r="C2808" t="str">
            <v>zINVALID FIN Approval - Internal</v>
          </cell>
          <cell r="D2808">
            <v>49</v>
          </cell>
          <cell r="E2808" t="str">
            <v>APPROVED</v>
          </cell>
          <cell r="F2808">
            <v>40999</v>
          </cell>
          <cell r="G2808">
            <v>41274</v>
          </cell>
          <cell r="H2808">
            <v>155526.76999999999</v>
          </cell>
          <cell r="I2808" t="str">
            <v>FIN Submission</v>
          </cell>
          <cell r="J2808">
            <v>41831</v>
          </cell>
        </row>
        <row r="2809">
          <cell r="A2809" t="str">
            <v>41704-H628</v>
          </cell>
          <cell r="B2809" t="str">
            <v>HYD-U&amp;U Battery Bank Replacement</v>
          </cell>
          <cell r="C2809" t="str">
            <v>zINVALID FIN Approval - Internal</v>
          </cell>
          <cell r="D2809">
            <v>51</v>
          </cell>
          <cell r="E2809" t="str">
            <v>APPROVED</v>
          </cell>
          <cell r="F2809">
            <v>40854</v>
          </cell>
          <cell r="G2809">
            <v>41304</v>
          </cell>
          <cell r="H2809">
            <v>194471.23</v>
          </cell>
          <cell r="I2809" t="str">
            <v>FIN Submission</v>
          </cell>
          <cell r="J2809">
            <v>41831</v>
          </cell>
        </row>
        <row r="2810">
          <cell r="A2810" t="str">
            <v>41745-H633</v>
          </cell>
          <cell r="B2810" t="str">
            <v>HYD-WRC Powerhouse Light/Vent U&amp;U</v>
          </cell>
          <cell r="C2810" t="str">
            <v>zINVALID FIN Approval - Internal</v>
          </cell>
          <cell r="D2810">
            <v>51</v>
          </cell>
          <cell r="E2810" t="str">
            <v>APPROVED</v>
          </cell>
          <cell r="F2810">
            <v>41197</v>
          </cell>
          <cell r="G2810">
            <v>41225</v>
          </cell>
          <cell r="H2810">
            <v>148612.25</v>
          </cell>
          <cell r="I2810" t="str">
            <v>FIN Submission</v>
          </cell>
          <cell r="J2810">
            <v>41831</v>
          </cell>
        </row>
        <row r="2811">
          <cell r="A2811" t="str">
            <v>41667-SA89</v>
          </cell>
          <cell r="B2811" t="str">
            <v>TRE5 UU Boiler Upgrades</v>
          </cell>
          <cell r="C2811" t="str">
            <v>zINVALID FIN Approval - Internal</v>
          </cell>
          <cell r="D2811">
            <v>52</v>
          </cell>
          <cell r="E2811" t="str">
            <v>APPROVED</v>
          </cell>
          <cell r="F2811">
            <v>41197</v>
          </cell>
          <cell r="G2811">
            <v>41623</v>
          </cell>
          <cell r="H2811">
            <v>245843.91</v>
          </cell>
          <cell r="I2811" t="str">
            <v>FIN Submission</v>
          </cell>
          <cell r="J2811">
            <v>41831</v>
          </cell>
        </row>
        <row r="2812">
          <cell r="A2812" t="str">
            <v>41603-H620</v>
          </cell>
          <cell r="B2812" t="str">
            <v>U&amp;U Surge Lake Radio Tower Replacem</v>
          </cell>
          <cell r="C2812" t="str">
            <v>zINVALID FIN Approval - Internal</v>
          </cell>
          <cell r="D2812">
            <v>52</v>
          </cell>
          <cell r="E2812" t="str">
            <v>APPROVED</v>
          </cell>
          <cell r="F2812">
            <v>40847</v>
          </cell>
          <cell r="G2812">
            <v>41187</v>
          </cell>
          <cell r="H2812">
            <v>101197.09</v>
          </cell>
          <cell r="I2812" t="str">
            <v>FIN Submission</v>
          </cell>
          <cell r="J2812">
            <v>41831</v>
          </cell>
        </row>
        <row r="2813">
          <cell r="A2813" t="str">
            <v>41560-SA07</v>
          </cell>
          <cell r="B2813" t="str">
            <v>POT E-belt Fire Protection System R</v>
          </cell>
          <cell r="C2813" t="str">
            <v>zINVALID FIN Approval - Internal</v>
          </cell>
          <cell r="D2813">
            <v>53</v>
          </cell>
          <cell r="E2813" t="str">
            <v>APPROVED</v>
          </cell>
          <cell r="F2813">
            <v>41155</v>
          </cell>
          <cell r="G2813">
            <v>41365</v>
          </cell>
          <cell r="H2813">
            <v>224796.46</v>
          </cell>
          <cell r="I2813" t="str">
            <v>FIN Submission</v>
          </cell>
          <cell r="J2813">
            <v>41831</v>
          </cell>
        </row>
        <row r="2814">
          <cell r="A2814" t="str">
            <v>40861-S740</v>
          </cell>
          <cell r="B2814" t="str">
            <v>TRE6 - (UU) Coal Crusher Motor Repa</v>
          </cell>
          <cell r="C2814" t="str">
            <v>zINVALID FIN Approval - Internal</v>
          </cell>
          <cell r="D2814">
            <v>53</v>
          </cell>
          <cell r="E2814" t="str">
            <v>APPROVED</v>
          </cell>
          <cell r="F2814">
            <v>40709</v>
          </cell>
          <cell r="G2814">
            <v>40709</v>
          </cell>
          <cell r="H2814">
            <v>37294.620000000003</v>
          </cell>
          <cell r="I2814" t="str">
            <v>FIN Submission</v>
          </cell>
          <cell r="J2814">
            <v>41831</v>
          </cell>
        </row>
        <row r="2815">
          <cell r="A2815" t="str">
            <v>41528-SA77</v>
          </cell>
          <cell r="B2815" t="str">
            <v>TRE6 - Bottom Ash Chain Replacement</v>
          </cell>
          <cell r="C2815" t="str">
            <v>zINVALID FIN Approval - Internal</v>
          </cell>
          <cell r="D2815">
            <v>53</v>
          </cell>
          <cell r="E2815" t="str">
            <v>APPROVED</v>
          </cell>
          <cell r="F2815">
            <v>41470</v>
          </cell>
          <cell r="G2815">
            <v>41593</v>
          </cell>
          <cell r="H2815">
            <v>158046.04999999999</v>
          </cell>
          <cell r="I2815" t="str">
            <v/>
          </cell>
          <cell r="J2815">
            <v>41831</v>
          </cell>
        </row>
        <row r="2816">
          <cell r="A2816" t="str">
            <v>41340-D411</v>
          </cell>
          <cell r="B2816" t="str">
            <v>5N-301 Targeted Feeder Replacement</v>
          </cell>
          <cell r="C2816" t="str">
            <v>zINVALID FIN Approval - Internal</v>
          </cell>
          <cell r="D2816">
            <v>54</v>
          </cell>
          <cell r="E2816" t="str">
            <v>APPROVED</v>
          </cell>
          <cell r="F2816">
            <v>41176</v>
          </cell>
          <cell r="G2816">
            <v>41577</v>
          </cell>
          <cell r="H2816">
            <v>146834.32999999999</v>
          </cell>
          <cell r="I2816" t="str">
            <v>FIN Submission</v>
          </cell>
          <cell r="J2816">
            <v>41831</v>
          </cell>
        </row>
        <row r="2817">
          <cell r="A2817" t="str">
            <v>41327-D401</v>
          </cell>
          <cell r="B2817" t="str">
            <v>103W-311 Gold River Reconductor Ph2</v>
          </cell>
          <cell r="C2817" t="str">
            <v>zINVALID FIN Approval - Internal</v>
          </cell>
          <cell r="D2817">
            <v>55</v>
          </cell>
          <cell r="E2817" t="str">
            <v>APPROVED</v>
          </cell>
          <cell r="F2817">
            <v>41182</v>
          </cell>
          <cell r="G2817">
            <v>41608</v>
          </cell>
          <cell r="H2817">
            <v>217178.8</v>
          </cell>
          <cell r="I2817" t="str">
            <v>FIN Submission</v>
          </cell>
          <cell r="J2817">
            <v>41831</v>
          </cell>
        </row>
        <row r="2818">
          <cell r="A2818" t="str">
            <v>41328-D399</v>
          </cell>
          <cell r="B2818" t="str">
            <v>103W-312 Targeted Feeder Replacemen</v>
          </cell>
          <cell r="C2818" t="str">
            <v>zINVALID FIN Approval - Internal</v>
          </cell>
          <cell r="D2818">
            <v>55</v>
          </cell>
          <cell r="E2818" t="str">
            <v>APPROVED</v>
          </cell>
          <cell r="F2818">
            <v>41120</v>
          </cell>
          <cell r="G2818">
            <v>41273</v>
          </cell>
          <cell r="H2818">
            <v>75136.12</v>
          </cell>
          <cell r="I2818" t="str">
            <v>FIN Submission</v>
          </cell>
          <cell r="J2818">
            <v>41831</v>
          </cell>
        </row>
        <row r="2819">
          <cell r="A2819" t="str">
            <v>41338-D410</v>
          </cell>
          <cell r="B2819" t="str">
            <v>20H-301 Targeted Feeder Replacement</v>
          </cell>
          <cell r="C2819" t="str">
            <v>zINVALID FIN Approval - Internal</v>
          </cell>
          <cell r="D2819">
            <v>55</v>
          </cell>
          <cell r="E2819" t="str">
            <v>APPROVED</v>
          </cell>
          <cell r="F2819">
            <v>41151</v>
          </cell>
          <cell r="G2819">
            <v>41639</v>
          </cell>
          <cell r="H2819">
            <v>610418.81999999995</v>
          </cell>
          <cell r="I2819" t="str">
            <v>FIN Submission</v>
          </cell>
          <cell r="J2819">
            <v>41831</v>
          </cell>
        </row>
        <row r="2820">
          <cell r="A2820" t="str">
            <v>40965-S789</v>
          </cell>
          <cell r="B2820" t="str">
            <v>TRE5 (UU) 5E Conveyor Structural</v>
          </cell>
          <cell r="C2820" t="str">
            <v>zINVALID FIN Approval - Internal</v>
          </cell>
          <cell r="D2820">
            <v>55</v>
          </cell>
          <cell r="E2820" t="str">
            <v>APPROVED</v>
          </cell>
          <cell r="F2820">
            <v>40739</v>
          </cell>
          <cell r="G2820">
            <v>41532</v>
          </cell>
          <cell r="H2820">
            <v>246191.33</v>
          </cell>
          <cell r="I2820" t="str">
            <v>FIN Submission</v>
          </cell>
          <cell r="J2820">
            <v>41831</v>
          </cell>
        </row>
        <row r="2821">
          <cell r="A2821" t="str">
            <v>41334-D408</v>
          </cell>
          <cell r="B2821" t="str">
            <v>16N-301 Targeted Feeder Replacement</v>
          </cell>
          <cell r="C2821" t="str">
            <v>zINVALID FIN Approval - Internal</v>
          </cell>
          <cell r="D2821">
            <v>56</v>
          </cell>
          <cell r="E2821" t="str">
            <v>APPROVED</v>
          </cell>
          <cell r="F2821">
            <v>41151</v>
          </cell>
          <cell r="G2821">
            <v>41273</v>
          </cell>
          <cell r="H2821">
            <v>178591.03</v>
          </cell>
          <cell r="I2821" t="str">
            <v>FIN Submission</v>
          </cell>
          <cell r="J2821">
            <v>41831</v>
          </cell>
        </row>
        <row r="2822">
          <cell r="A2822" t="str">
            <v>41337-D409</v>
          </cell>
          <cell r="B2822" t="str">
            <v>1N-405 Targeted Feeder Replacement</v>
          </cell>
          <cell r="C2822" t="str">
            <v>zINVALID FIN Approval - Internal</v>
          </cell>
          <cell r="D2822">
            <v>56</v>
          </cell>
          <cell r="E2822" t="str">
            <v>APPROVED</v>
          </cell>
          <cell r="F2822">
            <v>41151</v>
          </cell>
          <cell r="G2822">
            <v>41273</v>
          </cell>
          <cell r="H2822">
            <v>184808</v>
          </cell>
          <cell r="I2822" t="str">
            <v>FIN Submission</v>
          </cell>
          <cell r="J2822">
            <v>41831</v>
          </cell>
        </row>
        <row r="2823">
          <cell r="A2823" t="str">
            <v>41428-P896</v>
          </cell>
          <cell r="B2823" t="str">
            <v xml:space="preserve">2012 RTU Capital Replacement </v>
          </cell>
          <cell r="C2823" t="str">
            <v>zINVALID FIN Approval - Internal</v>
          </cell>
          <cell r="D2823">
            <v>56</v>
          </cell>
          <cell r="E2823" t="str">
            <v>APPROVED</v>
          </cell>
          <cell r="F2823">
            <v>41262</v>
          </cell>
          <cell r="G2823">
            <v>41514</v>
          </cell>
          <cell r="H2823">
            <v>119268.07</v>
          </cell>
          <cell r="I2823" t="str">
            <v>FIN Submission</v>
          </cell>
          <cell r="J2823">
            <v>41831</v>
          </cell>
        </row>
        <row r="2824">
          <cell r="A2824" t="str">
            <v>41363-D471</v>
          </cell>
          <cell r="B2824" t="str">
            <v>88W New Feeder</v>
          </cell>
          <cell r="C2824" t="str">
            <v>zINVALID FIN Approval - Internal</v>
          </cell>
          <cell r="D2824">
            <v>56</v>
          </cell>
          <cell r="E2824" t="str">
            <v>APPROVED</v>
          </cell>
          <cell r="F2824">
            <v>41261</v>
          </cell>
          <cell r="G2824">
            <v>41453</v>
          </cell>
          <cell r="H2824">
            <v>103938.97</v>
          </cell>
          <cell r="I2824" t="str">
            <v>FIN Submission</v>
          </cell>
          <cell r="J2824">
            <v>41831</v>
          </cell>
        </row>
        <row r="2825">
          <cell r="A2825" t="str">
            <v>41353-D425</v>
          </cell>
          <cell r="B2825" t="str">
            <v>2012 Downline Recloser Additions</v>
          </cell>
          <cell r="C2825" t="str">
            <v>zINVALID FIN Approval - Internal</v>
          </cell>
          <cell r="D2825">
            <v>57</v>
          </cell>
          <cell r="E2825" t="str">
            <v>APPROVED</v>
          </cell>
          <cell r="F2825">
            <v>41261</v>
          </cell>
          <cell r="G2825">
            <v>41638</v>
          </cell>
          <cell r="H2825">
            <v>543663.85</v>
          </cell>
          <cell r="I2825" t="str">
            <v>FIN Submission</v>
          </cell>
          <cell r="J2825">
            <v>41831</v>
          </cell>
        </row>
        <row r="2826">
          <cell r="A2826" t="str">
            <v>41141-H656</v>
          </cell>
          <cell r="B2826" t="str">
            <v xml:space="preserve">HYD - Sissiboo Grand Lake Spillway </v>
          </cell>
          <cell r="C2826" t="str">
            <v>zINVALID FIN Approval - Internal</v>
          </cell>
          <cell r="D2826">
            <v>58</v>
          </cell>
          <cell r="E2826" t="str">
            <v>APPROVED</v>
          </cell>
          <cell r="F2826">
            <v>41197</v>
          </cell>
          <cell r="G2826">
            <v>41348</v>
          </cell>
          <cell r="H2826">
            <v>320375.56</v>
          </cell>
          <cell r="I2826" t="str">
            <v/>
          </cell>
          <cell r="J2826">
            <v>41831</v>
          </cell>
        </row>
        <row r="2827">
          <cell r="A2827" t="str">
            <v>41110-H616</v>
          </cell>
          <cell r="B2827" t="str">
            <v>U&amp;U Tidewater Pipeline Repairs</v>
          </cell>
          <cell r="C2827" t="str">
            <v>zINVALID FIN Approval - Internal</v>
          </cell>
          <cell r="D2827">
            <v>58</v>
          </cell>
          <cell r="E2827" t="str">
            <v>APPROVED</v>
          </cell>
          <cell r="F2827">
            <v>40841</v>
          </cell>
          <cell r="G2827">
            <v>40902</v>
          </cell>
          <cell r="H2827">
            <v>220186.66</v>
          </cell>
          <cell r="I2827" t="str">
            <v>FIN Submission</v>
          </cell>
          <cell r="J2827">
            <v>41831</v>
          </cell>
        </row>
        <row r="2828">
          <cell r="A2828" t="str">
            <v>40862-T696</v>
          </cell>
          <cell r="B2828" t="str">
            <v>101H-T61 Transformer Refurbishment</v>
          </cell>
          <cell r="C2828" t="str">
            <v>zINVALID FIN Approval - Internal</v>
          </cell>
          <cell r="D2828">
            <v>63</v>
          </cell>
          <cell r="E2828" t="str">
            <v>APPROVED</v>
          </cell>
          <cell r="F2828">
            <v>41151</v>
          </cell>
          <cell r="G2828">
            <v>41273</v>
          </cell>
          <cell r="H2828">
            <v>913124.52</v>
          </cell>
          <cell r="I2828" t="str">
            <v>FIN Submission</v>
          </cell>
          <cell r="J2828">
            <v>41831</v>
          </cell>
        </row>
        <row r="2829">
          <cell r="A2829" t="str">
            <v>40763-S753</v>
          </cell>
          <cell r="B2829" t="str">
            <v>LIN4 U&amp;U ESP Flow Mod</v>
          </cell>
          <cell r="C2829" t="str">
            <v>zINVALID FIN Approval - Internal</v>
          </cell>
          <cell r="D2829">
            <v>67</v>
          </cell>
          <cell r="E2829" t="str">
            <v>APPROVED</v>
          </cell>
          <cell r="F2829">
            <v>40739</v>
          </cell>
          <cell r="G2829">
            <v>41273</v>
          </cell>
          <cell r="H2829">
            <v>1477759.04</v>
          </cell>
          <cell r="I2829" t="str">
            <v>FIN Submission</v>
          </cell>
          <cell r="J2829">
            <v>41831</v>
          </cell>
        </row>
        <row r="2830">
          <cell r="A2830" t="str">
            <v>40337-S783</v>
          </cell>
          <cell r="B2830" t="str">
            <v>POT - Replace WTP and WWTP valves</v>
          </cell>
          <cell r="C2830" t="str">
            <v>zINVALID FIN Approval - Internal</v>
          </cell>
          <cell r="D2830">
            <v>67</v>
          </cell>
          <cell r="E2830" t="str">
            <v>APPROVED</v>
          </cell>
          <cell r="F2830">
            <v>41363</v>
          </cell>
          <cell r="G2830">
            <v>41578</v>
          </cell>
          <cell r="H2830">
            <v>111835.7</v>
          </cell>
          <cell r="I2830" t="str">
            <v>FIN Submission</v>
          </cell>
          <cell r="J2830">
            <v>41831</v>
          </cell>
        </row>
        <row r="2831">
          <cell r="A2831" t="str">
            <v>40333-S781</v>
          </cell>
          <cell r="B2831" t="str">
            <v>POT - Selective Reheater Replacemen</v>
          </cell>
          <cell r="C2831" t="str">
            <v>zINVALID FIN Approval - Internal</v>
          </cell>
          <cell r="D2831">
            <v>67</v>
          </cell>
          <cell r="E2831" t="str">
            <v>APPROVED</v>
          </cell>
          <cell r="F2831">
            <v>40757</v>
          </cell>
          <cell r="G2831">
            <v>41062</v>
          </cell>
          <cell r="H2831">
            <v>238114.99</v>
          </cell>
          <cell r="I2831" t="str">
            <v>FIN Submission</v>
          </cell>
          <cell r="J2831">
            <v>41831</v>
          </cell>
        </row>
        <row r="2832">
          <cell r="A2832" t="str">
            <v>40376-S806</v>
          </cell>
          <cell r="B2832" t="str">
            <v xml:space="preserve">Refurbish Dumper Car Locks </v>
          </cell>
          <cell r="C2832" t="str">
            <v>zINVALID FIN Approval - Internal</v>
          </cell>
          <cell r="D2832">
            <v>68</v>
          </cell>
          <cell r="E2832" t="str">
            <v>APPROVED</v>
          </cell>
          <cell r="F2832">
            <v>40949</v>
          </cell>
          <cell r="G2832">
            <v>41142</v>
          </cell>
          <cell r="H2832">
            <v>110440.27</v>
          </cell>
          <cell r="I2832" t="str">
            <v>FIN Submission</v>
          </cell>
          <cell r="J2832">
            <v>41831</v>
          </cell>
        </row>
        <row r="2833">
          <cell r="A2833" t="str">
            <v>40386-D383</v>
          </cell>
          <cell r="B2833" t="str">
            <v>Tusket Islands Phase 2</v>
          </cell>
          <cell r="C2833" t="str">
            <v>zINVALID FIN Approval - Internal</v>
          </cell>
          <cell r="D2833">
            <v>71</v>
          </cell>
          <cell r="E2833" t="str">
            <v>APPROVED</v>
          </cell>
          <cell r="F2833">
            <v>41261</v>
          </cell>
          <cell r="G2833">
            <v>41273</v>
          </cell>
          <cell r="H2833">
            <v>309017.43</v>
          </cell>
          <cell r="I2833" t="str">
            <v>FIN Submission</v>
          </cell>
          <cell r="J2833">
            <v>41831</v>
          </cell>
        </row>
        <row r="2834">
          <cell r="A2834" t="str">
            <v>40110-S833</v>
          </cell>
          <cell r="B2834" t="str">
            <v>TRE5 - (UU) Turbine LP Blade Repair</v>
          </cell>
          <cell r="C2834" t="str">
            <v>zINVALID FIN Approval - Internal</v>
          </cell>
          <cell r="D2834">
            <v>74</v>
          </cell>
          <cell r="E2834" t="str">
            <v>APPROVED</v>
          </cell>
          <cell r="F2834">
            <v>40739</v>
          </cell>
          <cell r="G2834">
            <v>40739</v>
          </cell>
          <cell r="H2834">
            <v>478948.58</v>
          </cell>
          <cell r="I2834" t="str">
            <v>FIN Submission</v>
          </cell>
          <cell r="J2834">
            <v>41831</v>
          </cell>
        </row>
        <row r="2835">
          <cell r="A2835" t="str">
            <v>39970-S756</v>
          </cell>
          <cell r="B2835" t="str">
            <v>TRE5 - 5-3 Pulverizer Refurbishment</v>
          </cell>
          <cell r="C2835" t="str">
            <v>zINVALID FIN Approval - Internal</v>
          </cell>
          <cell r="D2835">
            <v>75</v>
          </cell>
          <cell r="E2835" t="str">
            <v>APPROVED</v>
          </cell>
          <cell r="F2835">
            <v>40862</v>
          </cell>
          <cell r="G2835">
            <v>40954</v>
          </cell>
          <cell r="H2835">
            <v>134102.88</v>
          </cell>
          <cell r="I2835" t="str">
            <v>FIN Submission</v>
          </cell>
          <cell r="J2835">
            <v>41831</v>
          </cell>
        </row>
        <row r="2836">
          <cell r="A2836" t="str">
            <v>40315-H606</v>
          </cell>
          <cell r="B2836" t="str">
            <v>HYD - Connell's Dyke Refurbishment</v>
          </cell>
          <cell r="C2836" t="str">
            <v>zINVALID FIN Approval - Internal</v>
          </cell>
          <cell r="D2836">
            <v>76</v>
          </cell>
          <cell r="E2836" t="str">
            <v>APPROVED</v>
          </cell>
          <cell r="F2836">
            <v>41167</v>
          </cell>
          <cell r="G2836">
            <v>41297</v>
          </cell>
          <cell r="H2836">
            <v>134164.1</v>
          </cell>
          <cell r="I2836" t="str">
            <v>FIN Submission</v>
          </cell>
          <cell r="J2836">
            <v>41831</v>
          </cell>
        </row>
        <row r="2837">
          <cell r="A2837" t="str">
            <v>39936-S755</v>
          </cell>
          <cell r="B2837" t="str">
            <v>TRE5 - 5-2 Pulverizer Refurbishment</v>
          </cell>
          <cell r="C2837" t="str">
            <v>zINVALID FIN Approval - Internal</v>
          </cell>
          <cell r="D2837">
            <v>76</v>
          </cell>
          <cell r="E2837" t="str">
            <v>APPROVED</v>
          </cell>
          <cell r="F2837">
            <v>40831</v>
          </cell>
          <cell r="G2837">
            <v>40983</v>
          </cell>
          <cell r="H2837">
            <v>138283.97</v>
          </cell>
          <cell r="I2837" t="str">
            <v>FIN Submission</v>
          </cell>
          <cell r="J2837">
            <v>41831</v>
          </cell>
        </row>
        <row r="2838">
          <cell r="A2838" t="str">
            <v>40339-S764</v>
          </cell>
          <cell r="B2838" t="str">
            <v xml:space="preserve"> POT - Replace #5 HP heater bled st</v>
          </cell>
          <cell r="C2838" t="str">
            <v>zINVALID FIN Approval - Internal</v>
          </cell>
          <cell r="D2838">
            <v>77</v>
          </cell>
          <cell r="E2838" t="str">
            <v>APPROVED</v>
          </cell>
          <cell r="F2838">
            <v>40756</v>
          </cell>
          <cell r="G2838">
            <v>41000</v>
          </cell>
          <cell r="H2838">
            <v>55491.29</v>
          </cell>
          <cell r="I2838" t="str">
            <v>FIN Submission</v>
          </cell>
          <cell r="J2838">
            <v>41831</v>
          </cell>
        </row>
        <row r="2839">
          <cell r="A2839" t="str">
            <v>40220-D343</v>
          </cell>
          <cell r="B2839" t="str">
            <v>2011 Halifax U/G Cable Replacement</v>
          </cell>
          <cell r="C2839" t="str">
            <v>zINVALID FIN Approval - Internal</v>
          </cell>
          <cell r="D2839">
            <v>77</v>
          </cell>
          <cell r="E2839" t="str">
            <v>APPROVED</v>
          </cell>
          <cell r="F2839">
            <v>40907</v>
          </cell>
          <cell r="G2839">
            <v>41273</v>
          </cell>
          <cell r="H2839">
            <v>510439.85</v>
          </cell>
          <cell r="I2839" t="str">
            <v>FIN Submission</v>
          </cell>
          <cell r="J2839">
            <v>41831</v>
          </cell>
        </row>
        <row r="2840">
          <cell r="A2840" t="str">
            <v>39443-S649</v>
          </cell>
          <cell r="B2840" t="str">
            <v>LIN1-U&amp;U Turbine Fastener Replace</v>
          </cell>
          <cell r="C2840" t="str">
            <v>zINVALID FIN Approval - Internal</v>
          </cell>
          <cell r="D2840">
            <v>77</v>
          </cell>
          <cell r="E2840" t="str">
            <v>APPROVED</v>
          </cell>
          <cell r="F2840">
            <v>40481</v>
          </cell>
          <cell r="G2840">
            <v>40634</v>
          </cell>
          <cell r="H2840">
            <v>834152.71</v>
          </cell>
          <cell r="I2840" t="str">
            <v>FIN Submission</v>
          </cell>
          <cell r="J2840">
            <v>41831</v>
          </cell>
        </row>
        <row r="2841">
          <cell r="A2841" t="str">
            <v>40381-S695</v>
          </cell>
          <cell r="B2841" t="str">
            <v>POA - Chemical Line Upgrades</v>
          </cell>
          <cell r="C2841" t="str">
            <v>zINVALID FIN Approval - Internal</v>
          </cell>
          <cell r="D2841">
            <v>77</v>
          </cell>
          <cell r="E2841" t="str">
            <v>APPROVED</v>
          </cell>
          <cell r="F2841">
            <v>40755</v>
          </cell>
          <cell r="G2841">
            <v>41090</v>
          </cell>
          <cell r="H2841">
            <v>211169.78</v>
          </cell>
          <cell r="I2841" t="str">
            <v>FIN Submission</v>
          </cell>
          <cell r="J2841">
            <v>41831</v>
          </cell>
        </row>
        <row r="2842">
          <cell r="A2842" t="str">
            <v>40406-S794</v>
          </cell>
          <cell r="B2842" t="str">
            <v>POA - L-0 LP Turbine Blade Repl.</v>
          </cell>
          <cell r="C2842" t="str">
            <v>zINVALID FIN Approval - Internal</v>
          </cell>
          <cell r="D2842">
            <v>77</v>
          </cell>
          <cell r="E2842" t="str">
            <v>APPROVED</v>
          </cell>
          <cell r="F2842">
            <v>41060</v>
          </cell>
          <cell r="G2842">
            <v>41182</v>
          </cell>
          <cell r="H2842">
            <v>4168226.99</v>
          </cell>
          <cell r="I2842" t="str">
            <v>FIN Submission</v>
          </cell>
          <cell r="J2842">
            <v>41831</v>
          </cell>
        </row>
        <row r="2843">
          <cell r="A2843" t="str">
            <v>40408-S688</v>
          </cell>
          <cell r="B2843" t="str">
            <v>POA- Ion Chromatographic Meter Repl</v>
          </cell>
          <cell r="C2843" t="str">
            <v>zINVALID FIN Approval - Internal</v>
          </cell>
          <cell r="D2843">
            <v>77</v>
          </cell>
          <cell r="E2843" t="str">
            <v>APPROVED</v>
          </cell>
          <cell r="F2843">
            <v>40651</v>
          </cell>
          <cell r="G2843">
            <v>40834</v>
          </cell>
          <cell r="H2843">
            <v>88696.83</v>
          </cell>
          <cell r="I2843" t="str">
            <v>FIN Submission</v>
          </cell>
          <cell r="J2843">
            <v>41831</v>
          </cell>
        </row>
        <row r="2844">
          <cell r="A2844" t="str">
            <v>40369-S736</v>
          </cell>
          <cell r="B2844" t="str">
            <v>POA-HP Blower Program</v>
          </cell>
          <cell r="C2844" t="str">
            <v>zINVALID FIN Approval - Internal</v>
          </cell>
          <cell r="D2844">
            <v>77</v>
          </cell>
          <cell r="E2844" t="str">
            <v>APPROVED</v>
          </cell>
          <cell r="F2844">
            <v>40828</v>
          </cell>
          <cell r="G2844">
            <v>41273</v>
          </cell>
          <cell r="H2844">
            <v>58221.72</v>
          </cell>
          <cell r="I2844" t="str">
            <v>FIN Submission</v>
          </cell>
          <cell r="J2844">
            <v>41831</v>
          </cell>
        </row>
        <row r="2845">
          <cell r="A2845" t="str">
            <v>40331-S708</v>
          </cell>
          <cell r="B2845" t="str">
            <v>POT - Asbestos Abatement Program 20</v>
          </cell>
          <cell r="C2845" t="str">
            <v>zINVALID FIN Approval - Internal</v>
          </cell>
          <cell r="D2845">
            <v>77</v>
          </cell>
          <cell r="E2845" t="str">
            <v>APPROVED</v>
          </cell>
          <cell r="F2845">
            <v>40818</v>
          </cell>
          <cell r="G2845">
            <v>40879</v>
          </cell>
          <cell r="H2845">
            <v>178911.18</v>
          </cell>
          <cell r="I2845" t="str">
            <v>FIN Submission</v>
          </cell>
          <cell r="J2845">
            <v>41831</v>
          </cell>
        </row>
        <row r="2846">
          <cell r="A2846" t="str">
            <v>39663-S680</v>
          </cell>
          <cell r="B2846" t="str">
            <v>TRE5 - (UU) Turbine Governor Refurb</v>
          </cell>
          <cell r="C2846" t="str">
            <v>zINVALID FIN Approval - Internal</v>
          </cell>
          <cell r="D2846">
            <v>77</v>
          </cell>
          <cell r="E2846" t="str">
            <v>APPROVED</v>
          </cell>
          <cell r="F2846">
            <v>40573</v>
          </cell>
          <cell r="G2846">
            <v>41136</v>
          </cell>
          <cell r="H2846">
            <v>595688.29</v>
          </cell>
          <cell r="I2846" t="str">
            <v>FIN Submission</v>
          </cell>
          <cell r="J2846">
            <v>41831</v>
          </cell>
        </row>
        <row r="2847">
          <cell r="A2847" t="str">
            <v>40211-D348</v>
          </cell>
          <cell r="B2847" t="str">
            <v>2011 3H/6H Replacement Program</v>
          </cell>
          <cell r="C2847" t="str">
            <v>zINVALID FIN Approval - Internal</v>
          </cell>
          <cell r="D2847">
            <v>78</v>
          </cell>
          <cell r="E2847" t="str">
            <v>APPROVED</v>
          </cell>
          <cell r="F2847">
            <v>41182</v>
          </cell>
          <cell r="G2847">
            <v>41363</v>
          </cell>
          <cell r="H2847">
            <v>339521.89</v>
          </cell>
          <cell r="I2847" t="str">
            <v>FIN Submission</v>
          </cell>
          <cell r="J2847">
            <v>41831</v>
          </cell>
        </row>
        <row r="2848">
          <cell r="A2848" t="str">
            <v>40306-H605</v>
          </cell>
          <cell r="B2848" t="str">
            <v xml:space="preserve">HYD - Replacement Front End Loader </v>
          </cell>
          <cell r="C2848" t="str">
            <v>zINVALID FIN Approval - Internal</v>
          </cell>
          <cell r="D2848">
            <v>78</v>
          </cell>
          <cell r="E2848" t="str">
            <v>APPROVED</v>
          </cell>
          <cell r="F2848">
            <v>40786</v>
          </cell>
          <cell r="G2848">
            <v>40816</v>
          </cell>
          <cell r="H2848">
            <v>159709.35</v>
          </cell>
          <cell r="I2848" t="str">
            <v>FIN Submission</v>
          </cell>
          <cell r="J2848">
            <v>41831</v>
          </cell>
        </row>
        <row r="2849">
          <cell r="A2849" t="str">
            <v>40341-S766</v>
          </cell>
          <cell r="B2849" t="str">
            <v>POT - Refurbish SSC heat exchangers</v>
          </cell>
          <cell r="C2849" t="str">
            <v>zINVALID FIN Approval - Internal</v>
          </cell>
          <cell r="D2849">
            <v>78</v>
          </cell>
          <cell r="E2849" t="str">
            <v>APPROVED</v>
          </cell>
          <cell r="F2849">
            <v>40787</v>
          </cell>
          <cell r="G2849">
            <v>41030</v>
          </cell>
          <cell r="H2849">
            <v>61704.27</v>
          </cell>
          <cell r="I2849" t="str">
            <v>FIN Submission</v>
          </cell>
          <cell r="J2849">
            <v>41831</v>
          </cell>
        </row>
        <row r="2850">
          <cell r="A2850" t="str">
            <v>40342-S768</v>
          </cell>
          <cell r="B2850" t="str">
            <v>POT - Refurbish Unit 2 precipitator</v>
          </cell>
          <cell r="C2850" t="str">
            <v>zINVALID FIN Approval - Internal</v>
          </cell>
          <cell r="D2850">
            <v>78</v>
          </cell>
          <cell r="E2850" t="str">
            <v>APPROVED</v>
          </cell>
          <cell r="F2850">
            <v>40756</v>
          </cell>
          <cell r="G2850">
            <v>41030</v>
          </cell>
          <cell r="H2850">
            <v>128779.87</v>
          </cell>
          <cell r="I2850" t="str">
            <v>FIN Submission</v>
          </cell>
          <cell r="J2850">
            <v>41831</v>
          </cell>
        </row>
        <row r="2851">
          <cell r="A2851" t="str">
            <v>40336-S685</v>
          </cell>
          <cell r="B2851" t="str">
            <v>POT - Replace Ion Chromoto instrume</v>
          </cell>
          <cell r="C2851" t="str">
            <v>zINVALID FIN Approval - Internal</v>
          </cell>
          <cell r="D2851">
            <v>78</v>
          </cell>
          <cell r="E2851" t="str">
            <v>APPROVED</v>
          </cell>
          <cell r="F2851">
            <v>40696</v>
          </cell>
          <cell r="G2851">
            <v>40941</v>
          </cell>
          <cell r="H2851">
            <v>76806.509999999995</v>
          </cell>
          <cell r="I2851" t="str">
            <v>FIN Submission</v>
          </cell>
          <cell r="J2851">
            <v>41831</v>
          </cell>
        </row>
        <row r="2852">
          <cell r="A2852" t="str">
            <v>40324-S707</v>
          </cell>
          <cell r="B2852" t="str">
            <v>POT Refurbish boiler bottom ash sea</v>
          </cell>
          <cell r="C2852" t="str">
            <v>zINVALID FIN Approval - Internal</v>
          </cell>
          <cell r="D2852">
            <v>78</v>
          </cell>
          <cell r="E2852" t="str">
            <v>APPROVED</v>
          </cell>
          <cell r="F2852">
            <v>40786</v>
          </cell>
          <cell r="G2852">
            <v>40878</v>
          </cell>
          <cell r="H2852">
            <v>283257.68</v>
          </cell>
          <cell r="I2852" t="str">
            <v>FIN Submission</v>
          </cell>
          <cell r="J2852">
            <v>41831</v>
          </cell>
        </row>
        <row r="2853">
          <cell r="A2853" t="str">
            <v>39602-S717</v>
          </cell>
          <cell r="B2853" t="str">
            <v>TRE6 - (UU) Boiler Superheater/Rehe</v>
          </cell>
          <cell r="C2853" t="str">
            <v>zINVALID FIN Approval - Internal</v>
          </cell>
          <cell r="D2853">
            <v>78</v>
          </cell>
          <cell r="E2853" t="str">
            <v>APPROVED</v>
          </cell>
          <cell r="F2853">
            <v>40451</v>
          </cell>
          <cell r="G2853">
            <v>40648</v>
          </cell>
          <cell r="H2853">
            <v>614896.06000000006</v>
          </cell>
          <cell r="I2853" t="str">
            <v>FIN Submission</v>
          </cell>
          <cell r="J2853">
            <v>41831</v>
          </cell>
        </row>
        <row r="2854">
          <cell r="A2854" t="str">
            <v>40332-S709</v>
          </cell>
          <cell r="B2854" t="str">
            <v>POT - Selective superheater replace</v>
          </cell>
          <cell r="C2854" t="str">
            <v>zINVALID FIN Approval - Internal</v>
          </cell>
          <cell r="D2854">
            <v>79</v>
          </cell>
          <cell r="E2854" t="str">
            <v>APPROVED</v>
          </cell>
          <cell r="F2854">
            <v>40757</v>
          </cell>
          <cell r="G2854">
            <v>40941</v>
          </cell>
          <cell r="H2854">
            <v>461865.09</v>
          </cell>
          <cell r="I2854" t="str">
            <v>FIN Submission</v>
          </cell>
          <cell r="J2854">
            <v>41831</v>
          </cell>
        </row>
        <row r="2855">
          <cell r="A2855" t="str">
            <v>39471-S662</v>
          </cell>
          <cell r="B2855" t="str">
            <v>TRE6 - (U&amp;U) PA Damper Replacements</v>
          </cell>
          <cell r="C2855" t="str">
            <v>zINVALID FIN Approval - Internal</v>
          </cell>
          <cell r="D2855">
            <v>81</v>
          </cell>
          <cell r="E2855" t="str">
            <v>APPROVED</v>
          </cell>
          <cell r="F2855">
            <v>40313</v>
          </cell>
          <cell r="G2855">
            <v>40589</v>
          </cell>
          <cell r="H2855">
            <v>519004.56</v>
          </cell>
          <cell r="I2855" t="str">
            <v>FIN Submission</v>
          </cell>
          <cell r="J2855">
            <v>41831</v>
          </cell>
        </row>
        <row r="2856">
          <cell r="A2856" t="str">
            <v>38882-S553</v>
          </cell>
          <cell r="B2856" t="str">
            <v>TRE - Water Treatment Plant</v>
          </cell>
          <cell r="C2856" t="str">
            <v>zINVALID FIN Approval - Internal</v>
          </cell>
          <cell r="D2856">
            <v>93</v>
          </cell>
          <cell r="E2856" t="str">
            <v>APPROVED</v>
          </cell>
          <cell r="F2856">
            <v>40756</v>
          </cell>
          <cell r="G2856">
            <v>41258</v>
          </cell>
          <cell r="H2856">
            <v>116844.56</v>
          </cell>
          <cell r="I2856" t="str">
            <v>FIN Submission</v>
          </cell>
          <cell r="J2856">
            <v>41831</v>
          </cell>
        </row>
        <row r="2857">
          <cell r="A2857" t="str">
            <v>38844-S568</v>
          </cell>
          <cell r="B2857" t="str">
            <v xml:space="preserve">TRE5 - CW Pump House Structural </v>
          </cell>
          <cell r="C2857" t="str">
            <v>zINVALID FIN Approval - Internal</v>
          </cell>
          <cell r="D2857">
            <v>93</v>
          </cell>
          <cell r="E2857" t="str">
            <v>APPROVED</v>
          </cell>
          <cell r="F2857">
            <v>40617</v>
          </cell>
          <cell r="G2857">
            <v>40862</v>
          </cell>
          <cell r="H2857">
            <v>197189.08</v>
          </cell>
          <cell r="I2857" t="str">
            <v>FIN Submission</v>
          </cell>
          <cell r="J2857">
            <v>41831</v>
          </cell>
        </row>
        <row r="2858">
          <cell r="A2858" t="str">
            <v>38731-S628</v>
          </cell>
          <cell r="B2858" t="str">
            <v>TRE5 - High Pressure Piping Upgrade</v>
          </cell>
          <cell r="C2858" t="str">
            <v>zINVALID FIN Approval - Internal</v>
          </cell>
          <cell r="D2858">
            <v>95</v>
          </cell>
          <cell r="E2858" t="str">
            <v>APPROVED</v>
          </cell>
          <cell r="F2858">
            <v>40439</v>
          </cell>
          <cell r="G2858">
            <v>41532</v>
          </cell>
          <cell r="H2858">
            <v>119672.32000000001</v>
          </cell>
          <cell r="I2858" t="str">
            <v>FIN Submission</v>
          </cell>
          <cell r="J2858">
            <v>41831</v>
          </cell>
        </row>
        <row r="2859">
          <cell r="A2859" t="str">
            <v>37622-S531</v>
          </cell>
          <cell r="B2859" t="str">
            <v>TRE - Facilities Improvement</v>
          </cell>
          <cell r="C2859" t="str">
            <v>zINVALID FIN Approval - Internal</v>
          </cell>
          <cell r="D2859">
            <v>97</v>
          </cell>
          <cell r="E2859" t="str">
            <v>APPROVED</v>
          </cell>
          <cell r="F2859">
            <v>40512</v>
          </cell>
          <cell r="G2859">
            <v>40770</v>
          </cell>
          <cell r="H2859">
            <v>475517.48</v>
          </cell>
          <cell r="I2859" t="str">
            <v>FIN Submission</v>
          </cell>
          <cell r="J2859">
            <v>41831</v>
          </cell>
        </row>
        <row r="2860">
          <cell r="A2860" t="str">
            <v>38724-S716</v>
          </cell>
          <cell r="B2860" t="str">
            <v>TRE5 - Superheater, Reheater and Bo</v>
          </cell>
          <cell r="C2860" t="str">
            <v>zINVALID FIN Approval - Internal</v>
          </cell>
          <cell r="D2860">
            <v>100</v>
          </cell>
          <cell r="E2860" t="str">
            <v>APPROVED</v>
          </cell>
          <cell r="F2860">
            <v>40436</v>
          </cell>
          <cell r="G2860">
            <v>41623</v>
          </cell>
          <cell r="H2860">
            <v>795123.82</v>
          </cell>
          <cell r="I2860" t="str">
            <v>FIN Submission</v>
          </cell>
          <cell r="J2860">
            <v>41831</v>
          </cell>
        </row>
        <row r="2861">
          <cell r="A2861" t="str">
            <v>37522-S715</v>
          </cell>
          <cell r="B2861" t="str">
            <v>POA 1A Conveyor Belt Replacement</v>
          </cell>
          <cell r="C2861" t="str">
            <v>zINVALID FIN Approval - Internal</v>
          </cell>
          <cell r="D2861">
            <v>103</v>
          </cell>
          <cell r="E2861" t="str">
            <v>APPROVED</v>
          </cell>
          <cell r="F2861">
            <v>40694</v>
          </cell>
          <cell r="G2861">
            <v>40999</v>
          </cell>
          <cell r="H2861">
            <v>74510.820000000007</v>
          </cell>
          <cell r="I2861" t="str">
            <v>FIN Submission</v>
          </cell>
          <cell r="J2861">
            <v>41831</v>
          </cell>
        </row>
        <row r="2862">
          <cell r="A2862" t="str">
            <v>44406-SB86</v>
          </cell>
          <cell r="B2862" t="str">
            <v>LIN1 UU Bottom Ash Refurbishment</v>
          </cell>
          <cell r="C2862" t="str">
            <v>zINVALID FIN Approval - Internal</v>
          </cell>
          <cell r="D2862">
            <v>13</v>
          </cell>
          <cell r="E2862" t="str">
            <v>APPROVED</v>
          </cell>
          <cell r="F2862">
            <v>41394</v>
          </cell>
          <cell r="G2862">
            <v>41547</v>
          </cell>
          <cell r="H2862">
            <v>96495.53</v>
          </cell>
          <cell r="I2862" t="str">
            <v>FIN Submission</v>
          </cell>
          <cell r="J2862">
            <v>41830</v>
          </cell>
        </row>
        <row r="2863">
          <cell r="A2863" t="str">
            <v>44387-SB82</v>
          </cell>
          <cell r="B2863" t="str">
            <v>LIN1- UU Burner Front Refurbishment</v>
          </cell>
          <cell r="C2863" t="str">
            <v>zINVALID FIN Approval - Internal</v>
          </cell>
          <cell r="D2863">
            <v>13</v>
          </cell>
          <cell r="E2863" t="str">
            <v>APPROVED</v>
          </cell>
          <cell r="F2863">
            <v>41424</v>
          </cell>
          <cell r="G2863">
            <v>41455</v>
          </cell>
          <cell r="H2863">
            <v>202748</v>
          </cell>
          <cell r="I2863" t="str">
            <v>FIN Submission</v>
          </cell>
          <cell r="J2863">
            <v>41830</v>
          </cell>
        </row>
        <row r="2864">
          <cell r="A2864" t="str">
            <v>44192-D488</v>
          </cell>
          <cell r="B2864" t="str">
            <v>103W-311G Indian Point Rd 3 Ph Conv</v>
          </cell>
          <cell r="C2864" t="str">
            <v>FIN Approval - Internal</v>
          </cell>
          <cell r="D2864">
            <v>17</v>
          </cell>
          <cell r="E2864" t="str">
            <v>APPROVED</v>
          </cell>
          <cell r="F2864">
            <v>41455</v>
          </cell>
          <cell r="G2864">
            <v>41670</v>
          </cell>
          <cell r="H2864">
            <v>119568.8</v>
          </cell>
          <cell r="I2864" t="str">
            <v>FIN Submission</v>
          </cell>
          <cell r="J2864">
            <v>41830</v>
          </cell>
        </row>
        <row r="2865">
          <cell r="A2865" t="str">
            <v>44052-D481</v>
          </cell>
          <cell r="B2865" t="str">
            <v>1N-404 Back Road Deteriorated Poles</v>
          </cell>
          <cell r="C2865" t="str">
            <v>FIN Approval - Internal</v>
          </cell>
          <cell r="D2865">
            <v>19</v>
          </cell>
          <cell r="E2865" t="str">
            <v>APPROVED</v>
          </cell>
          <cell r="F2865">
            <v>41422</v>
          </cell>
          <cell r="G2865">
            <v>41670</v>
          </cell>
          <cell r="H2865">
            <v>43745.11</v>
          </cell>
          <cell r="I2865" t="str">
            <v>FIN Submission</v>
          </cell>
          <cell r="J2865">
            <v>41830</v>
          </cell>
        </row>
        <row r="2866">
          <cell r="A2866" t="str">
            <v>43849-H672</v>
          </cell>
          <cell r="B2866" t="str">
            <v>HYD - WRC #2 Rotor Repairs U&amp;U</v>
          </cell>
          <cell r="C2866" t="str">
            <v>zINVALID FIN Approval - Internal</v>
          </cell>
          <cell r="D2866">
            <v>19</v>
          </cell>
          <cell r="E2866" t="str">
            <v>APPROVED</v>
          </cell>
          <cell r="F2866">
            <v>41212</v>
          </cell>
          <cell r="G2866">
            <v>41289</v>
          </cell>
          <cell r="H2866">
            <v>249869.64</v>
          </cell>
          <cell r="I2866" t="str">
            <v>FIN Submission</v>
          </cell>
          <cell r="J2866">
            <v>41830</v>
          </cell>
        </row>
        <row r="2867">
          <cell r="A2867" t="str">
            <v>43848-H678</v>
          </cell>
          <cell r="B2867" t="str">
            <v>HYD - WRC D4 Riparian Valve U&amp;U</v>
          </cell>
          <cell r="C2867" t="str">
            <v>zINVALID FIN Approval - Internal</v>
          </cell>
          <cell r="D2867">
            <v>19</v>
          </cell>
          <cell r="E2867" t="str">
            <v>APPROVED</v>
          </cell>
          <cell r="F2867">
            <v>41243</v>
          </cell>
          <cell r="G2867">
            <v>41409</v>
          </cell>
          <cell r="H2867">
            <v>212514.08</v>
          </cell>
          <cell r="I2867" t="str">
            <v>FIN Submission</v>
          </cell>
          <cell r="J2867">
            <v>41830</v>
          </cell>
        </row>
        <row r="2868">
          <cell r="A2868" t="str">
            <v>43866-SB20</v>
          </cell>
          <cell r="B2868" t="str">
            <v>LIN4 - U&amp;U - Bottom Ash Refurbish</v>
          </cell>
          <cell r="C2868" t="str">
            <v>zINVALID FIN Approval - Internal</v>
          </cell>
          <cell r="D2868">
            <v>20</v>
          </cell>
          <cell r="E2868" t="str">
            <v>APPROVED</v>
          </cell>
          <cell r="F2868">
            <v>41229</v>
          </cell>
          <cell r="G2868">
            <v>41362</v>
          </cell>
          <cell r="H2868">
            <v>94176.5</v>
          </cell>
          <cell r="I2868" t="str">
            <v>FIN Submission</v>
          </cell>
          <cell r="J2868">
            <v>41830</v>
          </cell>
        </row>
        <row r="2869">
          <cell r="A2869" t="str">
            <v>43673-SA98</v>
          </cell>
          <cell r="B2869" t="str">
            <v>TRE5 UU Air Heater Refurbishments</v>
          </cell>
          <cell r="C2869" t="str">
            <v>zINVALID FIN Approval - Internal</v>
          </cell>
          <cell r="D2869">
            <v>21</v>
          </cell>
          <cell r="E2869" t="str">
            <v>APPROVED</v>
          </cell>
          <cell r="F2869">
            <v>41197</v>
          </cell>
          <cell r="G2869">
            <v>41532</v>
          </cell>
          <cell r="H2869">
            <v>171790.59</v>
          </cell>
          <cell r="I2869" t="str">
            <v>FIN Submission</v>
          </cell>
          <cell r="J2869">
            <v>41830</v>
          </cell>
        </row>
        <row r="2870">
          <cell r="A2870" t="str">
            <v>43706-SB03</v>
          </cell>
          <cell r="B2870" t="str">
            <v>POT - UU East CW pump motor rewind</v>
          </cell>
          <cell r="C2870" t="str">
            <v>zINVALID FIN Approval - Internal</v>
          </cell>
          <cell r="D2870">
            <v>22</v>
          </cell>
          <cell r="E2870" t="str">
            <v>APPROVED</v>
          </cell>
          <cell r="F2870">
            <v>41182</v>
          </cell>
          <cell r="G2870">
            <v>41365</v>
          </cell>
          <cell r="H2870">
            <v>67308.960000000006</v>
          </cell>
          <cell r="I2870" t="str">
            <v>FIN Submission</v>
          </cell>
          <cell r="J2870">
            <v>41830</v>
          </cell>
        </row>
        <row r="2871">
          <cell r="A2871" t="str">
            <v>43707-SB04</v>
          </cell>
          <cell r="B2871" t="str">
            <v>POT - UU ID fan motor refurbishment</v>
          </cell>
          <cell r="C2871" t="str">
            <v>zINVALID FIN Approval - Internal</v>
          </cell>
          <cell r="D2871">
            <v>22</v>
          </cell>
          <cell r="E2871" t="str">
            <v>APPROVED</v>
          </cell>
          <cell r="F2871">
            <v>41180</v>
          </cell>
          <cell r="G2871">
            <v>41365</v>
          </cell>
          <cell r="H2871">
            <v>104942.24</v>
          </cell>
          <cell r="I2871" t="str">
            <v>FIN Submission</v>
          </cell>
          <cell r="J2871">
            <v>41830</v>
          </cell>
        </row>
        <row r="2872">
          <cell r="A2872" t="str">
            <v>43670-SB11</v>
          </cell>
          <cell r="B2872" t="str">
            <v>POA - U&amp;U Coal Cracker Replacement</v>
          </cell>
          <cell r="C2872" t="str">
            <v>zINVALID FIN Approval - Internal</v>
          </cell>
          <cell r="D2872">
            <v>24</v>
          </cell>
          <cell r="E2872" t="str">
            <v>APPROVED</v>
          </cell>
          <cell r="F2872">
            <v>41274</v>
          </cell>
          <cell r="G2872">
            <v>41274</v>
          </cell>
          <cell r="H2872">
            <v>78944.259999999995</v>
          </cell>
          <cell r="I2872" t="str">
            <v>FIN Submission</v>
          </cell>
          <cell r="J2872">
            <v>41830</v>
          </cell>
        </row>
        <row r="2873">
          <cell r="A2873" t="str">
            <v>43671-SB22</v>
          </cell>
          <cell r="B2873" t="str">
            <v>POA - U&amp;U Economizer Tube Bend Repl</v>
          </cell>
          <cell r="C2873" t="str">
            <v>zINVALID FIN Approval - Internal</v>
          </cell>
          <cell r="D2873">
            <v>24</v>
          </cell>
          <cell r="E2873" t="str">
            <v>APPROVED</v>
          </cell>
          <cell r="F2873">
            <v>41274</v>
          </cell>
          <cell r="G2873">
            <v>41304</v>
          </cell>
          <cell r="H2873">
            <v>347971.92</v>
          </cell>
          <cell r="I2873" t="str">
            <v>FIN Submission</v>
          </cell>
          <cell r="J2873">
            <v>41830</v>
          </cell>
        </row>
        <row r="2874">
          <cell r="A2874" t="str">
            <v>43669-SB10</v>
          </cell>
          <cell r="B2874" t="str">
            <v>POA - U&amp;U Limestone Piping Replac</v>
          </cell>
          <cell r="C2874" t="str">
            <v>zINVALID FIN Approval - Internal</v>
          </cell>
          <cell r="D2874">
            <v>24</v>
          </cell>
          <cell r="E2874" t="str">
            <v>APPROVED</v>
          </cell>
          <cell r="F2874">
            <v>41187</v>
          </cell>
          <cell r="G2874">
            <v>41274</v>
          </cell>
          <cell r="H2874">
            <v>55400.53</v>
          </cell>
          <cell r="I2874" t="str">
            <v>FIN Submission</v>
          </cell>
          <cell r="J2874">
            <v>41830</v>
          </cell>
        </row>
        <row r="2875">
          <cell r="A2875" t="str">
            <v>36282-S491</v>
          </cell>
          <cell r="B2875" t="str">
            <v>LIN3 - U&amp;U- LTSH1 Bend Replacements</v>
          </cell>
          <cell r="C2875" t="str">
            <v>zINVALID FIN Approval - Internal</v>
          </cell>
          <cell r="D2875">
            <v>79</v>
          </cell>
          <cell r="E2875" t="str">
            <v>APPROVED</v>
          </cell>
          <cell r="F2875">
            <v>40025</v>
          </cell>
          <cell r="G2875">
            <v>40482</v>
          </cell>
          <cell r="H2875">
            <v>529694.73</v>
          </cell>
          <cell r="I2875" t="str">
            <v>FIN Submission</v>
          </cell>
          <cell r="J2875">
            <v>41830</v>
          </cell>
        </row>
        <row r="2876">
          <cell r="A2876" t="str">
            <v>36302-S482</v>
          </cell>
          <cell r="B2876" t="str">
            <v>LIN2 - U&amp;U Generator Cond. Monitor</v>
          </cell>
          <cell r="C2876" t="str">
            <v>zINVALID FIN Approval - Internal</v>
          </cell>
          <cell r="D2876">
            <v>96</v>
          </cell>
          <cell r="E2876" t="str">
            <v>APPROVED</v>
          </cell>
          <cell r="F2876">
            <v>40148</v>
          </cell>
          <cell r="G2876">
            <v>40481</v>
          </cell>
          <cell r="H2876">
            <v>125271.37</v>
          </cell>
          <cell r="I2876" t="str">
            <v>FIN Submission</v>
          </cell>
          <cell r="J2876">
            <v>41830</v>
          </cell>
        </row>
        <row r="2877">
          <cell r="A2877" t="str">
            <v>34442-S492</v>
          </cell>
          <cell r="B2877" t="str">
            <v>LIN1 - U&amp;U Re-Heat Bend Replacement</v>
          </cell>
          <cell r="C2877" t="str">
            <v>zINVALID FIN Approval - Internal</v>
          </cell>
          <cell r="D2877">
            <v>101</v>
          </cell>
          <cell r="E2877" t="str">
            <v>APPROVED</v>
          </cell>
          <cell r="F2877">
            <v>40206</v>
          </cell>
          <cell r="G2877">
            <v>40449</v>
          </cell>
          <cell r="H2877">
            <v>492890.39</v>
          </cell>
          <cell r="I2877" t="str">
            <v>FIN Submission</v>
          </cell>
          <cell r="J2877">
            <v>41830</v>
          </cell>
        </row>
        <row r="2878">
          <cell r="A2878" t="str">
            <v>36566-S689</v>
          </cell>
          <cell r="B2878" t="str">
            <v>POA PA Positioner Upgrade</v>
          </cell>
          <cell r="C2878" t="str">
            <v>zINVALID FIN Approval - Internal</v>
          </cell>
          <cell r="D2878">
            <v>105</v>
          </cell>
          <cell r="E2878" t="str">
            <v>APPROVED</v>
          </cell>
          <cell r="F2878">
            <v>40847</v>
          </cell>
          <cell r="G2878">
            <v>40907</v>
          </cell>
          <cell r="H2878">
            <v>109338.28</v>
          </cell>
          <cell r="I2878" t="str">
            <v>FIN Submission</v>
          </cell>
          <cell r="J2878">
            <v>41830</v>
          </cell>
        </row>
        <row r="2879">
          <cell r="A2879" t="str">
            <v>33382-S479</v>
          </cell>
          <cell r="B2879" t="str">
            <v>LIN Feed Water Valve Replacement</v>
          </cell>
          <cell r="C2879" t="str">
            <v>zINVALID FIN Approval - Internal</v>
          </cell>
          <cell r="D2879">
            <v>106</v>
          </cell>
          <cell r="E2879" t="str">
            <v>APPROVED</v>
          </cell>
          <cell r="F2879">
            <v>40389</v>
          </cell>
          <cell r="G2879">
            <v>40573</v>
          </cell>
          <cell r="H2879">
            <v>202096.63</v>
          </cell>
          <cell r="I2879" t="str">
            <v>FIN Submission</v>
          </cell>
          <cell r="J2879">
            <v>41830</v>
          </cell>
        </row>
        <row r="2880">
          <cell r="A2880" t="str">
            <v>34507-S607</v>
          </cell>
          <cell r="B2880" t="str">
            <v>TRE5 - 5D Belt Replacement</v>
          </cell>
          <cell r="C2880" t="str">
            <v>zINVALID FIN Approval - Internal</v>
          </cell>
          <cell r="D2880">
            <v>106</v>
          </cell>
          <cell r="E2880" t="str">
            <v>APPROVED</v>
          </cell>
          <cell r="F2880">
            <v>40482</v>
          </cell>
          <cell r="G2880">
            <v>40617</v>
          </cell>
          <cell r="H2880">
            <v>113172.46</v>
          </cell>
          <cell r="I2880" t="str">
            <v>FIN Submission</v>
          </cell>
          <cell r="J2880">
            <v>41830</v>
          </cell>
        </row>
        <row r="2881">
          <cell r="A2881" t="str">
            <v>32504-S601</v>
          </cell>
          <cell r="B2881" t="str">
            <v>LIN- Control Room HVAC Upgrades</v>
          </cell>
          <cell r="C2881" t="str">
            <v>zINVALID FIN Approval - Internal</v>
          </cell>
          <cell r="D2881">
            <v>107</v>
          </cell>
          <cell r="E2881" t="str">
            <v>APPROVED</v>
          </cell>
          <cell r="F2881">
            <v>40542</v>
          </cell>
          <cell r="G2881">
            <v>40663</v>
          </cell>
          <cell r="H2881">
            <v>202421.37</v>
          </cell>
          <cell r="I2881" t="str">
            <v>FIN Submission</v>
          </cell>
          <cell r="J2881">
            <v>41830</v>
          </cell>
        </row>
        <row r="2882">
          <cell r="A2882" t="str">
            <v>33662-S480</v>
          </cell>
          <cell r="B2882" t="str">
            <v>LIN2 Replace High Voltage Bushings</v>
          </cell>
          <cell r="C2882" t="str">
            <v>zINVALID FIN Approval - Internal</v>
          </cell>
          <cell r="D2882">
            <v>107</v>
          </cell>
          <cell r="E2882" t="str">
            <v>APPROVED</v>
          </cell>
          <cell r="F2882">
            <v>40177</v>
          </cell>
          <cell r="G2882">
            <v>40542</v>
          </cell>
          <cell r="H2882">
            <v>566648.80000000005</v>
          </cell>
          <cell r="I2882" t="str">
            <v>FIN Submission</v>
          </cell>
          <cell r="J2882">
            <v>41830</v>
          </cell>
        </row>
        <row r="2883">
          <cell r="A2883" t="str">
            <v>32122-S451</v>
          </cell>
          <cell r="B2883" t="str">
            <v>LIN E1&amp;E2 Belt Replacement</v>
          </cell>
          <cell r="C2883" t="str">
            <v>zINVALID FIN Approval - Internal</v>
          </cell>
          <cell r="D2883">
            <v>108</v>
          </cell>
          <cell r="E2883" t="str">
            <v>APPROVED</v>
          </cell>
          <cell r="F2883">
            <v>40298</v>
          </cell>
          <cell r="G2883">
            <v>40451</v>
          </cell>
          <cell r="H2883">
            <v>155230.37</v>
          </cell>
          <cell r="I2883" t="str">
            <v>FIN Submission</v>
          </cell>
          <cell r="J2883">
            <v>41830</v>
          </cell>
        </row>
        <row r="2884">
          <cell r="A2884" t="str">
            <v>31502-S370</v>
          </cell>
          <cell r="B2884" t="str">
            <v>LIN1- U&amp;U TUBE BENDS REPLACEMENT</v>
          </cell>
          <cell r="C2884" t="str">
            <v>zINVALID FIN Approval - Internal</v>
          </cell>
          <cell r="D2884">
            <v>109</v>
          </cell>
          <cell r="E2884" t="str">
            <v>APPROVED</v>
          </cell>
          <cell r="F2884">
            <v>39741</v>
          </cell>
          <cell r="G2884">
            <v>40754</v>
          </cell>
          <cell r="H2884">
            <v>880988.52</v>
          </cell>
          <cell r="I2884" t="str">
            <v>FIN Submission</v>
          </cell>
          <cell r="J2884">
            <v>41830</v>
          </cell>
        </row>
        <row r="2885">
          <cell r="A2885" t="str">
            <v>31546-S397</v>
          </cell>
          <cell r="B2885" t="str">
            <v>LIN CW Travelling Screen Refurbish</v>
          </cell>
          <cell r="C2885" t="str">
            <v>zINVALID FIN Approval - Internal</v>
          </cell>
          <cell r="D2885">
            <v>111</v>
          </cell>
          <cell r="E2885" t="str">
            <v>APPROVED</v>
          </cell>
          <cell r="F2885">
            <v>40178</v>
          </cell>
          <cell r="G2885">
            <v>40482</v>
          </cell>
          <cell r="H2885">
            <v>311285.26</v>
          </cell>
          <cell r="I2885" t="str">
            <v>FIN Submission</v>
          </cell>
          <cell r="J2885">
            <v>41830</v>
          </cell>
        </row>
        <row r="2886">
          <cell r="A2886" t="str">
            <v>34484-S508</v>
          </cell>
          <cell r="B2886" t="str">
            <v>TUC- Asbestos Abatement 2010</v>
          </cell>
          <cell r="C2886" t="str">
            <v>zINVALID FIN Approval - Internal</v>
          </cell>
          <cell r="D2886">
            <v>111</v>
          </cell>
          <cell r="E2886" t="str">
            <v>APPROVED</v>
          </cell>
          <cell r="F2886">
            <v>40542</v>
          </cell>
          <cell r="G2886">
            <v>41639</v>
          </cell>
          <cell r="H2886">
            <v>184123.97</v>
          </cell>
          <cell r="I2886" t="str">
            <v>FIN Submission</v>
          </cell>
          <cell r="J2886">
            <v>41830</v>
          </cell>
        </row>
        <row r="2887">
          <cell r="A2887" t="str">
            <v>30970-S469</v>
          </cell>
          <cell r="B2887" t="str">
            <v>LIN3 Replace #6 HP Heater</v>
          </cell>
          <cell r="C2887" t="str">
            <v>zINVALID FIN Approval - Internal</v>
          </cell>
          <cell r="D2887">
            <v>112</v>
          </cell>
          <cell r="E2887" t="str">
            <v>APPROVED</v>
          </cell>
          <cell r="F2887">
            <v>39964</v>
          </cell>
          <cell r="G2887">
            <v>40481</v>
          </cell>
          <cell r="H2887">
            <v>714078.1</v>
          </cell>
          <cell r="I2887" t="str">
            <v>FIN Submission</v>
          </cell>
          <cell r="J2887">
            <v>41830</v>
          </cell>
        </row>
        <row r="2888">
          <cell r="A2888" t="str">
            <v>32963-S617</v>
          </cell>
          <cell r="B2888" t="str">
            <v>TUC Replace Condenser Vacuum Pumps</v>
          </cell>
          <cell r="C2888" t="str">
            <v>zINVALID FIN Approval - Internal</v>
          </cell>
          <cell r="D2888">
            <v>113</v>
          </cell>
          <cell r="E2888" t="str">
            <v>APPROVED</v>
          </cell>
          <cell r="F2888">
            <v>40877</v>
          </cell>
          <cell r="G2888">
            <v>41639</v>
          </cell>
          <cell r="H2888">
            <v>354302.64</v>
          </cell>
          <cell r="I2888" t="str">
            <v>FIN Submission</v>
          </cell>
          <cell r="J2888">
            <v>41830</v>
          </cell>
        </row>
        <row r="2889">
          <cell r="A2889" t="str">
            <v>30682-S437</v>
          </cell>
          <cell r="B2889" t="str">
            <v>LIN3 Division Wall Program 2009</v>
          </cell>
          <cell r="C2889" t="str">
            <v>zINVALID FIN Approval - Internal</v>
          </cell>
          <cell r="D2889">
            <v>114</v>
          </cell>
          <cell r="E2889" t="str">
            <v>APPROVED</v>
          </cell>
          <cell r="F2889">
            <v>39964</v>
          </cell>
          <cell r="G2889">
            <v>40025</v>
          </cell>
          <cell r="H2889">
            <v>195289.74</v>
          </cell>
          <cell r="I2889" t="str">
            <v>FIN Submission</v>
          </cell>
          <cell r="J2889">
            <v>41830</v>
          </cell>
        </row>
        <row r="2890">
          <cell r="A2890" t="str">
            <v>30942-S398</v>
          </cell>
          <cell r="B2890" t="str">
            <v>LIN Floor Grating and Structural Up</v>
          </cell>
          <cell r="C2890" t="str">
            <v>zINVALID FIN Approval - Internal</v>
          </cell>
          <cell r="D2890">
            <v>115</v>
          </cell>
          <cell r="E2890" t="str">
            <v>APPROVED</v>
          </cell>
          <cell r="F2890">
            <v>40118</v>
          </cell>
          <cell r="G2890">
            <v>40482</v>
          </cell>
          <cell r="H2890">
            <v>452640.9</v>
          </cell>
          <cell r="I2890" t="str">
            <v>FIN Submission</v>
          </cell>
          <cell r="J2890">
            <v>41830</v>
          </cell>
        </row>
        <row r="2891">
          <cell r="A2891" t="str">
            <v>31543-S546</v>
          </cell>
          <cell r="B2891" t="str">
            <v>LIN- Boiler House Improv.</v>
          </cell>
          <cell r="C2891" t="str">
            <v>zINVALID FIN Approval - Internal</v>
          </cell>
          <cell r="D2891">
            <v>115</v>
          </cell>
          <cell r="E2891" t="str">
            <v>APPROVED</v>
          </cell>
          <cell r="F2891">
            <v>40694</v>
          </cell>
          <cell r="G2891">
            <v>40724</v>
          </cell>
          <cell r="H2891">
            <v>210703.58</v>
          </cell>
          <cell r="I2891" t="str">
            <v>FIN Submission</v>
          </cell>
          <cell r="J2891">
            <v>41830</v>
          </cell>
        </row>
        <row r="2892">
          <cell r="A2892" t="str">
            <v>31722-S606</v>
          </cell>
          <cell r="B2892" t="str">
            <v>POA - Coal Receiving Area Re-Paving</v>
          </cell>
          <cell r="C2892" t="str">
            <v>zINVALID FIN Approval - Internal</v>
          </cell>
          <cell r="D2892">
            <v>118</v>
          </cell>
          <cell r="E2892" t="str">
            <v>APPROVED</v>
          </cell>
          <cell r="F2892">
            <v>41060</v>
          </cell>
          <cell r="G2892">
            <v>41060</v>
          </cell>
          <cell r="H2892">
            <v>97929.03</v>
          </cell>
          <cell r="I2892" t="str">
            <v>FIN Submission</v>
          </cell>
          <cell r="J2892">
            <v>41830</v>
          </cell>
        </row>
        <row r="2893">
          <cell r="A2893" t="str">
            <v>31728-S394</v>
          </cell>
          <cell r="B2893" t="str">
            <v>POA 2009 Refractory Program</v>
          </cell>
          <cell r="C2893" t="str">
            <v>zINVALID FIN Approval - Internal</v>
          </cell>
          <cell r="D2893">
            <v>120</v>
          </cell>
          <cell r="E2893" t="str">
            <v>APPROVED</v>
          </cell>
          <cell r="F2893">
            <v>41060</v>
          </cell>
          <cell r="G2893">
            <v>41364</v>
          </cell>
          <cell r="H2893">
            <v>486890.15</v>
          </cell>
          <cell r="I2893" t="str">
            <v>FIN Submission</v>
          </cell>
          <cell r="J2893">
            <v>41830</v>
          </cell>
        </row>
        <row r="2894">
          <cell r="A2894" t="str">
            <v>31362-S634</v>
          </cell>
          <cell r="B2894" t="str">
            <v>POA - Station Air Compressor Rebui</v>
          </cell>
          <cell r="C2894" t="str">
            <v>zINVALID FIN Approval - Internal</v>
          </cell>
          <cell r="D2894">
            <v>121</v>
          </cell>
          <cell r="E2894" t="str">
            <v>APPROVED</v>
          </cell>
          <cell r="F2894">
            <v>41060</v>
          </cell>
          <cell r="G2894">
            <v>41060</v>
          </cell>
          <cell r="H2894">
            <v>106302.1</v>
          </cell>
          <cell r="I2894" t="str">
            <v>FIN Submission</v>
          </cell>
          <cell r="J2894">
            <v>41830</v>
          </cell>
        </row>
        <row r="2895">
          <cell r="A2895" t="str">
            <v>27524-T502</v>
          </cell>
          <cell r="B2895" t="str">
            <v>LND TERMINAL @ BEAR HEAD ENVIRONMEN</v>
          </cell>
          <cell r="C2895" t="str">
            <v>zINVALID FIN Approval - Internal</v>
          </cell>
          <cell r="D2895">
            <v>7</v>
          </cell>
          <cell r="E2895" t="str">
            <v>APPROVED</v>
          </cell>
          <cell r="F2895">
            <v>38709</v>
          </cell>
          <cell r="G2895">
            <v>41613</v>
          </cell>
          <cell r="H2895">
            <v>-22675.33</v>
          </cell>
          <cell r="I2895" t="str">
            <v>FIN Submission</v>
          </cell>
          <cell r="J2895">
            <v>41829</v>
          </cell>
        </row>
        <row r="2896">
          <cell r="A2896" t="str">
            <v>28644-S213</v>
          </cell>
          <cell r="B2896" t="str">
            <v>LIN1-REBUILD "A" CONDENSATE EXTRACT</v>
          </cell>
          <cell r="C2896" t="str">
            <v>zINVALID FIN Approval - Internal</v>
          </cell>
          <cell r="D2896">
            <v>14</v>
          </cell>
          <cell r="E2896" t="str">
            <v>APPROVED</v>
          </cell>
          <cell r="F2896">
            <v>39314</v>
          </cell>
          <cell r="G2896">
            <v>39447</v>
          </cell>
          <cell r="H2896">
            <v>63755.59</v>
          </cell>
          <cell r="I2896" t="str">
            <v>FIN Submission</v>
          </cell>
          <cell r="J2896">
            <v>41829</v>
          </cell>
        </row>
        <row r="2897">
          <cell r="A2897" t="str">
            <v>18274-S178</v>
          </cell>
          <cell r="B2897" t="str">
            <v>LIN - UNIT3  INVERTER AND UPS UPGRA</v>
          </cell>
          <cell r="C2897" t="str">
            <v>zINVALID FIN Approval - Internal</v>
          </cell>
          <cell r="D2897">
            <v>47</v>
          </cell>
          <cell r="E2897" t="str">
            <v>APPROVED</v>
          </cell>
          <cell r="F2897">
            <v>39283</v>
          </cell>
          <cell r="G2897">
            <v>39599</v>
          </cell>
          <cell r="H2897">
            <v>241500.93</v>
          </cell>
          <cell r="I2897" t="str">
            <v>FIN Submission</v>
          </cell>
          <cell r="J2897">
            <v>41829</v>
          </cell>
        </row>
        <row r="2898">
          <cell r="A2898" t="str">
            <v>26124-H436</v>
          </cell>
          <cell r="B2898" t="str">
            <v>WEYMOUTH FALLS OIL CONTAINMENT</v>
          </cell>
          <cell r="C2898" t="str">
            <v>zINVALID FIN Approval - Internal</v>
          </cell>
          <cell r="D2898">
            <v>106</v>
          </cell>
          <cell r="E2898" t="str">
            <v>APPROVED</v>
          </cell>
          <cell r="F2898">
            <v>38651</v>
          </cell>
          <cell r="G2898">
            <v>40816</v>
          </cell>
          <cell r="H2898">
            <v>173986.99</v>
          </cell>
          <cell r="I2898" t="str">
            <v>FIN Submission</v>
          </cell>
          <cell r="J2898">
            <v>41829</v>
          </cell>
        </row>
        <row r="2899">
          <cell r="A2899" t="str">
            <v>27503-H515</v>
          </cell>
          <cell r="B2899" t="str">
            <v>DEB # 10 THROAT RING LINER &amp; RUNNER</v>
          </cell>
          <cell r="C2899" t="str">
            <v>zINVALID FIN Approval - Internal</v>
          </cell>
          <cell r="D2899">
            <v>112</v>
          </cell>
          <cell r="E2899" t="str">
            <v>APPROVED</v>
          </cell>
          <cell r="F2899">
            <v>39416</v>
          </cell>
          <cell r="G2899">
            <v>40816</v>
          </cell>
          <cell r="H2899">
            <v>238390.09</v>
          </cell>
          <cell r="I2899" t="str">
            <v>FIN Submission</v>
          </cell>
          <cell r="J2899">
            <v>41829</v>
          </cell>
        </row>
        <row r="2900">
          <cell r="A2900" t="str">
            <v>30022-P758</v>
          </cell>
          <cell r="B2900" t="str">
            <v>LIN-CRANE RAIL REFURBISHMENT</v>
          </cell>
          <cell r="C2900" t="str">
            <v>zINVALID FIN Approval - Internal</v>
          </cell>
          <cell r="D2900">
            <v>113</v>
          </cell>
          <cell r="E2900" t="str">
            <v>APPROVED</v>
          </cell>
          <cell r="F2900">
            <v>39600</v>
          </cell>
          <cell r="G2900">
            <v>40481</v>
          </cell>
          <cell r="H2900">
            <v>156908.56</v>
          </cell>
          <cell r="I2900" t="str">
            <v>FIN Submission</v>
          </cell>
          <cell r="J2900">
            <v>41829</v>
          </cell>
        </row>
        <row r="2901">
          <cell r="A2901" t="str">
            <v>24768-S744</v>
          </cell>
          <cell r="B2901" t="str">
            <v>LIN 1&amp;2 - REFURBISH FLYASH HANDLING</v>
          </cell>
          <cell r="C2901" t="str">
            <v>zINVALID FIN Approval - Internal</v>
          </cell>
          <cell r="D2901">
            <v>116</v>
          </cell>
          <cell r="E2901" t="str">
            <v>APPROVED</v>
          </cell>
          <cell r="F2901">
            <v>38398</v>
          </cell>
          <cell r="G2901">
            <v>39629</v>
          </cell>
          <cell r="H2901">
            <v>598380.43999999994</v>
          </cell>
          <cell r="I2901" t="str">
            <v>FIN Submission</v>
          </cell>
          <cell r="J2901">
            <v>41829</v>
          </cell>
        </row>
        <row r="2902">
          <cell r="A2902" t="str">
            <v>28333-S198</v>
          </cell>
          <cell r="B2902" t="str">
            <v>LIN - MACHINE SHOP LATHE REPLACEMEN</v>
          </cell>
          <cell r="C2902" t="str">
            <v>zINVALID FIN Approval - Internal</v>
          </cell>
          <cell r="D2902">
            <v>119</v>
          </cell>
          <cell r="E2902" t="str">
            <v>APPROVED</v>
          </cell>
          <cell r="F2902">
            <v>39447</v>
          </cell>
          <cell r="G2902">
            <v>40451</v>
          </cell>
          <cell r="H2902">
            <v>54607.98</v>
          </cell>
          <cell r="I2902" t="str">
            <v>FIN Submission</v>
          </cell>
          <cell r="J2902">
            <v>41829</v>
          </cell>
        </row>
        <row r="2903">
          <cell r="A2903" t="str">
            <v>25413-S132</v>
          </cell>
          <cell r="B2903" t="str">
            <v>LIN - REFIT UNIT 3-4 FLYASH SYSTEM</v>
          </cell>
          <cell r="C2903" t="str">
            <v>zINVALID FIN Approval - Internal</v>
          </cell>
          <cell r="D2903">
            <v>119</v>
          </cell>
          <cell r="E2903" t="str">
            <v>APPROVED</v>
          </cell>
          <cell r="F2903">
            <v>39314</v>
          </cell>
          <cell r="G2903">
            <v>40481</v>
          </cell>
          <cell r="H2903">
            <v>561690.94999999995</v>
          </cell>
          <cell r="I2903" t="str">
            <v>FIN Submission</v>
          </cell>
          <cell r="J2903">
            <v>41829</v>
          </cell>
        </row>
        <row r="2904">
          <cell r="A2904" t="str">
            <v>29962-S306</v>
          </cell>
          <cell r="B2904" t="str">
            <v xml:space="preserve">LIN-Data Acquisition (DAS) Upgrade </v>
          </cell>
          <cell r="C2904" t="str">
            <v>zINVALID FIN Approval - Internal</v>
          </cell>
          <cell r="D2904">
            <v>119</v>
          </cell>
          <cell r="E2904" t="str">
            <v>APPROVED</v>
          </cell>
          <cell r="F2904">
            <v>39782</v>
          </cell>
          <cell r="G2904">
            <v>40056</v>
          </cell>
          <cell r="H2904">
            <v>477234.47</v>
          </cell>
          <cell r="I2904" t="str">
            <v>FIN Submission</v>
          </cell>
          <cell r="J2904">
            <v>41829</v>
          </cell>
        </row>
        <row r="2905">
          <cell r="A2905" t="str">
            <v>28340-S209</v>
          </cell>
          <cell r="B2905" t="str">
            <v>LIN-DATA AQUISITION UPGRADES - PHAS</v>
          </cell>
          <cell r="C2905" t="str">
            <v>zINVALID FIN Approval - Internal</v>
          </cell>
          <cell r="D2905">
            <v>120</v>
          </cell>
          <cell r="E2905" t="str">
            <v>APPROVED</v>
          </cell>
          <cell r="F2905">
            <v>39378</v>
          </cell>
          <cell r="G2905">
            <v>40481</v>
          </cell>
          <cell r="H2905">
            <v>422628.91</v>
          </cell>
          <cell r="I2905" t="str">
            <v>FIN Submission</v>
          </cell>
          <cell r="J2905">
            <v>41829</v>
          </cell>
        </row>
        <row r="2906">
          <cell r="A2906" t="str">
            <v>28452-S237</v>
          </cell>
          <cell r="B2906" t="str">
            <v>LIN-CW SYSTEM TRENCH COVER &amp; GRATIN</v>
          </cell>
          <cell r="C2906" t="str">
            <v>zINVALID FIN Approval - Internal</v>
          </cell>
          <cell r="D2906">
            <v>121</v>
          </cell>
          <cell r="E2906" t="str">
            <v>APPROVED</v>
          </cell>
          <cell r="F2906">
            <v>39470</v>
          </cell>
          <cell r="G2906">
            <v>39568</v>
          </cell>
          <cell r="H2906">
            <v>416860.23</v>
          </cell>
          <cell r="I2906" t="str">
            <v>FIN Submission</v>
          </cell>
          <cell r="J2906">
            <v>41829</v>
          </cell>
        </row>
        <row r="2907">
          <cell r="A2907" t="str">
            <v>27407-S108</v>
          </cell>
          <cell r="B2907" t="str">
            <v xml:space="preserve">LIN-MILL COMPONENT REPLACEMENTS PH </v>
          </cell>
          <cell r="C2907" t="str">
            <v>zINVALID FIN Approval - Internal</v>
          </cell>
          <cell r="D2907">
            <v>121</v>
          </cell>
          <cell r="E2907" t="str">
            <v>APPROVED</v>
          </cell>
          <cell r="F2907">
            <v>39072</v>
          </cell>
          <cell r="G2907">
            <v>39629</v>
          </cell>
          <cell r="H2907">
            <v>525570.64</v>
          </cell>
          <cell r="I2907" t="str">
            <v>FIN Submission</v>
          </cell>
          <cell r="J2907">
            <v>41829</v>
          </cell>
        </row>
        <row r="2908">
          <cell r="A2908" t="str">
            <v>28451-S205</v>
          </cell>
          <cell r="B2908" t="str">
            <v>LIN-REPLACE INVERTER, RELAY AND BRE</v>
          </cell>
          <cell r="C2908" t="str">
            <v>zINVALID FIN Approval - Internal</v>
          </cell>
          <cell r="D2908">
            <v>121</v>
          </cell>
          <cell r="E2908" t="str">
            <v>APPROVED</v>
          </cell>
          <cell r="F2908">
            <v>39470</v>
          </cell>
          <cell r="G2908">
            <v>39812</v>
          </cell>
          <cell r="H2908">
            <v>372581.9</v>
          </cell>
          <cell r="I2908" t="str">
            <v>FIN Submission</v>
          </cell>
          <cell r="J2908">
            <v>41829</v>
          </cell>
        </row>
        <row r="2909">
          <cell r="A2909" t="str">
            <v>28550-S218</v>
          </cell>
          <cell r="B2909" t="str">
            <v>LIN-REPLACE UNIT 3-4 STACK BUMPER S</v>
          </cell>
          <cell r="C2909" t="str">
            <v>zINVALID FIN Approval - Internal</v>
          </cell>
          <cell r="D2909">
            <v>121</v>
          </cell>
          <cell r="E2909" t="str">
            <v>APPROVED</v>
          </cell>
          <cell r="F2909">
            <v>39470</v>
          </cell>
          <cell r="G2909">
            <v>39542</v>
          </cell>
          <cell r="H2909">
            <v>321686.33</v>
          </cell>
          <cell r="I2909" t="str">
            <v>FIN Submission</v>
          </cell>
          <cell r="J2909">
            <v>41829</v>
          </cell>
        </row>
        <row r="2910">
          <cell r="A2910" t="str">
            <v>25415-S473</v>
          </cell>
          <cell r="B2910" t="str">
            <v>LIN1&amp;2 Stack Breech Duct</v>
          </cell>
          <cell r="C2910" t="str">
            <v>zINVALID FIN Approval - Internal</v>
          </cell>
          <cell r="D2910">
            <v>121</v>
          </cell>
          <cell r="E2910" t="str">
            <v>APPROVED</v>
          </cell>
          <cell r="F2910">
            <v>40451</v>
          </cell>
          <cell r="G2910">
            <v>40451</v>
          </cell>
          <cell r="H2910">
            <v>281353.27</v>
          </cell>
          <cell r="I2910" t="str">
            <v>FIN Submission</v>
          </cell>
          <cell r="J2910">
            <v>41829</v>
          </cell>
        </row>
        <row r="2911">
          <cell r="A2911" t="str">
            <v>28335-S238</v>
          </cell>
          <cell r="B2911" t="str">
            <v>LIN - 4160V &amp; 600V BREAKER REFURBIS</v>
          </cell>
          <cell r="C2911" t="str">
            <v>zINVALID FIN Approval - Internal</v>
          </cell>
          <cell r="D2911">
            <v>122</v>
          </cell>
          <cell r="E2911" t="str">
            <v>APPROVED</v>
          </cell>
          <cell r="F2911">
            <v>39378</v>
          </cell>
          <cell r="G2911">
            <v>40481</v>
          </cell>
          <cell r="H2911">
            <v>353662.32</v>
          </cell>
          <cell r="I2911" t="str">
            <v>FIN Submission</v>
          </cell>
          <cell r="J2911">
            <v>41829</v>
          </cell>
        </row>
        <row r="2912">
          <cell r="A2912" t="str">
            <v>28928-S289</v>
          </cell>
          <cell r="B2912" t="str">
            <v>LIN-AUXILIARY STEAM VALVES</v>
          </cell>
          <cell r="C2912" t="str">
            <v>zINVALID FIN Approval - Internal</v>
          </cell>
          <cell r="D2912">
            <v>122</v>
          </cell>
          <cell r="E2912" t="str">
            <v>APPROVED</v>
          </cell>
          <cell r="F2912">
            <v>39813</v>
          </cell>
          <cell r="G2912">
            <v>40147</v>
          </cell>
          <cell r="H2912">
            <v>153833.9</v>
          </cell>
          <cell r="I2912" t="str">
            <v>FIN Submission</v>
          </cell>
          <cell r="J2912">
            <v>41829</v>
          </cell>
        </row>
        <row r="2913">
          <cell r="A2913" t="str">
            <v>28336-S302</v>
          </cell>
          <cell r="B2913" t="str">
            <v>LIN-RECOAT BUNKER C TANK</v>
          </cell>
          <cell r="C2913" t="str">
            <v>zINVALID FIN Approval - Internal</v>
          </cell>
          <cell r="D2913">
            <v>122</v>
          </cell>
          <cell r="E2913" t="str">
            <v>APPROVED</v>
          </cell>
          <cell r="F2913">
            <v>39695</v>
          </cell>
          <cell r="G2913">
            <v>39964</v>
          </cell>
          <cell r="H2913">
            <v>332966.56</v>
          </cell>
          <cell r="I2913" t="str">
            <v>FIN Submission</v>
          </cell>
          <cell r="J2913">
            <v>41829</v>
          </cell>
        </row>
        <row r="2914">
          <cell r="A2914" t="str">
            <v>28449-S210</v>
          </cell>
          <cell r="B2914" t="str">
            <v>LIN3-4-REPLACE ACW STRAINERS</v>
          </cell>
          <cell r="C2914" t="str">
            <v>zINVALID FIN Approval - Internal</v>
          </cell>
          <cell r="D2914">
            <v>122</v>
          </cell>
          <cell r="E2914" t="str">
            <v>APPROVED</v>
          </cell>
          <cell r="F2914">
            <v>39695</v>
          </cell>
          <cell r="G2914">
            <v>40116</v>
          </cell>
          <cell r="H2914">
            <v>552152.65</v>
          </cell>
          <cell r="I2914" t="str">
            <v>FIN Submission</v>
          </cell>
          <cell r="J2914">
            <v>41829</v>
          </cell>
        </row>
        <row r="2915">
          <cell r="A2915" t="str">
            <v>27403-S134</v>
          </cell>
          <cell r="B2915" t="str">
            <v>LIN-ASH SITE NORTH "A" CELL DEVELOP</v>
          </cell>
          <cell r="C2915" t="str">
            <v>zINVALID FIN Approval - Internal</v>
          </cell>
          <cell r="D2915">
            <v>123</v>
          </cell>
          <cell r="E2915" t="str">
            <v>APPROVED</v>
          </cell>
          <cell r="F2915">
            <v>40542</v>
          </cell>
          <cell r="G2915">
            <v>40595</v>
          </cell>
          <cell r="H2915">
            <v>531758.43000000005</v>
          </cell>
          <cell r="I2915" t="str">
            <v>FIN Submission</v>
          </cell>
          <cell r="J2915">
            <v>41829</v>
          </cell>
        </row>
        <row r="2916">
          <cell r="A2916" t="str">
            <v>28983-S269</v>
          </cell>
          <cell r="B2916" t="str">
            <v>LIN1- REPLACE UNIT 1 # 4 HP  HEATER</v>
          </cell>
          <cell r="C2916" t="str">
            <v>zINVALID FIN Approval - Internal</v>
          </cell>
          <cell r="D2916">
            <v>123</v>
          </cell>
          <cell r="E2916" t="str">
            <v>APPROVED</v>
          </cell>
          <cell r="F2916">
            <v>39782</v>
          </cell>
          <cell r="G2916">
            <v>40056</v>
          </cell>
          <cell r="H2916">
            <v>676671.44</v>
          </cell>
          <cell r="I2916" t="str">
            <v>FIN Submission</v>
          </cell>
          <cell r="J2916">
            <v>41829</v>
          </cell>
        </row>
        <row r="2917">
          <cell r="A2917" t="str">
            <v>28914-S413</v>
          </cell>
          <cell r="B2917" t="str">
            <v>LIN 2008 CW Pump Rebuild</v>
          </cell>
          <cell r="C2917" t="str">
            <v>zINVALID FIN Approval - Internal</v>
          </cell>
          <cell r="D2917">
            <v>125</v>
          </cell>
          <cell r="E2917" t="str">
            <v>APPROVED</v>
          </cell>
          <cell r="F2917">
            <v>40542</v>
          </cell>
          <cell r="G2917">
            <v>40542</v>
          </cell>
          <cell r="H2917">
            <v>628179.92000000004</v>
          </cell>
          <cell r="I2917" t="str">
            <v>FIN Submission</v>
          </cell>
          <cell r="J2917">
            <v>41829</v>
          </cell>
        </row>
        <row r="2918">
          <cell r="A2918" t="str">
            <v>30043-SB50</v>
          </cell>
          <cell r="B2918" t="str">
            <v>POT - Replace Carbon Analyser</v>
          </cell>
          <cell r="C2918" t="str">
            <v>zINVALID FIN Approval - Internal</v>
          </cell>
          <cell r="D2918">
            <v>125</v>
          </cell>
          <cell r="E2918" t="str">
            <v>APPROVED</v>
          </cell>
          <cell r="F2918">
            <v>41428</v>
          </cell>
          <cell r="G2918">
            <v>41699</v>
          </cell>
          <cell r="H2918">
            <v>40314.14</v>
          </cell>
          <cell r="I2918" t="str">
            <v>FIN Submission</v>
          </cell>
          <cell r="J2918">
            <v>41829</v>
          </cell>
        </row>
        <row r="2919">
          <cell r="A2919" t="str">
            <v>28666-S558</v>
          </cell>
          <cell r="B2919" t="str">
            <v>TRE - 6B BFP Volute Refurbishment</v>
          </cell>
          <cell r="C2919" t="str">
            <v>zINVALID FIN Approval - Internal</v>
          </cell>
          <cell r="D2919">
            <v>125</v>
          </cell>
          <cell r="E2919" t="str">
            <v>APPROVED</v>
          </cell>
          <cell r="F2919">
            <v>40482</v>
          </cell>
          <cell r="G2919">
            <v>40558</v>
          </cell>
          <cell r="H2919">
            <v>174740.94</v>
          </cell>
          <cell r="I2919" t="str">
            <v>FIN Submission</v>
          </cell>
          <cell r="J2919">
            <v>41829</v>
          </cell>
        </row>
        <row r="2920">
          <cell r="A2920" t="str">
            <v>14521-SA48</v>
          </cell>
          <cell r="B2920" t="str">
            <v>POT - Biofoulant Control System Upg</v>
          </cell>
          <cell r="C2920" t="str">
            <v>zINVALID FIN Approval - Internal</v>
          </cell>
          <cell r="D2920">
            <v>126</v>
          </cell>
          <cell r="E2920" t="str">
            <v>APPROVED</v>
          </cell>
          <cell r="F2920">
            <v>41304</v>
          </cell>
          <cell r="G2920">
            <v>41639</v>
          </cell>
          <cell r="H2920">
            <v>118737.18</v>
          </cell>
          <cell r="I2920" t="str">
            <v>FIN Submission</v>
          </cell>
          <cell r="J2920">
            <v>41829</v>
          </cell>
        </row>
        <row r="2921">
          <cell r="A2921" t="str">
            <v>28289-S692</v>
          </cell>
          <cell r="B2921" t="str">
            <v>POT - TURBINE ELECTRO HYDRAULIC GOV</v>
          </cell>
          <cell r="C2921" t="str">
            <v>zINVALID FIN Approval - Internal</v>
          </cell>
          <cell r="D2921">
            <v>126</v>
          </cell>
          <cell r="E2921" t="str">
            <v>APPROVED</v>
          </cell>
          <cell r="F2921">
            <v>40877</v>
          </cell>
          <cell r="G2921">
            <v>41516</v>
          </cell>
          <cell r="H2921">
            <v>966960.72</v>
          </cell>
          <cell r="I2921" t="str">
            <v>FIN Submission</v>
          </cell>
          <cell r="J2921">
            <v>41829</v>
          </cell>
        </row>
        <row r="2922">
          <cell r="A2922" t="str">
            <v>28428-S443</v>
          </cell>
          <cell r="B2922" t="str">
            <v xml:space="preserve">LIN Replace Screen Wash Bondstrand </v>
          </cell>
          <cell r="C2922" t="str">
            <v>zINVALID FIN Approval - Internal</v>
          </cell>
          <cell r="D2922">
            <v>127</v>
          </cell>
          <cell r="E2922" t="str">
            <v>APPROVED</v>
          </cell>
          <cell r="F2922">
            <v>39994</v>
          </cell>
          <cell r="G2922">
            <v>40451</v>
          </cell>
          <cell r="H2922">
            <v>112971.57</v>
          </cell>
          <cell r="I2922" t="str">
            <v>FIN Submission</v>
          </cell>
          <cell r="J2922">
            <v>41829</v>
          </cell>
        </row>
        <row r="2923">
          <cell r="A2923" t="str">
            <v>28697-SA68</v>
          </cell>
          <cell r="B2923" t="str">
            <v>TRE6 Stack Lighting System Upgrades</v>
          </cell>
          <cell r="C2923" t="str">
            <v>zINVALID FIN Approval - Internal</v>
          </cell>
          <cell r="D2923">
            <v>127</v>
          </cell>
          <cell r="E2923" t="str">
            <v>APPROVED</v>
          </cell>
          <cell r="F2923">
            <v>41228</v>
          </cell>
          <cell r="G2923">
            <v>41258</v>
          </cell>
          <cell r="H2923">
            <v>121693.15</v>
          </cell>
          <cell r="I2923" t="str">
            <v>FIN Submission</v>
          </cell>
          <cell r="J2923">
            <v>41829</v>
          </cell>
        </row>
        <row r="2924">
          <cell r="A2924" t="str">
            <v>24509-S580</v>
          </cell>
          <cell r="B2924" t="str">
            <v>TUC - Replace Unit #3 Turbine Super</v>
          </cell>
          <cell r="C2924" t="str">
            <v>zINVALID FIN Approval - Internal</v>
          </cell>
          <cell r="D2924">
            <v>130</v>
          </cell>
          <cell r="E2924" t="str">
            <v>APPROVED</v>
          </cell>
          <cell r="F2924">
            <v>40543</v>
          </cell>
          <cell r="G2924">
            <v>41639</v>
          </cell>
          <cell r="H2924">
            <v>989170.21</v>
          </cell>
          <cell r="I2924" t="str">
            <v>FIN Submission</v>
          </cell>
          <cell r="J2924">
            <v>41829</v>
          </cell>
        </row>
        <row r="2925">
          <cell r="A2925" t="str">
            <v>27414-S220</v>
          </cell>
          <cell r="B2925" t="str">
            <v>LIN - UNIT 2&amp;4 FEEDWATER ACTUATOR R</v>
          </cell>
          <cell r="C2925" t="str">
            <v>zINVALID FIN Approval - Internal</v>
          </cell>
          <cell r="D2925">
            <v>131</v>
          </cell>
          <cell r="E2925" t="str">
            <v>APPROVED</v>
          </cell>
          <cell r="F2925">
            <v>39695</v>
          </cell>
          <cell r="G2925">
            <v>40482</v>
          </cell>
          <cell r="H2925">
            <v>148120.64000000001</v>
          </cell>
          <cell r="I2925" t="str">
            <v>FIN Submission</v>
          </cell>
          <cell r="J2925">
            <v>41829</v>
          </cell>
        </row>
        <row r="2926">
          <cell r="A2926" t="str">
            <v>28554-S712</v>
          </cell>
          <cell r="B2926" t="str">
            <v>POT - ANALYTICAL PANEL AND ANALYZER</v>
          </cell>
          <cell r="C2926" t="str">
            <v>zINVALID FIN Approval - Internal</v>
          </cell>
          <cell r="D2926">
            <v>132</v>
          </cell>
          <cell r="E2926" t="str">
            <v>APPROVED</v>
          </cell>
          <cell r="F2926">
            <v>40846</v>
          </cell>
          <cell r="G2926">
            <v>41608</v>
          </cell>
          <cell r="H2926">
            <v>327326.90999999997</v>
          </cell>
          <cell r="I2926" t="str">
            <v>FIN Submission</v>
          </cell>
          <cell r="J2926">
            <v>41829</v>
          </cell>
        </row>
        <row r="2927">
          <cell r="A2927" t="str">
            <v>22461-S597</v>
          </cell>
          <cell r="B2927" t="str">
            <v>POT - Condenser Outlet Valve Replac</v>
          </cell>
          <cell r="C2927" t="str">
            <v>zINVALID FIN Approval - Internal</v>
          </cell>
          <cell r="D2927">
            <v>132</v>
          </cell>
          <cell r="E2927" t="str">
            <v>APPROVED</v>
          </cell>
          <cell r="F2927">
            <v>40867</v>
          </cell>
          <cell r="G2927">
            <v>40897</v>
          </cell>
          <cell r="H2927">
            <v>272095.99</v>
          </cell>
          <cell r="I2927" t="str">
            <v>FIN Submission</v>
          </cell>
          <cell r="J2927">
            <v>41829</v>
          </cell>
        </row>
        <row r="2928">
          <cell r="A2928" t="str">
            <v>28740-S488</v>
          </cell>
          <cell r="B2928" t="str">
            <v>TUC Replacement of CEMS</v>
          </cell>
          <cell r="C2928" t="str">
            <v>zINVALID FIN Approval - Internal</v>
          </cell>
          <cell r="D2928">
            <v>135</v>
          </cell>
          <cell r="E2928" t="str">
            <v>APPROVED</v>
          </cell>
          <cell r="F2928">
            <v>40877</v>
          </cell>
          <cell r="G2928">
            <v>41639</v>
          </cell>
          <cell r="H2928">
            <v>235687.23</v>
          </cell>
          <cell r="I2928" t="str">
            <v>FIN Submission</v>
          </cell>
          <cell r="J2928">
            <v>41829</v>
          </cell>
        </row>
        <row r="2929">
          <cell r="A2929" t="str">
            <v>28394-S762</v>
          </cell>
          <cell r="B2929" t="str">
            <v>POT - 4KV, 600V Motor Refurb</v>
          </cell>
          <cell r="C2929" t="str">
            <v>zINVALID FIN Approval - Internal</v>
          </cell>
          <cell r="D2929">
            <v>137</v>
          </cell>
          <cell r="E2929" t="str">
            <v>APPROVED</v>
          </cell>
          <cell r="F2929">
            <v>40786</v>
          </cell>
          <cell r="G2929">
            <v>41638</v>
          </cell>
          <cell r="H2929">
            <v>323398.46999999997</v>
          </cell>
          <cell r="I2929" t="str">
            <v>FIN Submission</v>
          </cell>
          <cell r="J2929">
            <v>41829</v>
          </cell>
        </row>
        <row r="2930">
          <cell r="A2930" t="str">
            <v>38942-S657</v>
          </cell>
          <cell r="B2930" t="str">
            <v>TUC #3 GENERATOR ROTOR REWIND</v>
          </cell>
          <cell r="C2930" t="str">
            <v>zINVALID FIN Approval - Internal</v>
          </cell>
          <cell r="D2930">
            <v>99</v>
          </cell>
          <cell r="E2930" t="str">
            <v>APPROVED</v>
          </cell>
          <cell r="F2930">
            <v>40630</v>
          </cell>
          <cell r="G2930">
            <v>40959</v>
          </cell>
          <cell r="H2930">
            <v>1445910.63</v>
          </cell>
          <cell r="I2930" t="str">
            <v>FIN Submission</v>
          </cell>
          <cell r="J2930">
            <v>41674</v>
          </cell>
        </row>
        <row r="2931">
          <cell r="A2931" t="str">
            <v>39323-W115</v>
          </cell>
          <cell r="B2931" t="str">
            <v>Digby Wind Project</v>
          </cell>
          <cell r="C2931" t="str">
            <v>zINVALID FIN Approval - Internal</v>
          </cell>
          <cell r="D2931">
            <v>87</v>
          </cell>
          <cell r="E2931" t="str">
            <v>APPROVED</v>
          </cell>
          <cell r="F2931">
            <v>40543</v>
          </cell>
          <cell r="G2931">
            <v>41486</v>
          </cell>
          <cell r="H2931">
            <v>64354719.619999997</v>
          </cell>
          <cell r="I2931" t="str">
            <v>FIN Submission</v>
          </cell>
          <cell r="J2931">
            <v>41607</v>
          </cell>
        </row>
        <row r="2932">
          <cell r="A2932" t="str">
            <v>43367-D453</v>
          </cell>
          <cell r="B2932" t="str">
            <v>Ridgewood Phase 2</v>
          </cell>
          <cell r="C2932" t="str">
            <v>zINVALID FIN Approval - Internal</v>
          </cell>
          <cell r="D2932">
            <v>26</v>
          </cell>
          <cell r="E2932" t="str">
            <v>APPROVED</v>
          </cell>
          <cell r="F2932">
            <v>41151</v>
          </cell>
          <cell r="G2932">
            <v>41608</v>
          </cell>
          <cell r="H2932">
            <v>64200.94</v>
          </cell>
          <cell r="I2932" t="str">
            <v>FIN Submission</v>
          </cell>
          <cell r="J2932">
            <v>41606</v>
          </cell>
        </row>
        <row r="2933">
          <cell r="A2933" t="str">
            <v>41646-D378</v>
          </cell>
          <cell r="B2933" t="str">
            <v>708H Columbus St Stepdown Conv</v>
          </cell>
          <cell r="C2933" t="str">
            <v>zINVALID FIN Approval - Internal</v>
          </cell>
          <cell r="D2933">
            <v>52</v>
          </cell>
          <cell r="E2933" t="str">
            <v>APPROVED</v>
          </cell>
          <cell r="F2933">
            <v>41152</v>
          </cell>
          <cell r="G2933">
            <v>41274</v>
          </cell>
          <cell r="H2933">
            <v>65841.490000000005</v>
          </cell>
          <cell r="I2933" t="str">
            <v>FIN Submission</v>
          </cell>
          <cell r="J2933">
            <v>41606</v>
          </cell>
        </row>
        <row r="2934">
          <cell r="A2934" t="str">
            <v>41204-D373</v>
          </cell>
          <cell r="B2934" t="str">
            <v xml:space="preserve">20H-305 Rebuild </v>
          </cell>
          <cell r="C2934" t="str">
            <v>zINVALID FIN Approval - Internal</v>
          </cell>
          <cell r="D2934">
            <v>56</v>
          </cell>
          <cell r="E2934" t="str">
            <v>APPROVED</v>
          </cell>
          <cell r="F2934">
            <v>40967</v>
          </cell>
          <cell r="G2934">
            <v>41119</v>
          </cell>
          <cell r="H2934">
            <v>344057.16</v>
          </cell>
          <cell r="I2934" t="str">
            <v>FIN Submission</v>
          </cell>
          <cell r="J2934">
            <v>41606</v>
          </cell>
        </row>
        <row r="2935">
          <cell r="A2935" t="str">
            <v>39643-D309</v>
          </cell>
          <cell r="B2935" t="str">
            <v>West River Station Reliability</v>
          </cell>
          <cell r="C2935" t="str">
            <v>zINVALID FIN Approval - Internal</v>
          </cell>
          <cell r="D2935">
            <v>81</v>
          </cell>
          <cell r="E2935" t="str">
            <v>APPROVED</v>
          </cell>
          <cell r="F2935">
            <v>41204</v>
          </cell>
          <cell r="G2935">
            <v>41577</v>
          </cell>
          <cell r="H2935">
            <v>159445.37</v>
          </cell>
          <cell r="I2935" t="str">
            <v>FIN Submission</v>
          </cell>
          <cell r="J2935">
            <v>41606</v>
          </cell>
        </row>
        <row r="2936">
          <cell r="A2936" t="str">
            <v>29542-T579</v>
          </cell>
          <cell r="B2936" t="str">
            <v>Michilin Tap</v>
          </cell>
          <cell r="C2936" t="str">
            <v>zINVALID FIN Approval - Internal</v>
          </cell>
          <cell r="D2936">
            <v>122</v>
          </cell>
          <cell r="E2936" t="str">
            <v>APPROVED</v>
          </cell>
          <cell r="F2936">
            <v>39878</v>
          </cell>
          <cell r="G2936">
            <v>40542</v>
          </cell>
          <cell r="H2936">
            <v>362220</v>
          </cell>
          <cell r="I2936" t="str">
            <v>FIN Submission</v>
          </cell>
          <cell r="J2936">
            <v>41606</v>
          </cell>
        </row>
        <row r="2937">
          <cell r="A2937" t="str">
            <v>26079-S880</v>
          </cell>
          <cell r="B2937" t="str">
            <v xml:space="preserve">LIN - 2005 TECHNICAL DOCUMENTATION </v>
          </cell>
          <cell r="C2937" t="str">
            <v>zINVALID FIN Approval - External</v>
          </cell>
          <cell r="D2937">
            <v>31</v>
          </cell>
          <cell r="E2937" t="str">
            <v>APPROVED</v>
          </cell>
          <cell r="F2937">
            <v>39000</v>
          </cell>
          <cell r="G2937">
            <v>39233</v>
          </cell>
          <cell r="H2937">
            <v>226027.75</v>
          </cell>
          <cell r="I2937" t="str">
            <v>FIN Submission</v>
          </cell>
          <cell r="J2937">
            <v>41605</v>
          </cell>
        </row>
        <row r="2938">
          <cell r="A2938" t="str">
            <v>36243-S477</v>
          </cell>
          <cell r="B2938" t="str">
            <v>LIN U&amp;U FALL PROTECTION</v>
          </cell>
          <cell r="C2938" t="str">
            <v>zINVALID FIN Approval - External</v>
          </cell>
          <cell r="D2938">
            <v>96</v>
          </cell>
          <cell r="E2938" t="str">
            <v>APPROVED</v>
          </cell>
          <cell r="F2938">
            <v>40177</v>
          </cell>
          <cell r="G2938">
            <v>40481</v>
          </cell>
          <cell r="H2938">
            <v>32711.14</v>
          </cell>
          <cell r="I2938" t="str">
            <v>FIN Submission</v>
          </cell>
          <cell r="J2938">
            <v>41592</v>
          </cell>
        </row>
        <row r="2939">
          <cell r="A2939" t="str">
            <v>38943-S595</v>
          </cell>
          <cell r="B2939" t="str">
            <v>LIN1 - Boiler Refurbishment</v>
          </cell>
          <cell r="C2939" t="str">
            <v>zINVALID FIN Approval - Internal</v>
          </cell>
          <cell r="D2939">
            <v>93</v>
          </cell>
          <cell r="E2939" t="str">
            <v>APPROVED</v>
          </cell>
          <cell r="F2939">
            <v>40359</v>
          </cell>
          <cell r="G2939">
            <v>41274</v>
          </cell>
          <cell r="H2939">
            <v>1651741.43</v>
          </cell>
          <cell r="I2939" t="str">
            <v>FIN Submission</v>
          </cell>
          <cell r="J2939">
            <v>41590</v>
          </cell>
        </row>
        <row r="2940">
          <cell r="A2940" t="str">
            <v>28504-D148</v>
          </cell>
          <cell r="B2940" t="str">
            <v>2007 North East Conductor Replaceme</v>
          </cell>
          <cell r="C2940" t="str">
            <v>zINVALID FIN Approval - Internal</v>
          </cell>
          <cell r="D2940">
            <v>129</v>
          </cell>
          <cell r="E2940" t="str">
            <v>APPROVED</v>
          </cell>
          <cell r="F2940">
            <v>42369</v>
          </cell>
          <cell r="G2940">
            <v>42369</v>
          </cell>
          <cell r="H2940">
            <v>237.53</v>
          </cell>
          <cell r="I2940" t="str">
            <v>FIN Submission</v>
          </cell>
          <cell r="J2940">
            <v>41586</v>
          </cell>
        </row>
        <row r="2941">
          <cell r="A2941" t="str">
            <v>36882-W107</v>
          </cell>
          <cell r="B2941" t="str">
            <v>Nuttby Mountain Wind Project Dev</v>
          </cell>
          <cell r="C2941" t="str">
            <v>zINVALID FIN Approval - Internal</v>
          </cell>
          <cell r="D2941">
            <v>102</v>
          </cell>
          <cell r="E2941" t="str">
            <v>APPROVED</v>
          </cell>
          <cell r="F2941">
            <v>40512</v>
          </cell>
          <cell r="G2941">
            <v>41578</v>
          </cell>
          <cell r="H2941">
            <v>110808748.93000001</v>
          </cell>
          <cell r="I2941" t="str">
            <v>FIN Submission</v>
          </cell>
          <cell r="J2941">
            <v>41529</v>
          </cell>
        </row>
        <row r="2942">
          <cell r="A2942" t="str">
            <v>39946-S877</v>
          </cell>
          <cell r="B2942" t="str">
            <v>TRE - Wastewater Treatment Plant Up</v>
          </cell>
          <cell r="C2942" t="str">
            <v>zINVALID FIN Approval - Internal</v>
          </cell>
          <cell r="D2942">
            <v>76</v>
          </cell>
          <cell r="E2942" t="str">
            <v>APPROVED</v>
          </cell>
          <cell r="F2942">
            <v>41014</v>
          </cell>
          <cell r="G2942">
            <v>41167</v>
          </cell>
          <cell r="H2942">
            <v>592019.31000000006</v>
          </cell>
          <cell r="I2942" t="str">
            <v>FIN Submission</v>
          </cell>
          <cell r="J2942">
            <v>41514</v>
          </cell>
        </row>
        <row r="2943">
          <cell r="A2943" t="str">
            <v>31723-S392</v>
          </cell>
          <cell r="B2943" t="str">
            <v>POA HP Blower Program</v>
          </cell>
          <cell r="C2943" t="str">
            <v>zINVALID FIN Approval - External</v>
          </cell>
          <cell r="D2943">
            <v>108</v>
          </cell>
          <cell r="E2943" t="str">
            <v>APPROVED</v>
          </cell>
          <cell r="F2943">
            <v>41060</v>
          </cell>
          <cell r="G2943">
            <v>41363</v>
          </cell>
          <cell r="H2943">
            <v>67285.08</v>
          </cell>
          <cell r="I2943" t="str">
            <v>FIN Submission</v>
          </cell>
          <cell r="J2943">
            <v>41514</v>
          </cell>
        </row>
        <row r="2944">
          <cell r="A2944" t="str">
            <v>14379-S272</v>
          </cell>
          <cell r="B2944" t="str">
            <v>PT ACONI COMBUSTOR LOWER REFRACTORY</v>
          </cell>
          <cell r="C2944" t="str">
            <v>zINVALID FIN Approval - Internal</v>
          </cell>
          <cell r="D2944">
            <v>5</v>
          </cell>
          <cell r="E2944" t="str">
            <v>APPROVED</v>
          </cell>
          <cell r="F2944">
            <v>36311</v>
          </cell>
          <cell r="G2944">
            <v>37225</v>
          </cell>
          <cell r="H2944">
            <v>585141.80000000005</v>
          </cell>
          <cell r="I2944" t="str">
            <v>FIN Submission</v>
          </cell>
          <cell r="J2944">
            <v>41502</v>
          </cell>
        </row>
        <row r="2945">
          <cell r="A2945" t="str">
            <v>13825-P332</v>
          </cell>
          <cell r="B2945" t="str">
            <v>PURCHASE REPLACEMENT BOOM FOR HALIF</v>
          </cell>
          <cell r="C2945" t="str">
            <v>zINVALID FIN Approval - External</v>
          </cell>
          <cell r="D2945">
            <v>6</v>
          </cell>
          <cell r="E2945" t="str">
            <v>APPROVED</v>
          </cell>
          <cell r="F2945">
            <v>36250</v>
          </cell>
          <cell r="G2945">
            <v>39082</v>
          </cell>
          <cell r="H2945">
            <v>201175.94</v>
          </cell>
          <cell r="I2945" t="str">
            <v>FIN Submission</v>
          </cell>
          <cell r="J2945">
            <v>41498</v>
          </cell>
        </row>
        <row r="2946">
          <cell r="A2946" t="str">
            <v>24662-T485</v>
          </cell>
          <cell r="B2946" t="str">
            <v>REPLACE JOSLYN RECLOSERS</v>
          </cell>
          <cell r="C2946" t="str">
            <v>zINVALID FIN Approval - Internal</v>
          </cell>
          <cell r="D2946">
            <v>6</v>
          </cell>
          <cell r="E2946" t="str">
            <v>APPROVED</v>
          </cell>
          <cell r="F2946">
            <v>38212</v>
          </cell>
          <cell r="G2946">
            <v>41452</v>
          </cell>
          <cell r="H2946">
            <v>78364.98</v>
          </cell>
          <cell r="I2946" t="str">
            <v>FIN Submission</v>
          </cell>
          <cell r="J2946">
            <v>41498</v>
          </cell>
        </row>
        <row r="2947">
          <cell r="A2947" t="str">
            <v>25425-T493</v>
          </cell>
          <cell r="B2947" t="str">
            <v>RETIRE 100S AND L-7016</v>
          </cell>
          <cell r="C2947" t="str">
            <v>zINVALID FIN Approval - Internal</v>
          </cell>
          <cell r="D2947">
            <v>6</v>
          </cell>
          <cell r="E2947" t="str">
            <v>APPROVED</v>
          </cell>
          <cell r="F2947">
            <v>38575</v>
          </cell>
          <cell r="G2947">
            <v>41452</v>
          </cell>
          <cell r="H2947">
            <v>90563.37</v>
          </cell>
          <cell r="I2947" t="str">
            <v>FIN Submission</v>
          </cell>
          <cell r="J2947">
            <v>41498</v>
          </cell>
        </row>
        <row r="2948">
          <cell r="A2948" t="str">
            <v>26424-D935</v>
          </cell>
          <cell r="B2948" t="str">
            <v>SYSTEM PERFORMANCE IMPROVEMENTS 200</v>
          </cell>
          <cell r="C2948" t="str">
            <v>zINVALID FIN Approval - Internal</v>
          </cell>
          <cell r="D2948">
            <v>6</v>
          </cell>
          <cell r="E2948" t="str">
            <v>APPROVED</v>
          </cell>
          <cell r="F2948">
            <v>38709</v>
          </cell>
          <cell r="G2948">
            <v>41455</v>
          </cell>
          <cell r="H2948">
            <v>140622.20000000001</v>
          </cell>
          <cell r="I2948" t="str">
            <v>FIN Submission</v>
          </cell>
          <cell r="J2948">
            <v>41498</v>
          </cell>
        </row>
        <row r="2949">
          <cell r="A2949" t="str">
            <v>39930-D316</v>
          </cell>
          <cell r="B2949" t="str">
            <v>Middle Cape to Irishvale Upgrade</v>
          </cell>
          <cell r="C2949" t="str">
            <v>zINVALID FIN Approval - Internal</v>
          </cell>
          <cell r="D2949">
            <v>73</v>
          </cell>
          <cell r="E2949" t="str">
            <v>APPROVED</v>
          </cell>
          <cell r="F2949">
            <v>40573</v>
          </cell>
          <cell r="G2949">
            <v>41452</v>
          </cell>
          <cell r="H2949">
            <v>670652.16000000003</v>
          </cell>
          <cell r="I2949" t="str">
            <v>FIN Submission</v>
          </cell>
          <cell r="J2949">
            <v>41498</v>
          </cell>
        </row>
        <row r="2950">
          <cell r="A2950" t="str">
            <v>28081-D932</v>
          </cell>
          <cell r="B2950" t="str">
            <v>Wind Turbine For Resl #2 (Point Tup</v>
          </cell>
          <cell r="C2950" t="str">
            <v>zINVALID FIN Approval - Internal</v>
          </cell>
          <cell r="D2950">
            <v>118</v>
          </cell>
          <cell r="E2950" t="str">
            <v>APPROVED</v>
          </cell>
          <cell r="F2950">
            <v>38881</v>
          </cell>
          <cell r="G2950">
            <v>41450</v>
          </cell>
          <cell r="H2950">
            <v>0.12</v>
          </cell>
          <cell r="I2950" t="str">
            <v>FIN Submission</v>
          </cell>
          <cell r="J2950">
            <v>41498</v>
          </cell>
        </row>
        <row r="2951">
          <cell r="A2951" t="str">
            <v>41104-D369</v>
          </cell>
          <cell r="B2951" t="str">
            <v>1H-415 ICP Completion</v>
          </cell>
          <cell r="C2951" t="str">
            <v>zINVALID FIN Approval - Internal</v>
          </cell>
          <cell r="D2951">
            <v>50</v>
          </cell>
          <cell r="E2951" t="str">
            <v>APPROVED</v>
          </cell>
          <cell r="F2951">
            <v>40897</v>
          </cell>
          <cell r="G2951">
            <v>41455</v>
          </cell>
          <cell r="H2951">
            <v>155509.23000000001</v>
          </cell>
          <cell r="I2951" t="str">
            <v>FIN Submission</v>
          </cell>
          <cell r="J2951">
            <v>41494</v>
          </cell>
        </row>
        <row r="2952">
          <cell r="A2952" t="str">
            <v>25258-P659</v>
          </cell>
          <cell r="B2952" t="str">
            <v>2004 WORK VEHICLES FOR SYSTEM MAINT</v>
          </cell>
          <cell r="C2952" t="str">
            <v>zINVALID FIN Approval - External</v>
          </cell>
          <cell r="D2952">
            <v>6</v>
          </cell>
          <cell r="E2952" t="str">
            <v>APPROVED</v>
          </cell>
          <cell r="F2952">
            <v>38405</v>
          </cell>
          <cell r="G2952">
            <v>41410</v>
          </cell>
          <cell r="H2952">
            <v>206082.19</v>
          </cell>
          <cell r="I2952" t="str">
            <v>FIN Submission</v>
          </cell>
          <cell r="J2952">
            <v>41471</v>
          </cell>
        </row>
        <row r="2953">
          <cell r="A2953" t="str">
            <v>26694-D936</v>
          </cell>
          <cell r="B2953" t="str">
            <v>FOSTER AVENUE REALIGNMENT - PIONEER</v>
          </cell>
          <cell r="C2953" t="str">
            <v>zINVALID FIN Approval - Internal</v>
          </cell>
          <cell r="D2953">
            <v>6</v>
          </cell>
          <cell r="E2953" t="str">
            <v>APPROVED</v>
          </cell>
          <cell r="F2953">
            <v>38869</v>
          </cell>
          <cell r="G2953">
            <v>39263</v>
          </cell>
          <cell r="H2953">
            <v>36815.82</v>
          </cell>
          <cell r="I2953" t="str">
            <v>FIN Submission</v>
          </cell>
          <cell r="J2953">
            <v>41471</v>
          </cell>
        </row>
        <row r="2954">
          <cell r="A2954" t="str">
            <v>25568-D954</v>
          </cell>
          <cell r="B2954" t="str">
            <v>WEST REPLACE DETERIORATED PADMOUNTS</v>
          </cell>
          <cell r="C2954" t="str">
            <v>zINVALID FIN Approval - Internal</v>
          </cell>
          <cell r="D2954">
            <v>6</v>
          </cell>
          <cell r="E2954" t="str">
            <v>APPROVED</v>
          </cell>
          <cell r="F2954">
            <v>39015</v>
          </cell>
          <cell r="G2954">
            <v>41449</v>
          </cell>
          <cell r="H2954">
            <v>145959.1</v>
          </cell>
          <cell r="I2954" t="str">
            <v>FIN Submission</v>
          </cell>
          <cell r="J2954">
            <v>41471</v>
          </cell>
        </row>
        <row r="2955">
          <cell r="A2955" t="str">
            <v>28287-D974</v>
          </cell>
          <cell r="B2955" t="str">
            <v>WOODLAWN REPLACE FEEDER EXIT CABLES</v>
          </cell>
          <cell r="C2955" t="str">
            <v>zINVALID FIN Approval - External</v>
          </cell>
          <cell r="D2955">
            <v>6</v>
          </cell>
          <cell r="E2955" t="str">
            <v>APPROVED</v>
          </cell>
          <cell r="F2955">
            <v>38961</v>
          </cell>
          <cell r="G2955">
            <v>41418</v>
          </cell>
          <cell r="H2955">
            <v>69620.19</v>
          </cell>
          <cell r="I2955" t="str">
            <v>FIN Submission</v>
          </cell>
          <cell r="J2955">
            <v>41471</v>
          </cell>
        </row>
        <row r="2956">
          <cell r="A2956" t="str">
            <v>14669-D449</v>
          </cell>
          <cell r="B2956" t="str">
            <v>MARGAREE JOINT USE REBUILD</v>
          </cell>
          <cell r="C2956" t="str">
            <v>zINVALID FIN Approval - External</v>
          </cell>
          <cell r="D2956">
            <v>9</v>
          </cell>
          <cell r="E2956" t="str">
            <v>APPROVED</v>
          </cell>
          <cell r="F2956">
            <v>36160</v>
          </cell>
          <cell r="G2956">
            <v>41425</v>
          </cell>
          <cell r="H2956">
            <v>124662.44</v>
          </cell>
          <cell r="I2956" t="str">
            <v>FIN Submission</v>
          </cell>
          <cell r="J2956">
            <v>41471</v>
          </cell>
        </row>
        <row r="2957">
          <cell r="A2957" t="str">
            <v>28483-T544</v>
          </cell>
          <cell r="B2957" t="str">
            <v>L6511 UPGRADE LINE CLEARANCES</v>
          </cell>
          <cell r="C2957" t="str">
            <v>zINVALID FIN Approval - Internal</v>
          </cell>
          <cell r="D2957">
            <v>49</v>
          </cell>
          <cell r="E2957" t="str">
            <v>APPROVED</v>
          </cell>
          <cell r="F2957">
            <v>39385</v>
          </cell>
          <cell r="G2957">
            <v>41449</v>
          </cell>
          <cell r="H2957">
            <v>201734.53</v>
          </cell>
          <cell r="I2957" t="str">
            <v>FIN Submission</v>
          </cell>
          <cell r="J2957">
            <v>41471</v>
          </cell>
        </row>
        <row r="2958">
          <cell r="A2958" t="str">
            <v>40280-T676</v>
          </cell>
          <cell r="B2958" t="str">
            <v>2011 Trans Switch &amp; Breaker Upgrade</v>
          </cell>
          <cell r="C2958" t="str">
            <v>zINVALID FIN Approval - External</v>
          </cell>
          <cell r="D2958">
            <v>67</v>
          </cell>
          <cell r="E2958" t="str">
            <v>APPROVED</v>
          </cell>
          <cell r="F2958">
            <v>40755</v>
          </cell>
          <cell r="G2958">
            <v>41333</v>
          </cell>
          <cell r="H2958">
            <v>3275924.7</v>
          </cell>
          <cell r="I2958" t="str">
            <v>FIN Submission</v>
          </cell>
          <cell r="J2958">
            <v>41471</v>
          </cell>
        </row>
        <row r="2959">
          <cell r="A2959" t="str">
            <v>39803-S792</v>
          </cell>
          <cell r="B2959" t="str">
            <v>POT Unit 2 Generator Major Refurbis</v>
          </cell>
          <cell r="C2959" t="str">
            <v>zINVALID FIN Approval - External</v>
          </cell>
          <cell r="D2959">
            <v>71</v>
          </cell>
          <cell r="E2959" t="str">
            <v>APPROVED</v>
          </cell>
          <cell r="F2959">
            <v>40816</v>
          </cell>
          <cell r="G2959">
            <v>41364</v>
          </cell>
          <cell r="H2959">
            <v>2999567.75</v>
          </cell>
          <cell r="I2959" t="str">
            <v>FIN Submission</v>
          </cell>
          <cell r="J2959">
            <v>41471</v>
          </cell>
        </row>
        <row r="2960">
          <cell r="A2960" t="str">
            <v>25221-T488</v>
          </cell>
          <cell r="B2960" t="str">
            <v>ADD A 12KV FEEDER CIRCUIT AT BRIDGE</v>
          </cell>
          <cell r="C2960" t="str">
            <v>zINVALID FIN Approval - Internal</v>
          </cell>
          <cell r="D2960">
            <v>79</v>
          </cell>
          <cell r="E2960" t="str">
            <v>APPROVED</v>
          </cell>
          <cell r="F2960">
            <v>38384</v>
          </cell>
          <cell r="G2960">
            <v>41449</v>
          </cell>
          <cell r="H2960">
            <v>75903.55</v>
          </cell>
          <cell r="I2960" t="str">
            <v>FIN Submission</v>
          </cell>
          <cell r="J2960">
            <v>41471</v>
          </cell>
        </row>
        <row r="2961">
          <cell r="A2961" t="str">
            <v>39171-T634</v>
          </cell>
          <cell r="B2961" t="str">
            <v>PE Upgrade L-8002</v>
          </cell>
          <cell r="C2961" t="str">
            <v>zINVALID FIN Approval - Internal</v>
          </cell>
          <cell r="D2961">
            <v>86</v>
          </cell>
          <cell r="E2961" t="str">
            <v>APPROVED</v>
          </cell>
          <cell r="F2961">
            <v>40422</v>
          </cell>
          <cell r="G2961">
            <v>41243</v>
          </cell>
          <cell r="H2961">
            <v>0</v>
          </cell>
          <cell r="I2961" t="str">
            <v>FIN Submission</v>
          </cell>
          <cell r="J2961">
            <v>41471</v>
          </cell>
        </row>
        <row r="2962">
          <cell r="A2962" t="str">
            <v>39168-T632</v>
          </cell>
          <cell r="B2962" t="str">
            <v>PE L7004 Deteriorated Replacements</v>
          </cell>
          <cell r="C2962" t="str">
            <v>zINVALID FIN Approval - Internal</v>
          </cell>
          <cell r="D2962">
            <v>87</v>
          </cell>
          <cell r="E2962" t="str">
            <v>APPROVED</v>
          </cell>
          <cell r="F2962">
            <v>40422</v>
          </cell>
          <cell r="G2962">
            <v>41213</v>
          </cell>
          <cell r="H2962">
            <v>0</v>
          </cell>
          <cell r="I2962" t="str">
            <v>FIN Submission</v>
          </cell>
          <cell r="J2962">
            <v>41471</v>
          </cell>
        </row>
        <row r="2963">
          <cell r="A2963" t="str">
            <v>39170-T633</v>
          </cell>
          <cell r="B2963" t="str">
            <v>PE 2010 Trans Cutout Replacements</v>
          </cell>
          <cell r="C2963" t="str">
            <v>zINVALID FIN Approval - Internal</v>
          </cell>
          <cell r="D2963">
            <v>88</v>
          </cell>
          <cell r="E2963" t="str">
            <v>APPROVED</v>
          </cell>
          <cell r="F2963">
            <v>40847</v>
          </cell>
          <cell r="G2963">
            <v>41422</v>
          </cell>
          <cell r="H2963">
            <v>0</v>
          </cell>
          <cell r="I2963" t="str">
            <v>FIN Submission</v>
          </cell>
          <cell r="J2963">
            <v>41471</v>
          </cell>
        </row>
        <row r="2964">
          <cell r="A2964" t="str">
            <v>36163-P800</v>
          </cell>
          <cell r="B2964" t="str">
            <v>PE- Backup Control Ctr Tufts Cove</v>
          </cell>
          <cell r="C2964" t="str">
            <v>zINVALID FIN Approval - Internal</v>
          </cell>
          <cell r="D2964">
            <v>100</v>
          </cell>
          <cell r="E2964" t="str">
            <v>APPROVED</v>
          </cell>
          <cell r="F2964">
            <v>40877</v>
          </cell>
          <cell r="G2964">
            <v>41182</v>
          </cell>
          <cell r="H2964">
            <v>0</v>
          </cell>
          <cell r="I2964" t="str">
            <v>FIN Submission</v>
          </cell>
          <cell r="J2964">
            <v>41471</v>
          </cell>
        </row>
        <row r="2965">
          <cell r="A2965" t="str">
            <v>28727-H534</v>
          </cell>
          <cell r="B2965" t="str">
            <v>GREAT BARREN DAM SAFETY</v>
          </cell>
          <cell r="C2965" t="str">
            <v>zINVALID FIN Approval - External</v>
          </cell>
          <cell r="D2965">
            <v>105</v>
          </cell>
          <cell r="E2965" t="str">
            <v>APPROVED</v>
          </cell>
          <cell r="F2965">
            <v>39812</v>
          </cell>
          <cell r="G2965">
            <v>40026</v>
          </cell>
          <cell r="H2965">
            <v>2301559.1800000002</v>
          </cell>
          <cell r="I2965" t="str">
            <v/>
          </cell>
          <cell r="J2965">
            <v>41471</v>
          </cell>
        </row>
        <row r="2966">
          <cell r="A2966" t="str">
            <v>34843-P879</v>
          </cell>
          <cell r="B2966" t="str">
            <v xml:space="preserve">IT - Oracle NLA License </v>
          </cell>
          <cell r="C2966" t="str">
            <v>zINVALID FIN Approval - External</v>
          </cell>
          <cell r="D2966">
            <v>106</v>
          </cell>
          <cell r="E2966" t="str">
            <v>APPROVED</v>
          </cell>
          <cell r="F2966">
            <v>40908</v>
          </cell>
          <cell r="G2966">
            <v>41394</v>
          </cell>
          <cell r="H2966">
            <v>549311.22</v>
          </cell>
          <cell r="I2966" t="str">
            <v>FIN Submission</v>
          </cell>
          <cell r="J2966">
            <v>41471</v>
          </cell>
        </row>
        <row r="2967">
          <cell r="A2967" t="str">
            <v>26021-T486</v>
          </cell>
          <cell r="B2967" t="str">
            <v>REPAIR 138KV SF6 BREAKER 88S-711 AN</v>
          </cell>
          <cell r="C2967" t="str">
            <v>zINVALID FIN Approval - External</v>
          </cell>
          <cell r="D2967">
            <v>117</v>
          </cell>
          <cell r="E2967" t="str">
            <v>APPROVED</v>
          </cell>
          <cell r="F2967">
            <v>38384</v>
          </cell>
          <cell r="G2967">
            <v>41417</v>
          </cell>
          <cell r="H2967">
            <v>194926.17</v>
          </cell>
          <cell r="I2967" t="str">
            <v>FIN Submission</v>
          </cell>
          <cell r="J2967">
            <v>41471</v>
          </cell>
        </row>
        <row r="2968">
          <cell r="A2968" t="str">
            <v>27145-D900</v>
          </cell>
          <cell r="B2968" t="str">
            <v>Valley Make Ready Area 1 (Part Of D</v>
          </cell>
          <cell r="C2968" t="str">
            <v>zINVALID FIN Approval - External</v>
          </cell>
          <cell r="D2968">
            <v>117</v>
          </cell>
          <cell r="E2968" t="str">
            <v>APPROVED</v>
          </cell>
          <cell r="F2968">
            <v>38709</v>
          </cell>
          <cell r="G2968">
            <v>41410</v>
          </cell>
          <cell r="H2968">
            <v>-9827.16</v>
          </cell>
          <cell r="I2968" t="str">
            <v>FIN Submission</v>
          </cell>
          <cell r="J2968">
            <v>41471</v>
          </cell>
        </row>
        <row r="2969">
          <cell r="A2969" t="str">
            <v>27291-D903</v>
          </cell>
          <cell r="B2969" t="str">
            <v>Valley Make Ready Area 2 (Part Of D</v>
          </cell>
          <cell r="C2969" t="str">
            <v>zINVALID FIN Approval - External</v>
          </cell>
          <cell r="D2969">
            <v>117</v>
          </cell>
          <cell r="E2969" t="str">
            <v>APPROVED</v>
          </cell>
          <cell r="F2969">
            <v>38709</v>
          </cell>
          <cell r="G2969">
            <v>41410</v>
          </cell>
          <cell r="H2969">
            <v>2918.82</v>
          </cell>
          <cell r="I2969" t="str">
            <v>FIN Submission</v>
          </cell>
          <cell r="J2969">
            <v>41471</v>
          </cell>
        </row>
        <row r="2970">
          <cell r="A2970" t="str">
            <v>27292-D901</v>
          </cell>
          <cell r="B2970" t="str">
            <v>Valley Make Ready Area 3 (Part Of D</v>
          </cell>
          <cell r="C2970" t="str">
            <v>zINVALID FIN Approval - External</v>
          </cell>
          <cell r="D2970">
            <v>117</v>
          </cell>
          <cell r="E2970" t="str">
            <v>APPROVED</v>
          </cell>
          <cell r="F2970">
            <v>38869</v>
          </cell>
          <cell r="G2970">
            <v>41410</v>
          </cell>
          <cell r="H2970">
            <v>0</v>
          </cell>
          <cell r="I2970" t="str">
            <v>FIN Submission</v>
          </cell>
          <cell r="J2970">
            <v>41471</v>
          </cell>
        </row>
        <row r="2971">
          <cell r="A2971" t="str">
            <v>27293-D902</v>
          </cell>
          <cell r="B2971" t="str">
            <v>Valley Make Ready Area 4 (Part Of D</v>
          </cell>
          <cell r="C2971" t="str">
            <v>zINVALID FIN Approval - External</v>
          </cell>
          <cell r="D2971">
            <v>117</v>
          </cell>
          <cell r="E2971" t="str">
            <v>APPROVED</v>
          </cell>
          <cell r="F2971">
            <v>38869</v>
          </cell>
          <cell r="G2971">
            <v>41410</v>
          </cell>
          <cell r="H2971">
            <v>0</v>
          </cell>
          <cell r="I2971" t="str">
            <v>FIN Submission</v>
          </cell>
          <cell r="J2971">
            <v>41471</v>
          </cell>
        </row>
        <row r="2972">
          <cell r="A2972" t="str">
            <v>17830-H621</v>
          </cell>
          <cell r="B2972" t="str">
            <v>HYD - STM Big Indian Lake Dam Safet</v>
          </cell>
          <cell r="C2972" t="str">
            <v>zINVALID FIN Approval - External</v>
          </cell>
          <cell r="D2972">
            <v>119</v>
          </cell>
          <cell r="E2972" t="str">
            <v>APPROVED</v>
          </cell>
          <cell r="F2972">
            <v>40875</v>
          </cell>
          <cell r="G2972">
            <v>41333</v>
          </cell>
          <cell r="H2972">
            <v>3270949.19</v>
          </cell>
          <cell r="I2972" t="str">
            <v>FIN Submission</v>
          </cell>
          <cell r="J2972">
            <v>41471</v>
          </cell>
        </row>
        <row r="2973">
          <cell r="A2973" t="str">
            <v>27656-D920</v>
          </cell>
          <cell r="B2973" t="str">
            <v>Valley Make Ready - Area 7 (Part Of</v>
          </cell>
          <cell r="C2973" t="str">
            <v>zINVALID FIN Approval - External</v>
          </cell>
          <cell r="D2973">
            <v>120</v>
          </cell>
          <cell r="E2973" t="str">
            <v>APPROVED</v>
          </cell>
          <cell r="F2973">
            <v>38869</v>
          </cell>
          <cell r="G2973">
            <v>41410</v>
          </cell>
          <cell r="H2973">
            <v>-649.71</v>
          </cell>
          <cell r="I2973" t="str">
            <v>FIN Submission</v>
          </cell>
          <cell r="J2973">
            <v>41471</v>
          </cell>
        </row>
        <row r="2974">
          <cell r="A2974" t="str">
            <v>27657-D919</v>
          </cell>
          <cell r="B2974" t="str">
            <v>Valley Make Ready - Area 8 (Part Of</v>
          </cell>
          <cell r="C2974" t="str">
            <v>zINVALID FIN Approval - External</v>
          </cell>
          <cell r="D2974">
            <v>120</v>
          </cell>
          <cell r="E2974" t="str">
            <v>APPROVED</v>
          </cell>
          <cell r="F2974">
            <v>39042</v>
          </cell>
          <cell r="G2974">
            <v>41410</v>
          </cell>
          <cell r="H2974">
            <v>10790.87</v>
          </cell>
          <cell r="I2974" t="str">
            <v>FIN Submission</v>
          </cell>
          <cell r="J2974">
            <v>41471</v>
          </cell>
        </row>
        <row r="2975">
          <cell r="A2975" t="str">
            <v>28650-D115</v>
          </cell>
          <cell r="B2975" t="str">
            <v>North End Halifax Make Ready (Part</v>
          </cell>
          <cell r="C2975" t="str">
            <v>zINVALID FIN Approval - External</v>
          </cell>
          <cell r="D2975">
            <v>123</v>
          </cell>
          <cell r="E2975" t="str">
            <v>APPROVED</v>
          </cell>
          <cell r="F2975">
            <v>40178</v>
          </cell>
          <cell r="G2975">
            <v>41410</v>
          </cell>
          <cell r="H2975">
            <v>-176.73</v>
          </cell>
          <cell r="I2975" t="str">
            <v>FIN Submission</v>
          </cell>
          <cell r="J2975">
            <v>41471</v>
          </cell>
        </row>
        <row r="2976">
          <cell r="A2976" t="str">
            <v>17830-H621</v>
          </cell>
          <cell r="B2976" t="str">
            <v>HYD - STM Big Indian Lake Dam Safet</v>
          </cell>
          <cell r="C2976" t="str">
            <v>zINVALID FIN Approval - External</v>
          </cell>
          <cell r="D2976">
            <v>127</v>
          </cell>
          <cell r="E2976" t="str">
            <v>APPROVED</v>
          </cell>
          <cell r="F2976">
            <v>40875</v>
          </cell>
          <cell r="G2976">
            <v>41333</v>
          </cell>
          <cell r="H2976">
            <v>3270949.19</v>
          </cell>
          <cell r="I2976" t="str">
            <v/>
          </cell>
          <cell r="J2976">
            <v>41471</v>
          </cell>
        </row>
        <row r="2977">
          <cell r="A2977" t="str">
            <v>34383-S772</v>
          </cell>
          <cell r="B2977" t="str">
            <v>POA CW Pump Rebuild</v>
          </cell>
          <cell r="C2977" t="str">
            <v>zINVALID FIN Approval - Internal</v>
          </cell>
          <cell r="D2977">
            <v>97</v>
          </cell>
          <cell r="E2977" t="str">
            <v>APPROVED</v>
          </cell>
          <cell r="F2977">
            <v>41060</v>
          </cell>
          <cell r="G2977">
            <v>41212</v>
          </cell>
          <cell r="H2977">
            <v>239744.43</v>
          </cell>
          <cell r="I2977" t="str">
            <v>FIN Submission</v>
          </cell>
          <cell r="J2977">
            <v>41450</v>
          </cell>
        </row>
        <row r="2978">
          <cell r="A2978" t="str">
            <v>34369-S581</v>
          </cell>
          <cell r="B2978" t="str">
            <v>POA - Polisher Resin Replacement</v>
          </cell>
          <cell r="C2978" t="str">
            <v>zINVALID FIN Approval - External</v>
          </cell>
          <cell r="D2978">
            <v>102</v>
          </cell>
          <cell r="E2978" t="str">
            <v>APPROVED</v>
          </cell>
          <cell r="F2978">
            <v>40481</v>
          </cell>
          <cell r="G2978">
            <v>41364</v>
          </cell>
          <cell r="H2978">
            <v>25755.73</v>
          </cell>
          <cell r="I2978" t="str">
            <v>FIN Submission</v>
          </cell>
          <cell r="J2978">
            <v>41438</v>
          </cell>
        </row>
        <row r="2979">
          <cell r="A2979" t="str">
            <v>31725-S698</v>
          </cell>
          <cell r="B2979" t="str">
            <v>POA BOILER EXPANSION JOINT REPLACEM</v>
          </cell>
          <cell r="C2979" t="str">
            <v>zINVALID FIN Approval - External</v>
          </cell>
          <cell r="D2979">
            <v>110</v>
          </cell>
          <cell r="E2979" t="str">
            <v>APPROVED</v>
          </cell>
          <cell r="F2979">
            <v>40817</v>
          </cell>
          <cell r="G2979">
            <v>41364</v>
          </cell>
          <cell r="H2979">
            <v>57890.29</v>
          </cell>
          <cell r="I2979" t="str">
            <v>FIN Submission</v>
          </cell>
          <cell r="J2979">
            <v>41438</v>
          </cell>
        </row>
        <row r="2980">
          <cell r="A2980" t="str">
            <v>31728-S394</v>
          </cell>
          <cell r="B2980" t="str">
            <v>POA 2009 Refractory Program</v>
          </cell>
          <cell r="C2980" t="str">
            <v>zINVALID FIN Approval - Internal</v>
          </cell>
          <cell r="D2980">
            <v>109</v>
          </cell>
          <cell r="E2980" t="str">
            <v>APPROVED</v>
          </cell>
          <cell r="F2980">
            <v>41060</v>
          </cell>
          <cell r="G2980">
            <v>41364</v>
          </cell>
          <cell r="H2980">
            <v>486890.15</v>
          </cell>
          <cell r="I2980" t="str">
            <v>FIN Submission</v>
          </cell>
          <cell r="J2980">
            <v>41435</v>
          </cell>
        </row>
        <row r="2981">
          <cell r="A2981" t="str">
            <v>28315-S518</v>
          </cell>
          <cell r="B2981" t="str">
            <v>POA - Water Truck Replacement Proje</v>
          </cell>
          <cell r="C2981" t="str">
            <v>zINVALID FIN Approval - Internal</v>
          </cell>
          <cell r="D2981">
            <v>123</v>
          </cell>
          <cell r="E2981" t="str">
            <v>APPROVED</v>
          </cell>
          <cell r="F2981">
            <v>40574</v>
          </cell>
          <cell r="G2981">
            <v>41364</v>
          </cell>
          <cell r="H2981">
            <v>380890.91</v>
          </cell>
          <cell r="I2981" t="str">
            <v>FIN Submission</v>
          </cell>
          <cell r="J2981">
            <v>41428</v>
          </cell>
        </row>
        <row r="2982">
          <cell r="A2982" t="str">
            <v>39529-S862</v>
          </cell>
          <cell r="B2982" t="str">
            <v>POT - Turbine Major 2011</v>
          </cell>
          <cell r="C2982" t="str">
            <v>zINVALID FIN Approval - External</v>
          </cell>
          <cell r="D2982">
            <v>75</v>
          </cell>
          <cell r="E2982" t="str">
            <v>APPROVED</v>
          </cell>
          <cell r="F2982">
            <v>40812</v>
          </cell>
          <cell r="G2982">
            <v>41269</v>
          </cell>
          <cell r="H2982">
            <v>5177977.91</v>
          </cell>
          <cell r="I2982" t="str">
            <v>FIN Submission</v>
          </cell>
          <cell r="J2982">
            <v>41425</v>
          </cell>
        </row>
        <row r="2983">
          <cell r="A2983" t="str">
            <v>28752-G151</v>
          </cell>
          <cell r="B2983" t="str">
            <v>LM6000 - Overhaul TUC #5 Engine</v>
          </cell>
          <cell r="C2983" t="str">
            <v>zINVALID FIN Approval - External</v>
          </cell>
          <cell r="D2983">
            <v>119</v>
          </cell>
          <cell r="E2983" t="str">
            <v>APPROVED</v>
          </cell>
          <cell r="F2983">
            <v>40512</v>
          </cell>
          <cell r="G2983">
            <v>41244</v>
          </cell>
          <cell r="H2983">
            <v>943710.64</v>
          </cell>
          <cell r="I2983" t="str">
            <v>FIN Submission</v>
          </cell>
          <cell r="J2983">
            <v>41424</v>
          </cell>
        </row>
        <row r="2984">
          <cell r="A2984" t="str">
            <v>14719-S102</v>
          </cell>
          <cell r="B2984" t="str">
            <v>POT - CONDENSER TUBE REPLACEMENT</v>
          </cell>
          <cell r="C2984" t="str">
            <v>zINVALID FIN Approval - External</v>
          </cell>
          <cell r="D2984">
            <v>115</v>
          </cell>
          <cell r="E2984" t="str">
            <v>APPROVED</v>
          </cell>
          <cell r="F2984">
            <v>39629</v>
          </cell>
          <cell r="G2984">
            <v>41273</v>
          </cell>
          <cell r="H2984">
            <v>2088743.77</v>
          </cell>
          <cell r="I2984" t="str">
            <v>FIN Submission</v>
          </cell>
          <cell r="J2984">
            <v>41387</v>
          </cell>
        </row>
        <row r="2985">
          <cell r="A2985" t="str">
            <v>40284-D332</v>
          </cell>
          <cell r="B2985" t="str">
            <v>82V-423 Targeted Replacements</v>
          </cell>
          <cell r="C2985" t="str">
            <v>zINVALID FIN Approval - External</v>
          </cell>
          <cell r="D2985">
            <v>62</v>
          </cell>
          <cell r="E2985" t="str">
            <v>APPROVED</v>
          </cell>
          <cell r="F2985">
            <v>40724</v>
          </cell>
          <cell r="G2985">
            <v>40908</v>
          </cell>
          <cell r="H2985">
            <v>48792.35</v>
          </cell>
          <cell r="I2985" t="str">
            <v>FIN Submission</v>
          </cell>
          <cell r="J2985">
            <v>41380</v>
          </cell>
        </row>
        <row r="2986">
          <cell r="A2986" t="str">
            <v>39664-D310</v>
          </cell>
          <cell r="B2986" t="str">
            <v>100H Bedford Substation Reliability</v>
          </cell>
          <cell r="C2986" t="str">
            <v>zINVALID FIN Approval - External</v>
          </cell>
          <cell r="D2986">
            <v>64</v>
          </cell>
          <cell r="E2986" t="str">
            <v>APPROVED</v>
          </cell>
          <cell r="F2986">
            <v>40633</v>
          </cell>
          <cell r="G2986">
            <v>40786</v>
          </cell>
          <cell r="H2986">
            <v>239698.36</v>
          </cell>
          <cell r="I2986" t="str">
            <v>FIN Submission</v>
          </cell>
          <cell r="J2986">
            <v>41380</v>
          </cell>
        </row>
        <row r="2987">
          <cell r="A2987" t="str">
            <v>40281-T668</v>
          </cell>
          <cell r="B2987" t="str">
            <v>2011 Tx Line Insulator Replacement</v>
          </cell>
          <cell r="C2987" t="str">
            <v>zINVALID FIN Approval - External</v>
          </cell>
          <cell r="D2987">
            <v>64</v>
          </cell>
          <cell r="E2987" t="str">
            <v>APPROVED</v>
          </cell>
          <cell r="F2987">
            <v>40907</v>
          </cell>
          <cell r="G2987">
            <v>41243</v>
          </cell>
          <cell r="H2987">
            <v>3986553.24</v>
          </cell>
          <cell r="I2987" t="str">
            <v>FIN Submission</v>
          </cell>
          <cell r="J2987">
            <v>41380</v>
          </cell>
        </row>
        <row r="2988">
          <cell r="A2988" t="str">
            <v>39270-D339</v>
          </cell>
          <cell r="B2988" t="str">
            <v>2011 Dist. Cutout Replacements</v>
          </cell>
          <cell r="C2988" t="str">
            <v>zINVALID FIN Approval - External</v>
          </cell>
          <cell r="D2988">
            <v>78</v>
          </cell>
          <cell r="E2988" t="str">
            <v>APPROVED</v>
          </cell>
          <cell r="F2988">
            <v>40907</v>
          </cell>
          <cell r="G2988">
            <v>41243</v>
          </cell>
          <cell r="H2988">
            <v>3217257.43</v>
          </cell>
          <cell r="I2988" t="str">
            <v>FIN Submission</v>
          </cell>
          <cell r="J2988">
            <v>41380</v>
          </cell>
        </row>
        <row r="2989">
          <cell r="A2989" t="str">
            <v>38022-D360</v>
          </cell>
          <cell r="B2989" t="str">
            <v>2010 Recloser Additions</v>
          </cell>
          <cell r="C2989" t="str">
            <v>zINVALID FIN Approval - External</v>
          </cell>
          <cell r="D2989">
            <v>82</v>
          </cell>
          <cell r="E2989" t="str">
            <v>APPROVED</v>
          </cell>
          <cell r="F2989">
            <v>40663</v>
          </cell>
          <cell r="G2989">
            <v>41243</v>
          </cell>
          <cell r="H2989">
            <v>1654432.08</v>
          </cell>
          <cell r="I2989" t="str">
            <v>FIN Submission</v>
          </cell>
          <cell r="J2989">
            <v>41380</v>
          </cell>
        </row>
        <row r="2990">
          <cell r="A2990" t="str">
            <v>34583-P858</v>
          </cell>
          <cell r="B2990" t="str">
            <v>Transportation Vehicle Replacements</v>
          </cell>
          <cell r="C2990" t="str">
            <v>zINVALID FIN Approval - External</v>
          </cell>
          <cell r="D2990">
            <v>94</v>
          </cell>
          <cell r="E2990" t="str">
            <v>APPROVED</v>
          </cell>
          <cell r="F2990">
            <v>40663</v>
          </cell>
          <cell r="G2990">
            <v>41274</v>
          </cell>
          <cell r="H2990">
            <v>1406537.72</v>
          </cell>
          <cell r="I2990" t="str">
            <v>FIN Submission</v>
          </cell>
          <cell r="J2990">
            <v>41380</v>
          </cell>
        </row>
        <row r="2991">
          <cell r="A2991" t="str">
            <v>28702-T588</v>
          </cell>
          <cell r="B2991" t="str">
            <v>REPLACE BRIDGEWATER TRANSFORMER 89W</v>
          </cell>
          <cell r="C2991" t="str">
            <v>zINVALID FIN Approval - External</v>
          </cell>
          <cell r="D2991">
            <v>111</v>
          </cell>
          <cell r="E2991" t="str">
            <v>APPROVED</v>
          </cell>
          <cell r="F2991">
            <v>39994</v>
          </cell>
          <cell r="G2991">
            <v>41243</v>
          </cell>
          <cell r="H2991">
            <v>1773083.98</v>
          </cell>
          <cell r="I2991" t="str">
            <v>FIN Submission</v>
          </cell>
          <cell r="J2991">
            <v>41380</v>
          </cell>
        </row>
        <row r="2992">
          <cell r="A2992" t="str">
            <v>28295-T564</v>
          </cell>
          <cell r="B2992" t="str">
            <v>CONSTRUCT 137H-HAMMONDS PLAINS RD.</v>
          </cell>
          <cell r="C2992" t="str">
            <v>zINVALID FIN Approval - External</v>
          </cell>
          <cell r="D2992">
            <v>113</v>
          </cell>
          <cell r="E2992" t="str">
            <v>APPROVED</v>
          </cell>
          <cell r="F2992">
            <v>39860</v>
          </cell>
          <cell r="G2992">
            <v>41243</v>
          </cell>
          <cell r="H2992">
            <v>4003879.33</v>
          </cell>
          <cell r="I2992" t="str">
            <v>FIN Submission</v>
          </cell>
          <cell r="J2992">
            <v>41380</v>
          </cell>
        </row>
        <row r="2993">
          <cell r="A2993" t="str">
            <v>29013-T592</v>
          </cell>
          <cell r="B2993" t="str">
            <v>82V Elmsdale Transformer Addition</v>
          </cell>
          <cell r="C2993" t="str">
            <v>zINVALID FIN Approval - External</v>
          </cell>
          <cell r="D2993">
            <v>114</v>
          </cell>
          <cell r="E2993" t="str">
            <v>APPROVED</v>
          </cell>
          <cell r="F2993">
            <v>40221</v>
          </cell>
          <cell r="G2993">
            <v>41243</v>
          </cell>
          <cell r="H2993">
            <v>2920566.94</v>
          </cell>
          <cell r="I2993" t="str">
            <v>FIN Submission</v>
          </cell>
          <cell r="J2993">
            <v>41380</v>
          </cell>
        </row>
        <row r="2994">
          <cell r="A2994" t="str">
            <v>29008-T602</v>
          </cell>
          <cell r="B2994" t="str">
            <v>Construct 139H Dartmouth Crossing S</v>
          </cell>
          <cell r="C2994" t="str">
            <v>zINVALID FIN Approval - External</v>
          </cell>
          <cell r="D2994">
            <v>115</v>
          </cell>
          <cell r="E2994" t="str">
            <v>APPROVED</v>
          </cell>
          <cell r="F2994">
            <v>40344</v>
          </cell>
          <cell r="G2994">
            <v>41243</v>
          </cell>
          <cell r="H2994">
            <v>4681153.0199999996</v>
          </cell>
          <cell r="I2994" t="str">
            <v>FIN Submission</v>
          </cell>
          <cell r="J2994">
            <v>41380</v>
          </cell>
        </row>
        <row r="2995">
          <cell r="A2995" t="str">
            <v>28474-T574</v>
          </cell>
          <cell r="B2995" t="str">
            <v xml:space="preserve">ST CROIX INSTALL NEW TRANSFORMER &amp; </v>
          </cell>
          <cell r="C2995" t="str">
            <v>zINVALID FIN Approval - External</v>
          </cell>
          <cell r="D2995">
            <v>116</v>
          </cell>
          <cell r="E2995" t="str">
            <v>APPROVED</v>
          </cell>
          <cell r="F2995">
            <v>40078</v>
          </cell>
          <cell r="G2995">
            <v>41274</v>
          </cell>
          <cell r="H2995">
            <v>4070458.21</v>
          </cell>
          <cell r="I2995" t="str">
            <v>FIN Submission</v>
          </cell>
          <cell r="J2995">
            <v>41380</v>
          </cell>
        </row>
        <row r="2996">
          <cell r="A2996" t="str">
            <v>31682-D180</v>
          </cell>
          <cell r="B2996" t="str">
            <v>GIS Connectivity Model Improvements</v>
          </cell>
          <cell r="C2996" t="str">
            <v>zINVALID FIN Approval - External</v>
          </cell>
          <cell r="D2996">
            <v>99</v>
          </cell>
          <cell r="E2996" t="str">
            <v>APPROVED</v>
          </cell>
          <cell r="F2996">
            <v>39863</v>
          </cell>
          <cell r="G2996">
            <v>39981</v>
          </cell>
          <cell r="H2996">
            <v>20958.23</v>
          </cell>
          <cell r="I2996" t="str">
            <v>FIN Submission</v>
          </cell>
          <cell r="J2996">
            <v>41359</v>
          </cell>
        </row>
        <row r="2997">
          <cell r="A2997" t="str">
            <v>28476-T555</v>
          </cell>
          <cell r="B2997" t="str">
            <v>2007 TRANSMISSION LINE LIDAR SURVEY</v>
          </cell>
          <cell r="C2997" t="str">
            <v>zINVALID FIN Approval - External</v>
          </cell>
          <cell r="D2997">
            <v>111</v>
          </cell>
          <cell r="E2997" t="str">
            <v>APPROVED</v>
          </cell>
          <cell r="F2997">
            <v>41274</v>
          </cell>
          <cell r="G2997">
            <v>41974</v>
          </cell>
          <cell r="H2997">
            <v>6268.87</v>
          </cell>
          <cell r="I2997" t="str">
            <v>FIN Submission</v>
          </cell>
          <cell r="J2997">
            <v>41359</v>
          </cell>
        </row>
        <row r="2998">
          <cell r="A2998" t="str">
            <v>29017-D166</v>
          </cell>
          <cell r="B2998" t="str">
            <v>2008 Pcb Equipment Inventory</v>
          </cell>
          <cell r="C2998" t="str">
            <v>zINVALID FIN Approval - External</v>
          </cell>
          <cell r="D2998">
            <v>113</v>
          </cell>
          <cell r="E2998" t="str">
            <v>APPROVED</v>
          </cell>
          <cell r="F2998">
            <v>39863</v>
          </cell>
          <cell r="G2998">
            <v>40512</v>
          </cell>
          <cell r="H2998">
            <v>15599.7</v>
          </cell>
          <cell r="I2998" t="str">
            <v>FIN Submission</v>
          </cell>
          <cell r="J2998">
            <v>41359</v>
          </cell>
        </row>
        <row r="2999">
          <cell r="A2999" t="str">
            <v>40343-D335</v>
          </cell>
          <cell r="B2999" t="str">
            <v>73W-411 Mossman Lake Road</v>
          </cell>
          <cell r="C2999" t="str">
            <v>zINVALID FIN Approval - External</v>
          </cell>
          <cell r="D2999">
            <v>61</v>
          </cell>
          <cell r="E2999" t="str">
            <v>APPROVED</v>
          </cell>
          <cell r="F2999">
            <v>40693</v>
          </cell>
          <cell r="G2999">
            <v>41029</v>
          </cell>
          <cell r="H2999">
            <v>14445.85</v>
          </cell>
          <cell r="I2999" t="str">
            <v>FIN Submission</v>
          </cell>
          <cell r="J2999">
            <v>41346</v>
          </cell>
        </row>
        <row r="3000">
          <cell r="A3000" t="str">
            <v>40265-D337</v>
          </cell>
          <cell r="B3000" t="str">
            <v>77V-401 Targeted Replacements</v>
          </cell>
          <cell r="C3000" t="str">
            <v>zINVALID FIN Approval - External</v>
          </cell>
          <cell r="D3000">
            <v>59</v>
          </cell>
          <cell r="E3000" t="str">
            <v>APPROVED</v>
          </cell>
          <cell r="F3000">
            <v>40907</v>
          </cell>
          <cell r="G3000">
            <v>40999</v>
          </cell>
          <cell r="H3000">
            <v>207921.82</v>
          </cell>
          <cell r="I3000" t="str">
            <v>FIN Submission</v>
          </cell>
          <cell r="J3000">
            <v>41345</v>
          </cell>
        </row>
        <row r="3001">
          <cell r="A3001" t="str">
            <v>40291-D333</v>
          </cell>
          <cell r="B3001" t="str">
            <v>2C-402 Targeted Replacements</v>
          </cell>
          <cell r="C3001" t="str">
            <v>zINVALID FIN Approval - External</v>
          </cell>
          <cell r="D3001">
            <v>61</v>
          </cell>
          <cell r="E3001" t="str">
            <v>APPROVED</v>
          </cell>
          <cell r="F3001">
            <v>40907</v>
          </cell>
          <cell r="G3001">
            <v>41029</v>
          </cell>
          <cell r="H3001">
            <v>47055.37</v>
          </cell>
          <cell r="I3001" t="str">
            <v>FIN Submission</v>
          </cell>
          <cell r="J3001">
            <v>41345</v>
          </cell>
        </row>
        <row r="3002">
          <cell r="A3002" t="str">
            <v>40264-D329</v>
          </cell>
          <cell r="B3002" t="str">
            <v>37N-411 Targeted Replacements</v>
          </cell>
          <cell r="C3002" t="str">
            <v>zINVALID FIN Approval - External</v>
          </cell>
          <cell r="D3002">
            <v>61</v>
          </cell>
          <cell r="E3002" t="str">
            <v>APPROVED</v>
          </cell>
          <cell r="F3002">
            <v>40724</v>
          </cell>
          <cell r="G3002">
            <v>41029</v>
          </cell>
          <cell r="H3002">
            <v>18134.330000000002</v>
          </cell>
          <cell r="I3002" t="str">
            <v>FIN Submission</v>
          </cell>
          <cell r="J3002">
            <v>41345</v>
          </cell>
        </row>
        <row r="3003">
          <cell r="A3003" t="str">
            <v>39788-D312</v>
          </cell>
          <cell r="B3003" t="str">
            <v>Highbury School Road - Part of D004</v>
          </cell>
          <cell r="C3003" t="str">
            <v>zINVALID FIN Approval - External</v>
          </cell>
          <cell r="D3003">
            <v>63</v>
          </cell>
          <cell r="E3003" t="str">
            <v>APPROVED</v>
          </cell>
          <cell r="F3003">
            <v>40573</v>
          </cell>
          <cell r="G3003">
            <v>40907</v>
          </cell>
          <cell r="H3003">
            <v>121737.49</v>
          </cell>
          <cell r="I3003" t="str">
            <v>FIN Submission</v>
          </cell>
          <cell r="J3003">
            <v>41345</v>
          </cell>
        </row>
        <row r="3004">
          <cell r="A3004" t="str">
            <v>39493-P821</v>
          </cell>
          <cell r="B3004" t="str">
            <v>Field Connect</v>
          </cell>
          <cell r="C3004" t="str">
            <v>zINVALID FIN Approval - External</v>
          </cell>
          <cell r="D3004">
            <v>66</v>
          </cell>
          <cell r="E3004" t="str">
            <v>APPROVED</v>
          </cell>
          <cell r="F3004">
            <v>40724</v>
          </cell>
          <cell r="G3004">
            <v>40907</v>
          </cell>
          <cell r="H3004">
            <v>86873.73</v>
          </cell>
          <cell r="I3004" t="str">
            <v>FIN Submission</v>
          </cell>
          <cell r="J3004">
            <v>41345</v>
          </cell>
        </row>
        <row r="3005">
          <cell r="A3005" t="str">
            <v>39191-D274</v>
          </cell>
          <cell r="B3005" t="str">
            <v>Jordan Ferry Build to Road Side</v>
          </cell>
          <cell r="C3005" t="str">
            <v>zINVALID FIN Approval - External</v>
          </cell>
          <cell r="D3005">
            <v>73</v>
          </cell>
          <cell r="E3005" t="str">
            <v>APPROVED</v>
          </cell>
          <cell r="F3005">
            <v>40334</v>
          </cell>
          <cell r="G3005">
            <v>40908</v>
          </cell>
          <cell r="H3005">
            <v>206120.51</v>
          </cell>
          <cell r="I3005" t="str">
            <v>FIN Submission</v>
          </cell>
          <cell r="J3005">
            <v>41345</v>
          </cell>
        </row>
        <row r="3006">
          <cell r="A3006" t="str">
            <v>39159-D257</v>
          </cell>
          <cell r="B3006" t="str">
            <v>PE Reliability Keltic Dr New Feeder</v>
          </cell>
          <cell r="C3006" t="str">
            <v>zINVALID FIN Approval - External</v>
          </cell>
          <cell r="D3006">
            <v>75</v>
          </cell>
          <cell r="E3006" t="str">
            <v>APPROVED</v>
          </cell>
          <cell r="F3006">
            <v>40330</v>
          </cell>
          <cell r="G3006">
            <v>41271</v>
          </cell>
          <cell r="H3006">
            <v>0</v>
          </cell>
          <cell r="I3006" t="str">
            <v>FIN Submission</v>
          </cell>
          <cell r="J3006">
            <v>41345</v>
          </cell>
        </row>
        <row r="3007">
          <cell r="A3007" t="str">
            <v>38914-D305</v>
          </cell>
          <cell r="B3007" t="str">
            <v>2010 Guard Installations</v>
          </cell>
          <cell r="C3007" t="str">
            <v>zINVALID FIN Approval - External</v>
          </cell>
          <cell r="D3007">
            <v>80</v>
          </cell>
          <cell r="E3007" t="str">
            <v>APPROVED</v>
          </cell>
          <cell r="F3007">
            <v>40691</v>
          </cell>
          <cell r="G3007">
            <v>40752</v>
          </cell>
          <cell r="H3007">
            <v>44895.15</v>
          </cell>
          <cell r="I3007" t="str">
            <v>FIN Submission</v>
          </cell>
          <cell r="J3007">
            <v>41345</v>
          </cell>
        </row>
        <row r="3008">
          <cell r="A3008" t="str">
            <v>38082-P818</v>
          </cell>
          <cell r="B3008" t="str">
            <v>Phone Replacement System Operations</v>
          </cell>
          <cell r="C3008" t="str">
            <v>zINVALID FIN Approval - External</v>
          </cell>
          <cell r="D3008">
            <v>86</v>
          </cell>
          <cell r="E3008" t="str">
            <v>APPROVED</v>
          </cell>
          <cell r="F3008">
            <v>40482</v>
          </cell>
          <cell r="G3008">
            <v>41180</v>
          </cell>
          <cell r="H3008">
            <v>132005.34</v>
          </cell>
          <cell r="I3008" t="str">
            <v>FIN Submission</v>
          </cell>
          <cell r="J3008">
            <v>41345</v>
          </cell>
        </row>
        <row r="3009">
          <cell r="A3009" t="str">
            <v>34002-D189</v>
          </cell>
          <cell r="B3009" t="str">
            <v xml:space="preserve">Sutherland's River Transfer Scheme </v>
          </cell>
          <cell r="C3009" t="str">
            <v>zINVALID FIN Approval - External</v>
          </cell>
          <cell r="D3009">
            <v>94</v>
          </cell>
          <cell r="E3009" t="str">
            <v>APPROVED</v>
          </cell>
          <cell r="F3009">
            <v>39903</v>
          </cell>
          <cell r="G3009">
            <v>40543</v>
          </cell>
          <cell r="H3009">
            <v>21032.09</v>
          </cell>
          <cell r="I3009" t="str">
            <v>FIN Submission</v>
          </cell>
          <cell r="J3009">
            <v>41345</v>
          </cell>
        </row>
        <row r="3010">
          <cell r="A3010" t="str">
            <v>34402-D196</v>
          </cell>
          <cell r="B3010" t="str">
            <v xml:space="preserve">Cambridge Road 55V-312 </v>
          </cell>
          <cell r="C3010" t="str">
            <v>zINVALID FIN Approval - External</v>
          </cell>
          <cell r="D3010">
            <v>96</v>
          </cell>
          <cell r="E3010" t="str">
            <v>APPROVED</v>
          </cell>
          <cell r="F3010">
            <v>39994</v>
          </cell>
          <cell r="G3010">
            <v>40178</v>
          </cell>
          <cell r="H3010">
            <v>-4908.87</v>
          </cell>
          <cell r="I3010" t="str">
            <v>FIN Submission</v>
          </cell>
          <cell r="J3010">
            <v>41345</v>
          </cell>
        </row>
        <row r="3011">
          <cell r="A3011" t="str">
            <v>33462-D218</v>
          </cell>
          <cell r="B3011" t="str">
            <v>Keltic Drive Reconductor Feeder</v>
          </cell>
          <cell r="C3011" t="str">
            <v>zINVALID FIN Approval - External</v>
          </cell>
          <cell r="D3011">
            <v>99</v>
          </cell>
          <cell r="E3011" t="str">
            <v>APPROVED</v>
          </cell>
          <cell r="F3011">
            <v>40086</v>
          </cell>
          <cell r="G3011">
            <v>41274</v>
          </cell>
          <cell r="H3011">
            <v>72914.2</v>
          </cell>
          <cell r="I3011" t="str">
            <v>FIN Submission</v>
          </cell>
          <cell r="J3011">
            <v>41345</v>
          </cell>
        </row>
        <row r="3012">
          <cell r="A3012" t="str">
            <v>33522-P780</v>
          </cell>
          <cell r="B3012" t="str">
            <v>Upgrade Tusket Telecommunications</v>
          </cell>
          <cell r="C3012" t="str">
            <v>zINVALID FIN Approval - External</v>
          </cell>
          <cell r="D3012">
            <v>99</v>
          </cell>
          <cell r="E3012" t="str">
            <v>APPROVED</v>
          </cell>
          <cell r="F3012">
            <v>40482</v>
          </cell>
          <cell r="G3012">
            <v>40905</v>
          </cell>
          <cell r="H3012">
            <v>222042.94</v>
          </cell>
          <cell r="I3012" t="str">
            <v>FIN Submission</v>
          </cell>
          <cell r="J3012">
            <v>41345</v>
          </cell>
        </row>
        <row r="3013">
          <cell r="A3013" t="str">
            <v>30242-P765</v>
          </cell>
          <cell r="B3013" t="str">
            <v>GIS UPGRADE U&amp;U</v>
          </cell>
          <cell r="C3013" t="str">
            <v>zINVALID FIN Approval - External</v>
          </cell>
          <cell r="D3013">
            <v>103</v>
          </cell>
          <cell r="E3013" t="str">
            <v>APPROVED</v>
          </cell>
          <cell r="F3013">
            <v>39881</v>
          </cell>
          <cell r="G3013">
            <v>40390</v>
          </cell>
          <cell r="H3013">
            <v>197816.15</v>
          </cell>
          <cell r="I3013" t="str">
            <v>FIN Submission</v>
          </cell>
          <cell r="J3013">
            <v>41345</v>
          </cell>
        </row>
        <row r="3014">
          <cell r="A3014" t="str">
            <v>29562-T576</v>
          </cell>
          <cell r="B3014" t="str">
            <v>15S Replace Rads and Bushings</v>
          </cell>
          <cell r="C3014" t="str">
            <v>zINVALID FIN Approval - External</v>
          </cell>
          <cell r="D3014">
            <v>105</v>
          </cell>
          <cell r="E3014" t="str">
            <v>APPROVED</v>
          </cell>
          <cell r="F3014">
            <v>39891</v>
          </cell>
          <cell r="G3014">
            <v>40522</v>
          </cell>
          <cell r="H3014">
            <v>147126.29999999999</v>
          </cell>
          <cell r="I3014" t="str">
            <v>FIN Submission</v>
          </cell>
          <cell r="J3014">
            <v>41345</v>
          </cell>
        </row>
        <row r="3015">
          <cell r="A3015" t="str">
            <v>29582-T573</v>
          </cell>
          <cell r="B3015" t="str">
            <v>Replace Breaker 120H-715</v>
          </cell>
          <cell r="C3015" t="str">
            <v>zINVALID FIN Approval - External</v>
          </cell>
          <cell r="D3015">
            <v>106</v>
          </cell>
          <cell r="E3015" t="str">
            <v>APPROVED</v>
          </cell>
          <cell r="F3015">
            <v>39878</v>
          </cell>
          <cell r="G3015">
            <v>40998</v>
          </cell>
          <cell r="H3015">
            <v>65496.63</v>
          </cell>
          <cell r="I3015" t="str">
            <v>FIN Submission</v>
          </cell>
          <cell r="J3015">
            <v>41345</v>
          </cell>
        </row>
        <row r="3016">
          <cell r="A3016" t="str">
            <v>29122-D161</v>
          </cell>
          <cell r="B3016" t="str">
            <v>Lake Lemarchant Rebuild To Roadside</v>
          </cell>
          <cell r="C3016" t="str">
            <v>zINVALID FIN Approval - External</v>
          </cell>
          <cell r="D3016">
            <v>111</v>
          </cell>
          <cell r="E3016" t="str">
            <v>APPROVED</v>
          </cell>
          <cell r="F3016">
            <v>39812</v>
          </cell>
          <cell r="G3016">
            <v>39933</v>
          </cell>
          <cell r="H3016">
            <v>116382.99</v>
          </cell>
          <cell r="I3016" t="str">
            <v>FIN Submission</v>
          </cell>
          <cell r="J3016">
            <v>41345</v>
          </cell>
        </row>
        <row r="3017">
          <cell r="A3017" t="str">
            <v>29043-P766</v>
          </cell>
          <cell r="B3017" t="str">
            <v>REPLACE METRO SR-500 RADIO SYSTEM</v>
          </cell>
          <cell r="C3017" t="str">
            <v>zINVALID FIN Approval - External</v>
          </cell>
          <cell r="D3017">
            <v>112</v>
          </cell>
          <cell r="E3017" t="str">
            <v>APPROVED</v>
          </cell>
          <cell r="F3017">
            <v>40055</v>
          </cell>
          <cell r="G3017">
            <v>40543</v>
          </cell>
          <cell r="H3017">
            <v>107671.31</v>
          </cell>
          <cell r="I3017" t="str">
            <v>FIN Submission</v>
          </cell>
          <cell r="J3017">
            <v>41345</v>
          </cell>
        </row>
        <row r="3018">
          <cell r="A3018" t="str">
            <v>28498-D134</v>
          </cell>
          <cell r="B3018" t="str">
            <v>2007 Northeast Replace Cutouts</v>
          </cell>
          <cell r="C3018" t="str">
            <v>zINVALID FIN Approval - External</v>
          </cell>
          <cell r="D3018">
            <v>48</v>
          </cell>
          <cell r="E3018" t="str">
            <v>APPROVED</v>
          </cell>
          <cell r="F3018">
            <v>40513</v>
          </cell>
          <cell r="G3018">
            <v>40513</v>
          </cell>
          <cell r="H3018">
            <v>1030.2</v>
          </cell>
          <cell r="I3018" t="str">
            <v>FIN Submission</v>
          </cell>
          <cell r="J3018">
            <v>41341</v>
          </cell>
        </row>
        <row r="3019">
          <cell r="A3019" t="str">
            <v>28999-D149</v>
          </cell>
          <cell r="B3019" t="str">
            <v>West Montrose Road Det. Pole Replac</v>
          </cell>
          <cell r="C3019" t="str">
            <v>zINVALID FIN Approval - External</v>
          </cell>
          <cell r="D3019">
            <v>112</v>
          </cell>
          <cell r="E3019" t="str">
            <v>APPROVED</v>
          </cell>
          <cell r="F3019">
            <v>39861</v>
          </cell>
          <cell r="G3019">
            <v>40389</v>
          </cell>
          <cell r="H3019">
            <v>21099.68</v>
          </cell>
          <cell r="I3019" t="str">
            <v>FIN Submission</v>
          </cell>
          <cell r="J3019">
            <v>41341</v>
          </cell>
        </row>
        <row r="3020">
          <cell r="A3020" t="str">
            <v>29016-T577</v>
          </cell>
          <cell r="B3020" t="str">
            <v xml:space="preserve">INSTALL CIRCUIT SWITCHER 100C-CAPE </v>
          </cell>
          <cell r="C3020" t="str">
            <v>zINVALID FIN Approval - External</v>
          </cell>
          <cell r="D3020">
            <v>115</v>
          </cell>
          <cell r="E3020" t="str">
            <v>APPROVED</v>
          </cell>
          <cell r="F3020">
            <v>39813</v>
          </cell>
          <cell r="G3020">
            <v>39903</v>
          </cell>
          <cell r="H3020">
            <v>163275.98000000001</v>
          </cell>
          <cell r="I3020" t="str">
            <v>FIN Submission</v>
          </cell>
          <cell r="J3020">
            <v>41341</v>
          </cell>
        </row>
        <row r="3021">
          <cell r="A3021" t="str">
            <v>28484-P726</v>
          </cell>
          <cell r="B3021" t="str">
            <v>PSS/E SERVER</v>
          </cell>
          <cell r="C3021" t="str">
            <v>zINVALID FIN Approval - External</v>
          </cell>
          <cell r="D3021">
            <v>110</v>
          </cell>
          <cell r="E3021" t="str">
            <v>APPROVED</v>
          </cell>
          <cell r="F3021">
            <v>39853</v>
          </cell>
          <cell r="G3021">
            <v>39903</v>
          </cell>
          <cell r="H3021">
            <v>28648.28</v>
          </cell>
          <cell r="I3021" t="str">
            <v>FIN Submission</v>
          </cell>
          <cell r="J3021">
            <v>41340</v>
          </cell>
        </row>
        <row r="3022">
          <cell r="A3022" t="str">
            <v>25566-P744</v>
          </cell>
          <cell r="B3022" t="str">
            <v>REPLACE DNR MICROWAVE CIRCUITS</v>
          </cell>
          <cell r="C3022" t="str">
            <v>zINVALID FIN Approval - External</v>
          </cell>
          <cell r="D3022">
            <v>114</v>
          </cell>
          <cell r="E3022" t="str">
            <v>APPROVED</v>
          </cell>
          <cell r="F3022">
            <v>39814</v>
          </cell>
          <cell r="G3022">
            <v>41243</v>
          </cell>
          <cell r="H3022">
            <v>2205251.52</v>
          </cell>
          <cell r="I3022" t="str">
            <v>FIN Submission</v>
          </cell>
          <cell r="J3022">
            <v>41340</v>
          </cell>
        </row>
        <row r="3023">
          <cell r="A3023" t="str">
            <v>32163-P797</v>
          </cell>
          <cell r="B3023" t="str">
            <v>Treasury Management System Upgrade</v>
          </cell>
          <cell r="C3023" t="str">
            <v>zINVALID FIN Approval - External</v>
          </cell>
          <cell r="D3023">
            <v>107</v>
          </cell>
          <cell r="E3023" t="str">
            <v>APPROVED</v>
          </cell>
          <cell r="F3023">
            <v>40770</v>
          </cell>
          <cell r="G3023">
            <v>41274</v>
          </cell>
          <cell r="H3023">
            <v>141019.41</v>
          </cell>
          <cell r="I3023" t="str">
            <v>FIN Submission</v>
          </cell>
          <cell r="J3023">
            <v>41317</v>
          </cell>
        </row>
        <row r="3024">
          <cell r="A3024" t="str">
            <v>28552-S256</v>
          </cell>
          <cell r="B3024" t="str">
            <v>TRE5 Replace Trenton 5 Generator</v>
          </cell>
          <cell r="C3024" t="str">
            <v>zINVALID FIN Approval - External</v>
          </cell>
          <cell r="D3024">
            <v>114</v>
          </cell>
          <cell r="E3024" t="str">
            <v>APPROVED</v>
          </cell>
          <cell r="F3024">
            <v>40068</v>
          </cell>
          <cell r="G3024">
            <v>41236</v>
          </cell>
          <cell r="H3024">
            <v>15834752.960000001</v>
          </cell>
          <cell r="I3024" t="str">
            <v>FIN Submission</v>
          </cell>
          <cell r="J3024">
            <v>41317</v>
          </cell>
        </row>
        <row r="3025">
          <cell r="A3025" t="str">
            <v>39529-S862</v>
          </cell>
          <cell r="B3025" t="str">
            <v>POT - Turbine Major 2011</v>
          </cell>
          <cell r="C3025" t="str">
            <v>zINVALID FIN Approval - External</v>
          </cell>
          <cell r="D3025">
            <v>74</v>
          </cell>
          <cell r="E3025" t="str">
            <v>APPROVED</v>
          </cell>
          <cell r="F3025">
            <v>40812</v>
          </cell>
          <cell r="G3025">
            <v>41269</v>
          </cell>
          <cell r="H3025">
            <v>5177977.91</v>
          </cell>
          <cell r="I3025" t="str">
            <v>FIN Submission</v>
          </cell>
          <cell r="J3025">
            <v>41292</v>
          </cell>
        </row>
        <row r="3026">
          <cell r="A3026" t="str">
            <v>38942-S657</v>
          </cell>
          <cell r="B3026" t="str">
            <v>TUC #3 GENERATOR ROTOR REWIND</v>
          </cell>
          <cell r="C3026" t="str">
            <v>zINVALID FIN Approval - External</v>
          </cell>
          <cell r="D3026">
            <v>75</v>
          </cell>
          <cell r="E3026" t="str">
            <v>APPROVED</v>
          </cell>
          <cell r="F3026">
            <v>40543</v>
          </cell>
          <cell r="G3026">
            <v>41243</v>
          </cell>
          <cell r="H3026">
            <v>1445910.63</v>
          </cell>
          <cell r="I3026" t="str">
            <v>FIN Submission</v>
          </cell>
          <cell r="J3026">
            <v>41284</v>
          </cell>
        </row>
        <row r="3027">
          <cell r="A3027" t="str">
            <v>28865-S264</v>
          </cell>
          <cell r="B3027" t="str">
            <v>POT-UNIT#2 LOW NOX COMBUSTION FIRIN</v>
          </cell>
          <cell r="C3027" t="str">
            <v>zINVALID FIN Approval - External</v>
          </cell>
          <cell r="D3027">
            <v>116</v>
          </cell>
          <cell r="E3027" t="str">
            <v>APPROVED</v>
          </cell>
          <cell r="F3027">
            <v>39721</v>
          </cell>
          <cell r="G3027">
            <v>41274</v>
          </cell>
          <cell r="H3027">
            <v>3561730.91</v>
          </cell>
          <cell r="I3027" t="str">
            <v>FIN Submission</v>
          </cell>
          <cell r="J3027">
            <v>41284</v>
          </cell>
        </row>
        <row r="3028">
          <cell r="A3028" t="str">
            <v>31244-H574</v>
          </cell>
          <cell r="B3028" t="str">
            <v>HYD Paradise Wood Stave Pipeline R</v>
          </cell>
          <cell r="C3028" t="str">
            <v>zINVALID FIN Approval - External</v>
          </cell>
          <cell r="D3028">
            <v>100</v>
          </cell>
          <cell r="E3028" t="str">
            <v>APPROVED</v>
          </cell>
          <cell r="F3028">
            <v>40543</v>
          </cell>
          <cell r="G3028">
            <v>41152</v>
          </cell>
          <cell r="H3028">
            <v>9386934.1899999995</v>
          </cell>
          <cell r="I3028" t="str">
            <v>FIN Submission</v>
          </cell>
          <cell r="J3028">
            <v>41283</v>
          </cell>
        </row>
        <row r="3029">
          <cell r="A3029" t="str">
            <v>29822-S365</v>
          </cell>
          <cell r="B3029" t="str">
            <v>Pt. Tupper Relocate Port Malcolm Rd</v>
          </cell>
          <cell r="C3029" t="str">
            <v>zINVALID FIN Approval - External</v>
          </cell>
          <cell r="D3029">
            <v>105</v>
          </cell>
          <cell r="E3029" t="str">
            <v>APPROVED</v>
          </cell>
          <cell r="F3029">
            <v>39814</v>
          </cell>
          <cell r="G3029">
            <v>41152</v>
          </cell>
          <cell r="H3029">
            <v>1632187.45</v>
          </cell>
          <cell r="I3029" t="str">
            <v>FIN Submission</v>
          </cell>
          <cell r="J3029">
            <v>41283</v>
          </cell>
        </row>
        <row r="3030">
          <cell r="A3030" t="str">
            <v>33942-H555</v>
          </cell>
          <cell r="B3030" t="str">
            <v>U&amp;U Coon Pond  Pipeline Replacement</v>
          </cell>
          <cell r="C3030" t="str">
            <v>zINVALID FIN Approval - External</v>
          </cell>
          <cell r="D3030">
            <v>91</v>
          </cell>
          <cell r="E3030" t="str">
            <v>APPROVED</v>
          </cell>
          <cell r="F3030">
            <v>40344</v>
          </cell>
          <cell r="G3030">
            <v>41152</v>
          </cell>
          <cell r="H3030">
            <v>1600479.78</v>
          </cell>
          <cell r="I3030" t="str">
            <v>FIN Submission</v>
          </cell>
          <cell r="J3030">
            <v>41261</v>
          </cell>
        </row>
        <row r="3031">
          <cell r="A3031" t="str">
            <v>32442-H572</v>
          </cell>
          <cell r="B3031" t="str">
            <v>HYD Ridge Spillway Refurbishment</v>
          </cell>
          <cell r="C3031" t="str">
            <v>zINVALID FIN Approval - External</v>
          </cell>
          <cell r="D3031">
            <v>93</v>
          </cell>
          <cell r="E3031" t="str">
            <v>APPROVED</v>
          </cell>
          <cell r="F3031">
            <v>40188</v>
          </cell>
          <cell r="G3031">
            <v>41120</v>
          </cell>
          <cell r="H3031">
            <v>1569003.43</v>
          </cell>
          <cell r="I3031" t="str">
            <v>FIN Submission</v>
          </cell>
          <cell r="J3031">
            <v>41261</v>
          </cell>
        </row>
        <row r="3032">
          <cell r="A3032" t="str">
            <v>31203-H571</v>
          </cell>
          <cell r="B3032" t="str">
            <v>HYD Toms Lake Dam Safety Remedial W</v>
          </cell>
          <cell r="C3032" t="str">
            <v>zINVALID FIN Approval - External</v>
          </cell>
          <cell r="D3032">
            <v>96</v>
          </cell>
          <cell r="E3032" t="str">
            <v>APPROVED</v>
          </cell>
          <cell r="F3032">
            <v>40178</v>
          </cell>
          <cell r="G3032">
            <v>41121</v>
          </cell>
          <cell r="H3032">
            <v>2008811.1</v>
          </cell>
          <cell r="I3032" t="str">
            <v>FIN Submission</v>
          </cell>
          <cell r="J3032">
            <v>41261</v>
          </cell>
        </row>
        <row r="3033">
          <cell r="A3033" t="str">
            <v>28570-H530</v>
          </cell>
          <cell r="B3033" t="str">
            <v>HYD Hollow Bridge Generator Rewind</v>
          </cell>
          <cell r="C3033" t="str">
            <v>zINVALID FIN Approval - External</v>
          </cell>
          <cell r="D3033">
            <v>105</v>
          </cell>
          <cell r="E3033" t="str">
            <v>APPROVED</v>
          </cell>
          <cell r="F3033">
            <v>40451</v>
          </cell>
          <cell r="G3033">
            <v>41152</v>
          </cell>
          <cell r="H3033">
            <v>1492475.9</v>
          </cell>
          <cell r="I3033" t="str">
            <v>FIN Submission</v>
          </cell>
          <cell r="J3033">
            <v>41261</v>
          </cell>
        </row>
        <row r="3034">
          <cell r="A3034" t="str">
            <v>40221-P839</v>
          </cell>
          <cell r="B3034" t="str">
            <v>Mercury Monitoring &amp; Testing</v>
          </cell>
          <cell r="C3034" t="str">
            <v>zINVALID FIN Approval - External</v>
          </cell>
          <cell r="D3034">
            <v>59</v>
          </cell>
          <cell r="E3034" t="str">
            <v>APPROVED</v>
          </cell>
          <cell r="F3034">
            <v>40908</v>
          </cell>
          <cell r="G3034">
            <v>40908</v>
          </cell>
          <cell r="H3034">
            <v>82739.25</v>
          </cell>
          <cell r="I3034" t="str">
            <v>FIN Submission</v>
          </cell>
          <cell r="J3034">
            <v>41247</v>
          </cell>
        </row>
        <row r="3035">
          <cell r="A3035" t="str">
            <v>40295-P846</v>
          </cell>
          <cell r="B3035" t="str">
            <v>Carbon Dioxide Monitoring</v>
          </cell>
          <cell r="C3035" t="str">
            <v>zINVALID FIN Approval - External</v>
          </cell>
          <cell r="D3035">
            <v>60</v>
          </cell>
          <cell r="E3035" t="str">
            <v>APPROVED</v>
          </cell>
          <cell r="F3035">
            <v>40908</v>
          </cell>
          <cell r="G3035">
            <v>40999</v>
          </cell>
          <cell r="H3035">
            <v>28647.360000000001</v>
          </cell>
          <cell r="I3035" t="str">
            <v>FIN Submission</v>
          </cell>
          <cell r="J3035">
            <v>41247</v>
          </cell>
        </row>
        <row r="3036">
          <cell r="A3036" t="str">
            <v>38826-S851</v>
          </cell>
          <cell r="B3036" t="str">
            <v xml:space="preserve">POT - DCS upgrade </v>
          </cell>
          <cell r="C3036" t="str">
            <v>zINVALID FIN Approval - External</v>
          </cell>
          <cell r="D3036">
            <v>82</v>
          </cell>
          <cell r="E3036" t="str">
            <v>APPROVED</v>
          </cell>
          <cell r="F3036">
            <v>40816</v>
          </cell>
          <cell r="G3036">
            <v>41152</v>
          </cell>
          <cell r="H3036">
            <v>1349492.92</v>
          </cell>
          <cell r="I3036" t="str">
            <v>FIN Submission</v>
          </cell>
          <cell r="J3036">
            <v>41246</v>
          </cell>
        </row>
        <row r="3037">
          <cell r="A3037" t="str">
            <v>28726-H597</v>
          </cell>
          <cell r="B3037" t="str">
            <v>HYD Carlton Lake Dam Refurbishment</v>
          </cell>
          <cell r="C3037" t="str">
            <v>zINVALID FIN Approval - External</v>
          </cell>
          <cell r="D3037">
            <v>109</v>
          </cell>
          <cell r="E3037" t="str">
            <v>APPROVED</v>
          </cell>
          <cell r="F3037">
            <v>40724</v>
          </cell>
          <cell r="G3037">
            <v>41152</v>
          </cell>
          <cell r="H3037">
            <v>6321507.6100000003</v>
          </cell>
          <cell r="I3037" t="str">
            <v>FIN Submission</v>
          </cell>
          <cell r="J3037">
            <v>41246</v>
          </cell>
        </row>
        <row r="3038">
          <cell r="A3038" t="str">
            <v>40790-T667</v>
          </cell>
          <cell r="B3038" t="str">
            <v>Relocate L6511 and Feeder 4C-430</v>
          </cell>
          <cell r="C3038" t="str">
            <v>zINVALID FIN Approval - External</v>
          </cell>
          <cell r="D3038">
            <v>45</v>
          </cell>
          <cell r="E3038" t="str">
            <v>APPROVED</v>
          </cell>
          <cell r="F3038">
            <v>40816</v>
          </cell>
          <cell r="G3038">
            <v>41027</v>
          </cell>
          <cell r="H3038">
            <v>-13069.37</v>
          </cell>
          <cell r="I3038" t="str">
            <v>FIN Submission</v>
          </cell>
          <cell r="J3038">
            <v>41227</v>
          </cell>
        </row>
        <row r="3039">
          <cell r="A3039" t="str">
            <v>40335-S763</v>
          </cell>
          <cell r="B3039" t="str">
            <v>POT - Replace GSCW heat exchanger p</v>
          </cell>
          <cell r="C3039" t="str">
            <v>zINVALID FIN Approval - External</v>
          </cell>
          <cell r="D3039">
            <v>59</v>
          </cell>
          <cell r="E3039" t="str">
            <v>APPROVED</v>
          </cell>
          <cell r="F3039">
            <v>40878</v>
          </cell>
          <cell r="G3039">
            <v>41244</v>
          </cell>
          <cell r="H3039">
            <v>72566.009999999995</v>
          </cell>
          <cell r="I3039" t="str">
            <v>FIN Submission</v>
          </cell>
          <cell r="J3039">
            <v>41227</v>
          </cell>
        </row>
        <row r="3040">
          <cell r="A3040" t="str">
            <v>38929-S507</v>
          </cell>
          <cell r="B3040" t="str">
            <v>POT - U&amp;U E-Crane</v>
          </cell>
          <cell r="C3040" t="str">
            <v>zINVALID FIN Approval - External</v>
          </cell>
          <cell r="D3040">
            <v>74</v>
          </cell>
          <cell r="E3040" t="str">
            <v>APPROVED</v>
          </cell>
          <cell r="F3040">
            <v>40269</v>
          </cell>
          <cell r="G3040">
            <v>41244</v>
          </cell>
          <cell r="H3040">
            <v>160730.54999999999</v>
          </cell>
          <cell r="I3040" t="str">
            <v>FIN Submission</v>
          </cell>
          <cell r="J3040">
            <v>41227</v>
          </cell>
        </row>
        <row r="3041">
          <cell r="A3041" t="str">
            <v>31662-T587</v>
          </cell>
          <cell r="B3041" t="str">
            <v>L6515-Repair Concrete Foundations</v>
          </cell>
          <cell r="C3041" t="str">
            <v>zINVALID FIN Approval - External</v>
          </cell>
          <cell r="D3041">
            <v>98</v>
          </cell>
          <cell r="E3041" t="str">
            <v>APPROVED</v>
          </cell>
          <cell r="F3041">
            <v>39878</v>
          </cell>
          <cell r="G3041">
            <v>40369</v>
          </cell>
          <cell r="H3041">
            <v>161891.5</v>
          </cell>
          <cell r="I3041" t="str">
            <v>FIN Submission</v>
          </cell>
          <cell r="J3041">
            <v>41226</v>
          </cell>
        </row>
        <row r="3042">
          <cell r="A3042" t="str">
            <v>30562-D170</v>
          </cell>
          <cell r="B3042" t="str">
            <v>Greenville Upgrade</v>
          </cell>
          <cell r="C3042" t="str">
            <v>zINVALID FIN Approval - External</v>
          </cell>
          <cell r="D3042">
            <v>102</v>
          </cell>
          <cell r="E3042" t="str">
            <v>APPROVED</v>
          </cell>
          <cell r="F3042">
            <v>39752</v>
          </cell>
          <cell r="G3042">
            <v>39933</v>
          </cell>
          <cell r="H3042">
            <v>105574.67</v>
          </cell>
          <cell r="I3042" t="str">
            <v>FIN Submission</v>
          </cell>
          <cell r="J3042">
            <v>41226</v>
          </cell>
        </row>
        <row r="3043">
          <cell r="A3043" t="str">
            <v>29842-T601</v>
          </cell>
          <cell r="B3043" t="str">
            <v>Move Line  Pt. Tupper Dust Mitigate</v>
          </cell>
          <cell r="C3043" t="str">
            <v>zINVALID FIN Approval - External</v>
          </cell>
          <cell r="D3043">
            <v>104</v>
          </cell>
          <cell r="E3043" t="str">
            <v>APPROVED</v>
          </cell>
          <cell r="F3043">
            <v>40178</v>
          </cell>
          <cell r="G3043">
            <v>40390</v>
          </cell>
          <cell r="H3043">
            <v>154204.19</v>
          </cell>
          <cell r="I3043" t="str">
            <v>FIN Submission</v>
          </cell>
          <cell r="J3043">
            <v>41226</v>
          </cell>
        </row>
        <row r="3044">
          <cell r="A3044" t="str">
            <v>28478-T549</v>
          </cell>
          <cell r="B3044" t="str">
            <v>L6033 &amp; L6035 Tower Footing Restora</v>
          </cell>
          <cell r="C3044" t="str">
            <v>zINVALID FIN Approval - External</v>
          </cell>
          <cell r="D3044">
            <v>112</v>
          </cell>
          <cell r="E3044" t="str">
            <v>APPROVED</v>
          </cell>
          <cell r="F3044">
            <v>40878</v>
          </cell>
          <cell r="G3044">
            <v>41090</v>
          </cell>
          <cell r="H3044">
            <v>141560.13</v>
          </cell>
          <cell r="I3044" t="str">
            <v>FIN Submission</v>
          </cell>
          <cell r="J3044">
            <v>41226</v>
          </cell>
        </row>
        <row r="3045">
          <cell r="A3045" t="str">
            <v>40445-D327</v>
          </cell>
          <cell r="B3045" t="str">
            <v>New Minas Traffic Circle</v>
          </cell>
          <cell r="C3045" t="str">
            <v>zINVALID FIN Approval - External</v>
          </cell>
          <cell r="D3045">
            <v>55</v>
          </cell>
          <cell r="E3045" t="str">
            <v>APPROVED</v>
          </cell>
          <cell r="F3045">
            <v>40633</v>
          </cell>
          <cell r="G3045">
            <v>40998</v>
          </cell>
          <cell r="H3045">
            <v>176718.01</v>
          </cell>
          <cell r="I3045" t="str">
            <v>FIN Submission</v>
          </cell>
          <cell r="J3045">
            <v>41212</v>
          </cell>
        </row>
        <row r="3046">
          <cell r="A3046" t="str">
            <v>40424-D325</v>
          </cell>
          <cell r="B3046" t="str">
            <v>Highway Shift Pleasant St Yarmouth</v>
          </cell>
          <cell r="C3046" t="str">
            <v>zINVALID FIN Approval - External</v>
          </cell>
          <cell r="D3046">
            <v>56</v>
          </cell>
          <cell r="E3046" t="str">
            <v>APPROVED</v>
          </cell>
          <cell r="F3046">
            <v>40725</v>
          </cell>
          <cell r="G3046">
            <v>41153</v>
          </cell>
          <cell r="H3046">
            <v>88793.96</v>
          </cell>
          <cell r="I3046" t="str">
            <v>FIN Submission</v>
          </cell>
          <cell r="J3046">
            <v>41212</v>
          </cell>
        </row>
        <row r="3047">
          <cell r="A3047" t="str">
            <v>40273-D338</v>
          </cell>
          <cell r="B3047" t="str">
            <v>101H-411 Targeted Replacements</v>
          </cell>
          <cell r="C3047" t="str">
            <v>zINVALID FIN Approval - External</v>
          </cell>
          <cell r="D3047">
            <v>57</v>
          </cell>
          <cell r="E3047" t="str">
            <v>APPROVED</v>
          </cell>
          <cell r="F3047">
            <v>40907</v>
          </cell>
          <cell r="G3047">
            <v>41182</v>
          </cell>
          <cell r="H3047">
            <v>54271.62</v>
          </cell>
          <cell r="I3047" t="str">
            <v>FIN Submission</v>
          </cell>
          <cell r="J3047">
            <v>41212</v>
          </cell>
        </row>
        <row r="3048">
          <cell r="A3048" t="str">
            <v>40267-D330</v>
          </cell>
          <cell r="B3048" t="str">
            <v>37N-413 Targeted Replacements</v>
          </cell>
          <cell r="C3048" t="str">
            <v>zINVALID FIN Approval - External</v>
          </cell>
          <cell r="D3048">
            <v>59</v>
          </cell>
          <cell r="E3048" t="str">
            <v>APPROVED</v>
          </cell>
          <cell r="F3048">
            <v>40907</v>
          </cell>
          <cell r="G3048">
            <v>41029</v>
          </cell>
          <cell r="H3048">
            <v>13330.03</v>
          </cell>
          <cell r="I3048" t="str">
            <v>FIN Submission</v>
          </cell>
          <cell r="J3048">
            <v>41212</v>
          </cell>
        </row>
        <row r="3049">
          <cell r="A3049" t="str">
            <v>39180-D266</v>
          </cell>
          <cell r="B3049" t="str">
            <v>PE 2010 Off Road to Roadside</v>
          </cell>
          <cell r="C3049" t="str">
            <v>zINVALID FIN Approval - External</v>
          </cell>
          <cell r="D3049">
            <v>71</v>
          </cell>
          <cell r="E3049" t="str">
            <v>APPROVED</v>
          </cell>
          <cell r="F3049">
            <v>40452</v>
          </cell>
          <cell r="G3049">
            <v>40907</v>
          </cell>
          <cell r="H3049">
            <v>0</v>
          </cell>
          <cell r="I3049" t="str">
            <v>FIN Submission</v>
          </cell>
          <cell r="J3049">
            <v>41212</v>
          </cell>
        </row>
        <row r="3050">
          <cell r="A3050" t="str">
            <v>39174-D262</v>
          </cell>
          <cell r="B3050" t="str">
            <v>PE 131H-422 Targeted Replacements</v>
          </cell>
          <cell r="C3050" t="str">
            <v>zINVALID FIN Approval - External</v>
          </cell>
          <cell r="D3050">
            <v>72</v>
          </cell>
          <cell r="E3050" t="str">
            <v>APPROVED</v>
          </cell>
          <cell r="F3050">
            <v>40330</v>
          </cell>
          <cell r="G3050">
            <v>40542</v>
          </cell>
          <cell r="H3050">
            <v>0</v>
          </cell>
          <cell r="I3050" t="str">
            <v>FIN Submission</v>
          </cell>
          <cell r="J3050">
            <v>41212</v>
          </cell>
        </row>
        <row r="3051">
          <cell r="A3051" t="str">
            <v>39158-D270</v>
          </cell>
          <cell r="B3051" t="str">
            <v>PE 2010 PCB Equip. Removal/Destruct</v>
          </cell>
          <cell r="C3051" t="str">
            <v>zINVALID FIN Approval - External</v>
          </cell>
          <cell r="D3051">
            <v>72</v>
          </cell>
          <cell r="E3051" t="str">
            <v>APPROVED</v>
          </cell>
          <cell r="F3051">
            <v>40422</v>
          </cell>
          <cell r="G3051">
            <v>41180</v>
          </cell>
          <cell r="H3051">
            <v>0</v>
          </cell>
          <cell r="I3051" t="str">
            <v/>
          </cell>
          <cell r="J3051">
            <v>41212</v>
          </cell>
        </row>
        <row r="3052">
          <cell r="A3052" t="str">
            <v>39179-D265</v>
          </cell>
          <cell r="B3052" t="str">
            <v>PE 22N-402 Targeted Replacements</v>
          </cell>
          <cell r="C3052" t="str">
            <v>zINVALID FIN Approval - External</v>
          </cell>
          <cell r="D3052">
            <v>73</v>
          </cell>
          <cell r="E3052" t="str">
            <v>APPROVED</v>
          </cell>
          <cell r="F3052">
            <v>40330</v>
          </cell>
          <cell r="G3052">
            <v>40420</v>
          </cell>
          <cell r="H3052">
            <v>0</v>
          </cell>
          <cell r="I3052" t="str">
            <v>FIN Submission</v>
          </cell>
          <cell r="J3052">
            <v>41212</v>
          </cell>
        </row>
        <row r="3053">
          <cell r="A3053" t="str">
            <v>38682-D252</v>
          </cell>
          <cell r="B3053" t="str">
            <v>Dartmouth East New Feeder</v>
          </cell>
          <cell r="C3053" t="str">
            <v>zINVALID FIN Approval - External</v>
          </cell>
          <cell r="D3053">
            <v>79</v>
          </cell>
          <cell r="E3053" t="str">
            <v>APPROVED</v>
          </cell>
          <cell r="F3053">
            <v>40268</v>
          </cell>
          <cell r="G3053">
            <v>40908</v>
          </cell>
          <cell r="H3053">
            <v>0</v>
          </cell>
          <cell r="I3053" t="str">
            <v>FIN Submission</v>
          </cell>
          <cell r="J3053">
            <v>41212</v>
          </cell>
        </row>
        <row r="3054">
          <cell r="A3054" t="str">
            <v>41668-D380</v>
          </cell>
          <cell r="B3054" t="str">
            <v>Little River/Skir Dhu Hwy Shift</v>
          </cell>
          <cell r="C3054" t="str">
            <v>zINVALID FIN Approval - External</v>
          </cell>
          <cell r="D3054">
            <v>32</v>
          </cell>
          <cell r="E3054" t="str">
            <v>APPROVED</v>
          </cell>
          <cell r="F3054">
            <v>40847</v>
          </cell>
          <cell r="G3054">
            <v>41182</v>
          </cell>
          <cell r="H3054">
            <v>111312.91</v>
          </cell>
          <cell r="I3054" t="str">
            <v>FIN Submission</v>
          </cell>
          <cell r="J3054">
            <v>41198</v>
          </cell>
        </row>
        <row r="3055">
          <cell r="A3055" t="str">
            <v>41364-D375</v>
          </cell>
          <cell r="B3055" t="str">
            <v>103W-311 Crandall Point Road</v>
          </cell>
          <cell r="C3055" t="str">
            <v>zINVALID FIN Approval - External</v>
          </cell>
          <cell r="D3055">
            <v>34</v>
          </cell>
          <cell r="E3055" t="str">
            <v>APPROVED</v>
          </cell>
          <cell r="F3055">
            <v>40908</v>
          </cell>
          <cell r="G3055">
            <v>41120</v>
          </cell>
          <cell r="H3055">
            <v>98509.94</v>
          </cell>
          <cell r="I3055" t="str">
            <v>FIN Submission</v>
          </cell>
          <cell r="J3055">
            <v>41198</v>
          </cell>
        </row>
        <row r="3056">
          <cell r="A3056" t="str">
            <v>41203-D372</v>
          </cell>
          <cell r="B3056" t="str">
            <v>93V-311 Saulnierville Reconductor</v>
          </cell>
          <cell r="C3056" t="str">
            <v>zINVALID FIN Approval - External</v>
          </cell>
          <cell r="D3056">
            <v>36</v>
          </cell>
          <cell r="E3056" t="str">
            <v>APPROVED</v>
          </cell>
          <cell r="F3056">
            <v>40938</v>
          </cell>
          <cell r="G3056">
            <v>41120</v>
          </cell>
          <cell r="H3056">
            <v>199876.66</v>
          </cell>
          <cell r="I3056" t="str">
            <v>FIN Submission</v>
          </cell>
          <cell r="J3056">
            <v>41198</v>
          </cell>
        </row>
        <row r="3057">
          <cell r="A3057" t="str">
            <v>40904-D363</v>
          </cell>
          <cell r="B3057" t="str">
            <v>621V-Stepdown Conversion</v>
          </cell>
          <cell r="C3057" t="str">
            <v>zINVALID FIN Approval - External</v>
          </cell>
          <cell r="D3057">
            <v>38</v>
          </cell>
          <cell r="E3057" t="str">
            <v>APPROVED</v>
          </cell>
          <cell r="F3057">
            <v>40908</v>
          </cell>
          <cell r="G3057">
            <v>41121</v>
          </cell>
          <cell r="H3057">
            <v>139194.07999999999</v>
          </cell>
          <cell r="I3057" t="str">
            <v>FIN Submission</v>
          </cell>
          <cell r="J3057">
            <v>41198</v>
          </cell>
        </row>
        <row r="3058">
          <cell r="A3058" t="str">
            <v>40903-D354</v>
          </cell>
          <cell r="B3058" t="str">
            <v>Campbell Hill Road Rebuild</v>
          </cell>
          <cell r="C3058" t="str">
            <v>zINVALID FIN Approval - External</v>
          </cell>
          <cell r="D3058">
            <v>41</v>
          </cell>
          <cell r="E3058" t="str">
            <v>APPROVED</v>
          </cell>
          <cell r="F3058">
            <v>40724</v>
          </cell>
          <cell r="G3058">
            <v>41029</v>
          </cell>
          <cell r="H3058">
            <v>87390.27</v>
          </cell>
          <cell r="I3058" t="str">
            <v>FIN Submission</v>
          </cell>
          <cell r="J3058">
            <v>41198</v>
          </cell>
        </row>
        <row r="3059">
          <cell r="A3059" t="str">
            <v>40712-D345</v>
          </cell>
          <cell r="B3059" t="str">
            <v>Winslow Drive Makeready</v>
          </cell>
          <cell r="C3059" t="str">
            <v>zINVALID FIN Approval - External</v>
          </cell>
          <cell r="D3059">
            <v>46</v>
          </cell>
          <cell r="E3059" t="str">
            <v>APPROVED</v>
          </cell>
          <cell r="F3059">
            <v>40967</v>
          </cell>
          <cell r="G3059">
            <v>40967</v>
          </cell>
          <cell r="H3059">
            <v>-3512.66</v>
          </cell>
          <cell r="I3059" t="str">
            <v>FIN Submission</v>
          </cell>
          <cell r="J3059">
            <v>41198</v>
          </cell>
        </row>
        <row r="3060">
          <cell r="A3060" t="str">
            <v>40723-T656</v>
          </cell>
          <cell r="B3060" t="str">
            <v>L6536 Upgrade</v>
          </cell>
          <cell r="C3060" t="str">
            <v>zINVALID FIN Approval - External</v>
          </cell>
          <cell r="D3060">
            <v>47</v>
          </cell>
          <cell r="E3060" t="str">
            <v>APPROVED</v>
          </cell>
          <cell r="F3060">
            <v>40907</v>
          </cell>
          <cell r="G3060">
            <v>41153</v>
          </cell>
          <cell r="H3060">
            <v>191734.39999999999</v>
          </cell>
          <cell r="I3060" t="str">
            <v>FIN Submission</v>
          </cell>
          <cell r="J3060">
            <v>41198</v>
          </cell>
        </row>
        <row r="3061">
          <cell r="A3061" t="str">
            <v>40385-D368</v>
          </cell>
          <cell r="B3061" t="str">
            <v>88W-323G Pinkney's Point</v>
          </cell>
          <cell r="C3061" t="str">
            <v>zINVALID FIN Approval - External</v>
          </cell>
          <cell r="D3061">
            <v>46</v>
          </cell>
          <cell r="E3061" t="str">
            <v>APPROVED</v>
          </cell>
          <cell r="F3061">
            <v>40816</v>
          </cell>
          <cell r="G3061">
            <v>41028</v>
          </cell>
          <cell r="H3061">
            <v>212259.95</v>
          </cell>
          <cell r="I3061" t="str">
            <v>FIN Submission</v>
          </cell>
          <cell r="J3061">
            <v>41197</v>
          </cell>
        </row>
        <row r="3062">
          <cell r="A3062" t="str">
            <v>40546-D336</v>
          </cell>
          <cell r="B3062" t="str">
            <v>Cheticamp Deteriorated Insulators</v>
          </cell>
          <cell r="C3062" t="str">
            <v>zINVALID FIN Approval - External</v>
          </cell>
          <cell r="D3062">
            <v>53</v>
          </cell>
          <cell r="E3062" t="str">
            <v>APPROVED</v>
          </cell>
          <cell r="F3062">
            <v>40816</v>
          </cell>
          <cell r="G3062">
            <v>41152</v>
          </cell>
          <cell r="H3062">
            <v>201332.68</v>
          </cell>
          <cell r="I3062" t="str">
            <v>FIN Submission</v>
          </cell>
          <cell r="J3062">
            <v>41197</v>
          </cell>
        </row>
        <row r="3063">
          <cell r="A3063" t="str">
            <v>40522-D326</v>
          </cell>
          <cell r="B3063" t="str">
            <v>Dart Crossing Feeder Exit cables</v>
          </cell>
          <cell r="C3063" t="str">
            <v>zINVALID FIN Approval - External</v>
          </cell>
          <cell r="D3063">
            <v>54</v>
          </cell>
          <cell r="E3063" t="str">
            <v>APPROVED</v>
          </cell>
          <cell r="F3063">
            <v>40754</v>
          </cell>
          <cell r="G3063">
            <v>40907</v>
          </cell>
          <cell r="H3063">
            <v>67301.14</v>
          </cell>
          <cell r="I3063" t="str">
            <v>FIN Submission</v>
          </cell>
          <cell r="J3063">
            <v>41197</v>
          </cell>
        </row>
        <row r="3064">
          <cell r="A3064" t="str">
            <v>40263-D328</v>
          </cell>
          <cell r="B3064" t="str">
            <v>24C-442 Targeted Replacements</v>
          </cell>
          <cell r="C3064" t="str">
            <v>zINVALID FIN Approval - External</v>
          </cell>
          <cell r="D3064">
            <v>60</v>
          </cell>
          <cell r="E3064" t="str">
            <v>APPROVED</v>
          </cell>
          <cell r="F3064">
            <v>40724</v>
          </cell>
          <cell r="G3064">
            <v>41029</v>
          </cell>
          <cell r="H3064">
            <v>54206.13</v>
          </cell>
          <cell r="I3064" t="str">
            <v>FIN Submission</v>
          </cell>
          <cell r="J3064">
            <v>41197</v>
          </cell>
        </row>
        <row r="3065">
          <cell r="A3065" t="str">
            <v>39178-T635</v>
          </cell>
          <cell r="B3065" t="str">
            <v>PE 2010 Trans Switch &amp; Break Upgrad</v>
          </cell>
          <cell r="C3065" t="str">
            <v>zINVALID FIN Approval - External</v>
          </cell>
          <cell r="D3065">
            <v>71</v>
          </cell>
          <cell r="E3065" t="str">
            <v>APPROVED</v>
          </cell>
          <cell r="F3065">
            <v>40513</v>
          </cell>
          <cell r="G3065">
            <v>41151</v>
          </cell>
          <cell r="H3065">
            <v>0</v>
          </cell>
          <cell r="I3065" t="str">
            <v>FIN Submission</v>
          </cell>
          <cell r="J3065">
            <v>41197</v>
          </cell>
        </row>
        <row r="3066">
          <cell r="A3066" t="str">
            <v>39157-T628</v>
          </cell>
          <cell r="B3066" t="str">
            <v>PE 2010 Tx Line Insulator Replace</v>
          </cell>
          <cell r="C3066" t="str">
            <v>zINVALID FIN Approval - External</v>
          </cell>
          <cell r="D3066">
            <v>72</v>
          </cell>
          <cell r="E3066" t="str">
            <v>APPROVED</v>
          </cell>
          <cell r="F3066">
            <v>40513</v>
          </cell>
          <cell r="G3066">
            <v>40908</v>
          </cell>
          <cell r="H3066">
            <v>0</v>
          </cell>
          <cell r="I3066" t="str">
            <v>FIN Submission</v>
          </cell>
          <cell r="J3066">
            <v>41197</v>
          </cell>
        </row>
        <row r="3067">
          <cell r="A3067" t="str">
            <v>39165-D258</v>
          </cell>
          <cell r="B3067" t="str">
            <v>PE Distribution Feeder Ties</v>
          </cell>
          <cell r="C3067" t="str">
            <v>zINVALID FIN Approval - External</v>
          </cell>
          <cell r="D3067">
            <v>73</v>
          </cell>
          <cell r="E3067" t="str">
            <v>APPROVED</v>
          </cell>
          <cell r="F3067">
            <v>40512</v>
          </cell>
          <cell r="G3067">
            <v>41060</v>
          </cell>
          <cell r="H3067">
            <v>0</v>
          </cell>
          <cell r="I3067" t="str">
            <v>FIN Submission</v>
          </cell>
          <cell r="J3067">
            <v>41197</v>
          </cell>
        </row>
        <row r="3068">
          <cell r="A3068" t="str">
            <v>39161-P805</v>
          </cell>
          <cell r="B3068" t="str">
            <v>PE RTU Replacement Program</v>
          </cell>
          <cell r="C3068" t="str">
            <v>zINVALID FIN Approval - External</v>
          </cell>
          <cell r="D3068">
            <v>73</v>
          </cell>
          <cell r="E3068" t="str">
            <v>APPROVED</v>
          </cell>
          <cell r="F3068">
            <v>40513</v>
          </cell>
          <cell r="G3068">
            <v>40999</v>
          </cell>
          <cell r="H3068">
            <v>0</v>
          </cell>
          <cell r="I3068" t="str">
            <v>FIN Submission</v>
          </cell>
          <cell r="J3068">
            <v>41197</v>
          </cell>
        </row>
        <row r="3069">
          <cell r="A3069" t="str">
            <v>39032-P803</v>
          </cell>
          <cell r="B3069" t="str">
            <v>PE Work Vehicle Replacement</v>
          </cell>
          <cell r="C3069" t="str">
            <v>zINVALID FIN Approval - External</v>
          </cell>
          <cell r="D3069">
            <v>73</v>
          </cell>
          <cell r="E3069" t="str">
            <v>APPROVED</v>
          </cell>
          <cell r="F3069">
            <v>40512</v>
          </cell>
          <cell r="G3069">
            <v>40908</v>
          </cell>
          <cell r="H3069">
            <v>0</v>
          </cell>
          <cell r="I3069" t="str">
            <v>FIN Submission</v>
          </cell>
          <cell r="J3069">
            <v>41197</v>
          </cell>
        </row>
        <row r="3070">
          <cell r="A3070" t="str">
            <v>40787-T664</v>
          </cell>
          <cell r="B3070" t="str">
            <v>L5546 Upgrade</v>
          </cell>
          <cell r="C3070" t="str">
            <v>zINVALID FIN Approval - External</v>
          </cell>
          <cell r="D3070">
            <v>45</v>
          </cell>
          <cell r="E3070" t="str">
            <v>APPROVED</v>
          </cell>
          <cell r="F3070">
            <v>40816</v>
          </cell>
          <cell r="G3070">
            <v>41029</v>
          </cell>
          <cell r="H3070">
            <v>85512.51</v>
          </cell>
          <cell r="I3070" t="str">
            <v>FIN Submission</v>
          </cell>
          <cell r="J3070">
            <v>41179</v>
          </cell>
        </row>
        <row r="3071">
          <cell r="A3071" t="str">
            <v>40248-D322</v>
          </cell>
          <cell r="B3071" t="str">
            <v>Bell Museum</v>
          </cell>
          <cell r="C3071" t="str">
            <v>zINVALID FIN Approval - External</v>
          </cell>
          <cell r="D3071">
            <v>55</v>
          </cell>
          <cell r="E3071" t="str">
            <v>APPROVED</v>
          </cell>
          <cell r="F3071">
            <v>40816</v>
          </cell>
          <cell r="G3071">
            <v>40907</v>
          </cell>
          <cell r="H3071">
            <v>99497.57</v>
          </cell>
          <cell r="I3071" t="str">
            <v>FIN Submission</v>
          </cell>
          <cell r="J3071">
            <v>41179</v>
          </cell>
        </row>
        <row r="3072">
          <cell r="A3072" t="str">
            <v>39813-P842</v>
          </cell>
          <cell r="B3072" t="str">
            <v xml:space="preserve">2010 Hybrid Vehicle U&amp;U VST5000 I </v>
          </cell>
          <cell r="C3072" t="str">
            <v>zINVALID FIN Approval - External</v>
          </cell>
          <cell r="D3072">
            <v>59</v>
          </cell>
          <cell r="E3072" t="str">
            <v>APPROVED</v>
          </cell>
          <cell r="F3072">
            <v>40543</v>
          </cell>
          <cell r="G3072">
            <v>40905</v>
          </cell>
          <cell r="H3072">
            <v>205429.1</v>
          </cell>
          <cell r="I3072" t="str">
            <v/>
          </cell>
          <cell r="J3072">
            <v>41179</v>
          </cell>
        </row>
        <row r="3073">
          <cell r="A3073" t="str">
            <v>39789-D313</v>
          </cell>
          <cell r="B3073" t="str">
            <v>Highway 10 Three Phase Conversion</v>
          </cell>
          <cell r="C3073" t="str">
            <v>zINVALID FIN Approval - External</v>
          </cell>
          <cell r="D3073">
            <v>61</v>
          </cell>
          <cell r="E3073" t="str">
            <v>APPROVED</v>
          </cell>
          <cell r="F3073">
            <v>40602</v>
          </cell>
          <cell r="G3073">
            <v>40905</v>
          </cell>
          <cell r="H3073">
            <v>49038.25</v>
          </cell>
          <cell r="I3073" t="str">
            <v>FIN Submission</v>
          </cell>
          <cell r="J3073">
            <v>41179</v>
          </cell>
        </row>
        <row r="3074">
          <cell r="A3074" t="str">
            <v>32742-D185</v>
          </cell>
          <cell r="B3074" t="str">
            <v>Seaside Wireless Make Ready</v>
          </cell>
          <cell r="C3074" t="str">
            <v>zINVALID FIN Approval - External</v>
          </cell>
          <cell r="D3074">
            <v>93</v>
          </cell>
          <cell r="E3074" t="str">
            <v>APPROVED</v>
          </cell>
          <cell r="F3074">
            <v>40542</v>
          </cell>
          <cell r="G3074">
            <v>41059</v>
          </cell>
          <cell r="H3074">
            <v>22921.96</v>
          </cell>
          <cell r="I3074" t="str">
            <v>FIN Submission</v>
          </cell>
          <cell r="J3074">
            <v>41179</v>
          </cell>
        </row>
        <row r="3075">
          <cell r="A3075" t="str">
            <v>37609-S652</v>
          </cell>
          <cell r="B3075" t="str">
            <v>LIN - Unit #1 Rotor Rewind</v>
          </cell>
          <cell r="C3075" t="str">
            <v>zINVALID FIN Approval - External</v>
          </cell>
          <cell r="D3075">
            <v>77</v>
          </cell>
          <cell r="E3075" t="str">
            <v>APPROVED</v>
          </cell>
          <cell r="F3075">
            <v>40542</v>
          </cell>
          <cell r="G3075">
            <v>41121</v>
          </cell>
          <cell r="H3075">
            <v>3461092.84</v>
          </cell>
          <cell r="I3075" t="str">
            <v>FIN Submission</v>
          </cell>
          <cell r="J3075">
            <v>41163</v>
          </cell>
        </row>
        <row r="3076">
          <cell r="A3076" t="str">
            <v>10900-H521</v>
          </cell>
          <cell r="B3076" t="str">
            <v>HYD DEB # 10 - Generator Rewind</v>
          </cell>
          <cell r="C3076" t="str">
            <v>zINVALID FIN Approval - External</v>
          </cell>
          <cell r="D3076">
            <v>105</v>
          </cell>
          <cell r="E3076" t="str">
            <v>APPROVED</v>
          </cell>
          <cell r="F3076">
            <v>39833</v>
          </cell>
          <cell r="G3076">
            <v>41121</v>
          </cell>
          <cell r="H3076">
            <v>985900.79</v>
          </cell>
          <cell r="I3076" t="str">
            <v>FIN Submission</v>
          </cell>
          <cell r="J3076">
            <v>41163</v>
          </cell>
        </row>
        <row r="3077">
          <cell r="A3077" t="str">
            <v>19753-H500</v>
          </cell>
          <cell r="B3077" t="str">
            <v>ANN - UNIT OVERHAUL</v>
          </cell>
          <cell r="C3077" t="str">
            <v>zINVALID FIN Approval - External</v>
          </cell>
          <cell r="D3077">
            <v>107</v>
          </cell>
          <cell r="E3077" t="str">
            <v>APPROVED</v>
          </cell>
          <cell r="F3077">
            <v>39163</v>
          </cell>
          <cell r="G3077">
            <v>41120</v>
          </cell>
          <cell r="H3077">
            <v>2695919.28</v>
          </cell>
          <cell r="I3077" t="str">
            <v>FIN Submission</v>
          </cell>
          <cell r="J3077">
            <v>41163</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AC1869D-0EDF-4FB2-94EA-FD7CE43D5D03}" name="Table227" displayName="Table227" ref="A2:P1091" totalsRowCount="1" headerRowDxfId="92" dataDxfId="91">
  <autoFilter ref="A2:P1090" xr:uid="{D2844252-C1AA-49B8-9E96-9D6142BBE010}"/>
  <sortState xmlns:xlrd2="http://schemas.microsoft.com/office/spreadsheetml/2017/richdata2" ref="A3:P1090">
    <sortCondition ref="G2:G1090"/>
  </sortState>
  <tableColumns count="16">
    <tableColumn id="1" xr3:uid="{8632875C-35CF-4EB0-86B6-2FD7B29DF4B7}" name="Fp Number" dataDxfId="90" totalsRowDxfId="89"/>
    <tableColumn id="14" xr3:uid="{FFDDF9A5-2EC1-469C-8B3F-022F6D32E8A2}" name="CI" dataDxfId="88" totalsRowDxfId="87"/>
    <tableColumn id="15" xr3:uid="{8EB35F0A-18EE-4E00-9F92-AE7F8713B3C8}" name="Matter" dataDxfId="86" totalsRowDxfId="85">
      <calculatedColumnFormula>VLOOKUP(B3,'Matter &amp; CI#'!$D$4:$E$595,2,FALSE)</calculatedColumnFormula>
    </tableColumn>
    <tableColumn id="2" xr3:uid="{A0EE58A5-279F-43DD-BB20-DFE5EB1074C9}" name="Funding Project Descr" dataDxfId="84" totalsRowDxfId="83"/>
    <tableColumn id="3" xr3:uid="{CE91DD60-D2F7-4905-B19E-5595D97FE401}" name="Cc Cpc" dataDxfId="82" totalsRowDxfId="81"/>
    <tableColumn id="4" xr3:uid="{2346DA20-34A8-46A3-B1BE-19A368DEBBAC}" name="Functional Class" dataDxfId="80"/>
    <tableColumn id="16" xr3:uid="{0C096FF1-0BB8-4203-833E-723668271097}" name="Growth Related_x000a_(y/n)" dataDxfId="79" totalsRowDxfId="78"/>
    <tableColumn id="17" xr3:uid="{C296ECB0-07EB-48DF-A4DF-C1861C7D69EB}" name="Notes" dataDxfId="77" totalsRowDxfId="76"/>
    <tableColumn id="5" xr3:uid="{1C4DA41C-2620-44AF-9F7E-11D7AA031F9E}" name="Routine_x000a_Or_x000a_Normal" dataDxfId="75" totalsRowDxfId="74"/>
    <tableColumn id="6" xr3:uid="{D282256D-ECC4-440E-A4AB-CCBBBB4D0065}" name="Special Or Parent Routine" dataDxfId="73" totalsRowDxfId="72"/>
    <tableColumn id="7" xr3:uid="{8EBA56C0-D1A1-41D0-AFDF-C4C48E8F1228}" name="Work _x000a_Order _x000a_Status" dataDxfId="71" totalsRowDxfId="70"/>
    <tableColumn id="8" xr3:uid="{8354563A-CB59-4CBA-9440-D4C51EC770C7}" name="In-_x000a_Service_x000a_Date" dataDxfId="69" totalsRowDxfId="68"/>
    <tableColumn id="9" xr3:uid="{46B4A66B-B789-4F00-B5A3-38AA4CBF5D13}" name="Complete_x000a_Date" dataDxfId="67" totalsRowDxfId="66"/>
    <tableColumn id="10" xr3:uid="{670FB2FB-FEB2-41A1-ADC7-F33ACAD7F2B2}" name="Proj To Date_x000a_Actuals" totalsRowFunction="custom" dataDxfId="65" totalsRowDxfId="64" dataCellStyle="Comma">
      <totalsRowFormula>+SUM(N3:N1090)</totalsRowFormula>
    </tableColumn>
    <tableColumn id="11" xr3:uid="{ABCE17D5-6C6A-4811-95EA-E6A5168585F1}" name="Approval Type" dataDxfId="63" totalsRowDxfId="62">
      <calculatedColumnFormula>IFERROR(VLOOKUP(A3,[1]Approval!A:C,3,FALSE),"")</calculatedColumnFormula>
    </tableColumn>
    <tableColumn id="12" xr3:uid="{A29C7264-F7C4-4497-A4C5-0B2F4A6CA5F2}" name="FIN Date" dataDxfId="61" totalsRowDxfId="60">
      <calculatedColumnFormula>IFERROR(VLOOKUP(A3,[1]Approval!A:J,10,FALSE),"")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0A844-51F6-4623-83E8-795E7F44106E}">
  <sheetPr>
    <pageSetUpPr fitToPage="1"/>
  </sheetPr>
  <dimension ref="B1:K21"/>
  <sheetViews>
    <sheetView view="pageBreakPreview" zoomScale="60" zoomScaleNormal="63" workbookViewId="0">
      <selection activeCell="C12" sqref="C12:D12"/>
    </sheetView>
  </sheetViews>
  <sheetFormatPr defaultColWidth="8.7109375" defaultRowHeight="12.75" x14ac:dyDescent="0.25"/>
  <cols>
    <col min="1" max="1" width="2.42578125" style="22" customWidth="1"/>
    <col min="2" max="2" width="17.42578125" style="22" customWidth="1"/>
    <col min="3" max="3" width="5.140625" style="22" customWidth="1"/>
    <col min="4" max="4" width="110.85546875" style="22" customWidth="1"/>
    <col min="5" max="5" width="8.7109375" style="22"/>
    <col min="6" max="6" width="9.7109375" style="22" bestFit="1" customWidth="1"/>
    <col min="7" max="16384" width="8.7109375" style="22"/>
  </cols>
  <sheetData>
    <row r="1" spans="2:11" ht="6" customHeight="1" thickBot="1" x14ac:dyDescent="0.3"/>
    <row r="2" spans="2:11" ht="18" customHeight="1" thickBot="1" x14ac:dyDescent="0.3">
      <c r="B2" s="837" t="s">
        <v>2425</v>
      </c>
      <c r="C2" s="838"/>
      <c r="D2" s="839"/>
    </row>
    <row r="3" spans="2:11" ht="37.5" customHeight="1" x14ac:dyDescent="0.25">
      <c r="B3" s="577" t="s">
        <v>2025</v>
      </c>
      <c r="C3" s="579" t="s">
        <v>2026</v>
      </c>
      <c r="D3" s="580"/>
    </row>
    <row r="4" spans="2:11" ht="32.25" customHeight="1" thickBot="1" x14ac:dyDescent="0.3">
      <c r="B4" s="578"/>
      <c r="C4" s="581" t="s">
        <v>2509</v>
      </c>
      <c r="D4" s="582"/>
    </row>
    <row r="5" spans="2:11" ht="18" customHeight="1" thickBot="1" x14ac:dyDescent="0.3">
      <c r="B5" s="24" t="s">
        <v>2027</v>
      </c>
      <c r="C5" s="583" t="s">
        <v>3651</v>
      </c>
      <c r="D5" s="584"/>
    </row>
    <row r="6" spans="2:11" ht="18" customHeight="1" thickBot="1" x14ac:dyDescent="0.3">
      <c r="B6" s="23" t="s">
        <v>2028</v>
      </c>
      <c r="C6" s="587" t="s">
        <v>2426</v>
      </c>
      <c r="D6" s="588"/>
    </row>
    <row r="7" spans="2:11" ht="58.5" customHeight="1" x14ac:dyDescent="0.25">
      <c r="B7" s="589" t="s">
        <v>2029</v>
      </c>
      <c r="C7" s="579" t="s">
        <v>2490</v>
      </c>
      <c r="D7" s="580"/>
    </row>
    <row r="8" spans="2:11" ht="32.25" customHeight="1" x14ac:dyDescent="0.25">
      <c r="B8" s="590"/>
      <c r="C8" s="591" t="s">
        <v>2491</v>
      </c>
      <c r="D8" s="592"/>
      <c r="F8" s="253"/>
    </row>
    <row r="9" spans="2:11" ht="15.95" customHeight="1" x14ac:dyDescent="0.25">
      <c r="B9" s="590"/>
      <c r="C9" s="591" t="s">
        <v>2510</v>
      </c>
      <c r="D9" s="592"/>
    </row>
    <row r="10" spans="2:11" ht="15.95" customHeight="1" x14ac:dyDescent="0.25">
      <c r="B10" s="590"/>
      <c r="C10" s="591" t="s">
        <v>2521</v>
      </c>
      <c r="D10" s="592"/>
    </row>
    <row r="11" spans="2:11" ht="15.95" customHeight="1" x14ac:dyDescent="0.25">
      <c r="B11" s="590"/>
      <c r="C11" s="591" t="s">
        <v>2511</v>
      </c>
      <c r="D11" s="592"/>
    </row>
    <row r="12" spans="2:11" ht="69.75" customHeight="1" x14ac:dyDescent="0.25">
      <c r="B12" s="590"/>
      <c r="C12" s="591" t="s">
        <v>3656</v>
      </c>
      <c r="D12" s="592"/>
    </row>
    <row r="13" spans="2:11" ht="59.1" customHeight="1" thickBot="1" x14ac:dyDescent="0.3">
      <c r="B13" s="590"/>
      <c r="C13" s="591" t="s">
        <v>3657</v>
      </c>
      <c r="D13" s="592"/>
    </row>
    <row r="14" spans="2:11" ht="18" customHeight="1" thickBot="1" x14ac:dyDescent="0.3">
      <c r="B14" s="323" t="s">
        <v>2492</v>
      </c>
      <c r="C14" s="585" t="s">
        <v>2493</v>
      </c>
      <c r="D14" s="586"/>
    </row>
    <row r="15" spans="2:11" ht="18" customHeight="1" x14ac:dyDescent="0.25"/>
    <row r="16" spans="2:11" ht="18" customHeight="1" x14ac:dyDescent="0.25">
      <c r="D16" s="179"/>
      <c r="E16" s="179"/>
      <c r="F16" s="179"/>
      <c r="G16" s="179"/>
      <c r="H16" s="179"/>
      <c r="I16" s="179"/>
      <c r="J16" s="179"/>
      <c r="K16" s="179"/>
    </row>
    <row r="17" ht="18" customHeight="1" x14ac:dyDescent="0.25"/>
    <row r="18" ht="18" customHeight="1" x14ac:dyDescent="0.25"/>
    <row r="19" ht="18" customHeight="1" x14ac:dyDescent="0.25"/>
    <row r="20" ht="18" customHeight="1" x14ac:dyDescent="0.25"/>
    <row r="21" ht="18" customHeight="1" x14ac:dyDescent="0.25"/>
  </sheetData>
  <mergeCells count="15">
    <mergeCell ref="C14:D14"/>
    <mergeCell ref="C6:D6"/>
    <mergeCell ref="B7:B13"/>
    <mergeCell ref="C7:D7"/>
    <mergeCell ref="C8:D8"/>
    <mergeCell ref="C9:D9"/>
    <mergeCell ref="C10:D10"/>
    <mergeCell ref="C11:D11"/>
    <mergeCell ref="C12:D12"/>
    <mergeCell ref="C13:D13"/>
    <mergeCell ref="B2:D2"/>
    <mergeCell ref="B3:B4"/>
    <mergeCell ref="C3:D3"/>
    <mergeCell ref="C4:D4"/>
    <mergeCell ref="C5:D5"/>
  </mergeCells>
  <pageMargins left="0.7" right="0.7" top="0.75" bottom="0.75" header="0.3" footer="0.3"/>
  <pageSetup scale="90" orientation="landscape"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F244A-5712-4346-89D0-B60009A17D3C}">
  <sheetPr>
    <pageSetUpPr fitToPage="1"/>
  </sheetPr>
  <dimension ref="A1:BH53"/>
  <sheetViews>
    <sheetView showGridLines="0" view="pageBreakPreview" topLeftCell="I1" zoomScale="94" zoomScaleNormal="70" zoomScaleSheetLayoutView="110" workbookViewId="0">
      <selection activeCell="R22" sqref="R22:V22"/>
    </sheetView>
  </sheetViews>
  <sheetFormatPr defaultColWidth="8.42578125" defaultRowHeight="12.75" x14ac:dyDescent="0.25"/>
  <cols>
    <col min="1" max="1" width="0.42578125" style="59" hidden="1" customWidth="1"/>
    <col min="2" max="2" width="2.42578125" style="59" customWidth="1"/>
    <col min="3" max="3" width="6.42578125" style="59" customWidth="1"/>
    <col min="4" max="4" width="18.42578125" style="59" customWidth="1"/>
    <col min="5" max="6" width="6.42578125" style="59" customWidth="1"/>
    <col min="7" max="7" width="18.42578125" style="59" customWidth="1"/>
    <col min="8" max="8" width="6.42578125" style="59" customWidth="1"/>
    <col min="9" max="12" width="12.7109375" style="61" customWidth="1"/>
    <col min="13" max="13" width="10.42578125" style="61" customWidth="1"/>
    <col min="14" max="22" width="10.42578125" style="59" customWidth="1"/>
    <col min="23" max="25" width="6.42578125" style="59" customWidth="1"/>
    <col min="26" max="27" width="8.42578125" style="59" customWidth="1"/>
    <col min="28" max="31" width="6.42578125" style="59" customWidth="1"/>
    <col min="32" max="32" width="16.42578125" style="59" customWidth="1"/>
    <col min="33" max="33" width="12.42578125" style="59" customWidth="1"/>
    <col min="34" max="16384" width="8.42578125" style="59"/>
  </cols>
  <sheetData>
    <row r="1" spans="1:60" s="128" customFormat="1" ht="15.95" customHeight="1" x14ac:dyDescent="0.25">
      <c r="C1" s="646" t="s">
        <v>2168</v>
      </c>
      <c r="D1" s="646"/>
      <c r="E1" s="646"/>
      <c r="F1" s="646"/>
      <c r="G1" s="59"/>
      <c r="H1" s="59"/>
      <c r="I1" s="129"/>
      <c r="J1" s="129"/>
      <c r="K1" s="129"/>
      <c r="L1" s="129"/>
      <c r="M1" s="61"/>
      <c r="R1" s="59"/>
    </row>
    <row r="2" spans="1:60" s="128" customFormat="1" ht="12" customHeight="1" thickBot="1" x14ac:dyDescent="0.3">
      <c r="C2" s="59"/>
      <c r="D2" s="59"/>
      <c r="E2" s="59"/>
      <c r="F2" s="59"/>
      <c r="G2" s="59"/>
      <c r="H2" s="59"/>
      <c r="I2" s="129"/>
      <c r="J2" s="129"/>
      <c r="K2" s="129"/>
      <c r="L2" s="129"/>
      <c r="M2" s="61"/>
      <c r="R2" s="59"/>
    </row>
    <row r="3" spans="1:60" s="128" customFormat="1" ht="12.95" customHeight="1" x14ac:dyDescent="0.25">
      <c r="C3" s="647" t="s">
        <v>2058</v>
      </c>
      <c r="D3" s="648"/>
      <c r="E3" s="647" t="s">
        <v>2059</v>
      </c>
      <c r="F3" s="651"/>
      <c r="G3" s="651"/>
      <c r="H3" s="648"/>
      <c r="I3" s="647" t="s">
        <v>2060</v>
      </c>
      <c r="J3" s="651"/>
      <c r="K3" s="651"/>
      <c r="L3" s="648"/>
      <c r="M3" s="651" t="s">
        <v>2061</v>
      </c>
      <c r="N3" s="651"/>
      <c r="O3" s="647" t="s">
        <v>4721</v>
      </c>
      <c r="P3" s="651"/>
      <c r="Q3" s="648"/>
      <c r="R3" s="881" t="s">
        <v>2062</v>
      </c>
      <c r="S3" s="882"/>
      <c r="T3" s="882"/>
      <c r="U3" s="882"/>
      <c r="V3" s="888"/>
      <c r="W3" s="722" t="s">
        <v>2494</v>
      </c>
      <c r="X3" s="723"/>
      <c r="Y3" s="724"/>
      <c r="Z3" s="684" t="s">
        <v>2438</v>
      </c>
      <c r="AA3" s="685"/>
      <c r="AB3" s="685"/>
      <c r="AC3" s="685"/>
      <c r="AD3" s="685"/>
      <c r="AE3" s="685"/>
      <c r="AF3" s="685"/>
      <c r="AG3" s="686"/>
    </row>
    <row r="4" spans="1:60" s="128" customFormat="1" ht="12.95" customHeight="1" thickBot="1" x14ac:dyDescent="0.3">
      <c r="C4" s="649"/>
      <c r="D4" s="650"/>
      <c r="E4" s="649"/>
      <c r="F4" s="652"/>
      <c r="G4" s="652"/>
      <c r="H4" s="650"/>
      <c r="I4" s="649"/>
      <c r="J4" s="652"/>
      <c r="K4" s="652"/>
      <c r="L4" s="650"/>
      <c r="M4" s="652"/>
      <c r="N4" s="652"/>
      <c r="O4" s="649"/>
      <c r="P4" s="652"/>
      <c r="Q4" s="650"/>
      <c r="R4" s="883"/>
      <c r="S4" s="884"/>
      <c r="T4" s="884"/>
      <c r="U4" s="884"/>
      <c r="V4" s="889"/>
      <c r="W4" s="725"/>
      <c r="X4" s="726"/>
      <c r="Y4" s="727"/>
      <c r="Z4" s="687"/>
      <c r="AA4" s="688"/>
      <c r="AB4" s="688"/>
      <c r="AC4" s="688"/>
      <c r="AD4" s="688"/>
      <c r="AE4" s="688"/>
      <c r="AF4" s="688"/>
      <c r="AG4" s="689"/>
    </row>
    <row r="5" spans="1:60" s="128" customFormat="1" ht="12.95" customHeight="1" x14ac:dyDescent="0.25">
      <c r="C5" s="64" t="s">
        <v>2063</v>
      </c>
      <c r="D5" s="65" t="s">
        <v>2064</v>
      </c>
      <c r="E5" s="66" t="s">
        <v>2065</v>
      </c>
      <c r="F5" s="67" t="s">
        <v>2066</v>
      </c>
      <c r="G5" s="67" t="s">
        <v>2066</v>
      </c>
      <c r="H5" s="68" t="s">
        <v>2067</v>
      </c>
      <c r="I5" s="70">
        <v>42736</v>
      </c>
      <c r="J5" s="71">
        <v>43107.708333333336</v>
      </c>
      <c r="K5" s="71">
        <v>43523.322916666664</v>
      </c>
      <c r="L5" s="71">
        <v>43847.756944444445</v>
      </c>
      <c r="M5" s="637" t="s">
        <v>2068</v>
      </c>
      <c r="N5" s="639" t="s">
        <v>2069</v>
      </c>
      <c r="O5" s="763" t="s">
        <v>2474</v>
      </c>
      <c r="P5" s="745" t="s">
        <v>2475</v>
      </c>
      <c r="Q5" s="765" t="s">
        <v>2476</v>
      </c>
      <c r="R5" s="190">
        <v>2017</v>
      </c>
      <c r="S5" s="191">
        <v>2018</v>
      </c>
      <c r="T5" s="190">
        <v>2019</v>
      </c>
      <c r="U5" s="192">
        <v>2020</v>
      </c>
      <c r="V5" s="192" t="s">
        <v>2430</v>
      </c>
      <c r="W5" s="716" t="s">
        <v>2496</v>
      </c>
      <c r="X5" s="714" t="s">
        <v>2495</v>
      </c>
      <c r="Y5" s="712" t="s">
        <v>2497</v>
      </c>
      <c r="Z5" s="210" t="s">
        <v>2458</v>
      </c>
      <c r="AA5" s="242" t="s">
        <v>2439</v>
      </c>
      <c r="AB5" s="690" t="s">
        <v>2440</v>
      </c>
      <c r="AC5" s="691"/>
      <c r="AD5" s="691"/>
      <c r="AE5" s="692"/>
      <c r="AF5" s="247" t="s">
        <v>2441</v>
      </c>
      <c r="AG5" s="758" t="s">
        <v>2442</v>
      </c>
      <c r="AH5" s="80"/>
      <c r="AI5" s="80"/>
      <c r="AJ5" s="80" t="s">
        <v>2494</v>
      </c>
      <c r="AK5" s="80"/>
    </row>
    <row r="6" spans="1:60" s="128" customFormat="1" ht="12.95" customHeight="1" thickBot="1" x14ac:dyDescent="0.3">
      <c r="C6" s="72" t="s">
        <v>2070</v>
      </c>
      <c r="D6" s="73" t="s">
        <v>2071</v>
      </c>
      <c r="E6" s="72" t="s">
        <v>2072</v>
      </c>
      <c r="F6" s="74" t="s">
        <v>2073</v>
      </c>
      <c r="G6" s="74" t="s">
        <v>2074</v>
      </c>
      <c r="H6" s="75" t="s">
        <v>2072</v>
      </c>
      <c r="I6" s="454" t="s">
        <v>2075</v>
      </c>
      <c r="J6" s="76" t="s">
        <v>2169</v>
      </c>
      <c r="K6" s="76" t="s">
        <v>2077</v>
      </c>
      <c r="L6" s="76" t="s">
        <v>3659</v>
      </c>
      <c r="M6" s="638"/>
      <c r="N6" s="640"/>
      <c r="O6" s="764"/>
      <c r="P6" s="746"/>
      <c r="Q6" s="766"/>
      <c r="R6" s="77" t="s">
        <v>2078</v>
      </c>
      <c r="S6" s="78" t="s">
        <v>2078</v>
      </c>
      <c r="T6" s="77" t="s">
        <v>2078</v>
      </c>
      <c r="U6" s="79" t="s">
        <v>2078</v>
      </c>
      <c r="V6" s="79" t="s">
        <v>2078</v>
      </c>
      <c r="W6" s="717"/>
      <c r="X6" s="715"/>
      <c r="Y6" s="713"/>
      <c r="Z6" s="213" t="s">
        <v>2443</v>
      </c>
      <c r="AA6" s="243" t="s">
        <v>2444</v>
      </c>
      <c r="AB6" s="72" t="s">
        <v>2445</v>
      </c>
      <c r="AC6" s="215" t="s">
        <v>2446</v>
      </c>
      <c r="AD6" s="215" t="s">
        <v>2447</v>
      </c>
      <c r="AE6" s="75" t="s">
        <v>2448</v>
      </c>
      <c r="AF6" s="77" t="s">
        <v>2449</v>
      </c>
      <c r="AG6" s="759"/>
      <c r="AH6" s="80"/>
      <c r="AI6" s="80" t="s">
        <v>2500</v>
      </c>
      <c r="AJ6" s="80" t="s">
        <v>2498</v>
      </c>
      <c r="AK6" s="80" t="s">
        <v>2473</v>
      </c>
    </row>
    <row r="7" spans="1:60" s="128" customFormat="1" ht="12.95" customHeight="1" thickTop="1" x14ac:dyDescent="0.25">
      <c r="A7" s="80">
        <v>1</v>
      </c>
      <c r="B7" s="80"/>
      <c r="C7" s="130" t="s">
        <v>2170</v>
      </c>
      <c r="D7" s="82" t="s">
        <v>2171</v>
      </c>
      <c r="E7" s="81">
        <v>138</v>
      </c>
      <c r="F7" s="83" t="s">
        <v>2081</v>
      </c>
      <c r="G7" s="83" t="s">
        <v>2098</v>
      </c>
      <c r="H7" s="131">
        <v>26.4</v>
      </c>
      <c r="I7" s="206">
        <v>30.63</v>
      </c>
      <c r="J7" s="208">
        <v>21.1</v>
      </c>
      <c r="K7" s="457">
        <v>11.617738921162267</v>
      </c>
      <c r="L7" s="87">
        <v>5.4206079040920256</v>
      </c>
      <c r="M7" s="132">
        <f>+VALUE(RIGHT(G7,2))</f>
        <v>25</v>
      </c>
      <c r="N7" s="90">
        <f>L7/M7</f>
        <v>0.21682431616368103</v>
      </c>
      <c r="O7" s="274">
        <v>2</v>
      </c>
      <c r="P7" s="271">
        <f>+L7/O7</f>
        <v>2.7103039520460128</v>
      </c>
      <c r="Q7" s="271">
        <f t="shared" ref="Q7:Q20" si="0">((P7*1000)/(H7*SQRT(3)))</f>
        <v>59.272527132555773</v>
      </c>
      <c r="R7" s="200">
        <v>0</v>
      </c>
      <c r="S7" s="200">
        <v>0</v>
      </c>
      <c r="T7" s="104">
        <v>0</v>
      </c>
      <c r="U7" s="396">
        <f t="shared" ref="U7:U20" si="1">IF($Q7&gt;260,L7,IF(OR(L7="-",L7&lt;($M7*1.06)),0,L7))</f>
        <v>0</v>
      </c>
      <c r="V7" s="333">
        <f>+MAX(R7:U7)</f>
        <v>0</v>
      </c>
      <c r="W7" s="89" t="s">
        <v>2014</v>
      </c>
      <c r="X7" s="344" t="s">
        <v>2014</v>
      </c>
      <c r="Y7" s="131" t="s">
        <v>2013</v>
      </c>
      <c r="Z7" s="106" t="s">
        <v>2450</v>
      </c>
      <c r="AA7" s="234" t="s">
        <v>2455</v>
      </c>
      <c r="AB7" s="238"/>
      <c r="AC7" s="235">
        <v>2</v>
      </c>
      <c r="AD7" s="235"/>
      <c r="AE7" s="236"/>
      <c r="AF7" s="248">
        <v>546</v>
      </c>
      <c r="AG7" s="244" t="s">
        <v>2092</v>
      </c>
      <c r="AH7" s="80"/>
      <c r="AI7" s="80">
        <f t="shared" ref="AI7:AI20" si="2">+IF(W7="y",1,0)</f>
        <v>1</v>
      </c>
      <c r="AJ7" s="80">
        <f>+IF(X7="y",1,0)</f>
        <v>1</v>
      </c>
      <c r="AK7" s="80">
        <f>+IF(Y7="y",O7,0)</f>
        <v>0</v>
      </c>
      <c r="AL7" s="254"/>
      <c r="AM7" s="207" t="s">
        <v>2437</v>
      </c>
      <c r="AN7" s="207"/>
      <c r="AO7" s="207"/>
      <c r="AP7" s="207"/>
      <c r="AQ7" s="207"/>
      <c r="AR7" s="207"/>
      <c r="AS7" s="207"/>
      <c r="AT7" s="207"/>
      <c r="AU7" s="207"/>
      <c r="AV7" s="207"/>
      <c r="AW7" s="207"/>
      <c r="AX7" s="207"/>
      <c r="AY7" s="207"/>
      <c r="AZ7" s="207"/>
      <c r="BA7" s="207"/>
      <c r="BB7" s="207"/>
      <c r="BC7" s="207"/>
      <c r="BD7" s="207"/>
      <c r="BE7" s="207"/>
      <c r="BF7" s="207"/>
      <c r="BG7" s="207"/>
      <c r="BH7" s="207"/>
    </row>
    <row r="8" spans="1:60" s="128" customFormat="1" ht="12.95" customHeight="1" x14ac:dyDescent="0.25">
      <c r="A8" s="80">
        <f>1+A7</f>
        <v>2</v>
      </c>
      <c r="B8" s="80"/>
      <c r="C8" s="134" t="s">
        <v>2172</v>
      </c>
      <c r="D8" s="93" t="s">
        <v>2173</v>
      </c>
      <c r="E8" s="92">
        <v>138</v>
      </c>
      <c r="F8" s="94" t="s">
        <v>2081</v>
      </c>
      <c r="G8" s="94" t="s">
        <v>2174</v>
      </c>
      <c r="H8" s="135">
        <v>26.4</v>
      </c>
      <c r="I8" s="97">
        <v>8.83</v>
      </c>
      <c r="J8" s="459">
        <v>1.6137239835624246</v>
      </c>
      <c r="K8" s="457">
        <v>2.9069133053229783</v>
      </c>
      <c r="L8" s="87">
        <v>2.395927251512691</v>
      </c>
      <c r="M8" s="136">
        <f>+VALUE(RIGHT(G8,2))</f>
        <v>25</v>
      </c>
      <c r="N8" s="90">
        <f>MAX(I8:L8)/M8</f>
        <v>0.35320000000000001</v>
      </c>
      <c r="O8" s="275">
        <v>2</v>
      </c>
      <c r="P8" s="271">
        <f t="shared" ref="P8:P20" si="3">+MAX(I8:L8)/O8</f>
        <v>4.415</v>
      </c>
      <c r="Q8" s="271">
        <f t="shared" si="0"/>
        <v>96.553084790613568</v>
      </c>
      <c r="R8" s="396">
        <f t="shared" ref="R8:R20" si="4">IF($Q8&gt;260,I8,IF(OR(I8="-",I8&lt;($M8*1.06)),0,I8))</f>
        <v>0</v>
      </c>
      <c r="S8" s="396">
        <f t="shared" ref="S8:S20" si="5">IF($Q8&gt;260,J8,IF(OR(J8="-",J8&lt;($M8*1.06)),0,J8))</f>
        <v>0</v>
      </c>
      <c r="T8" s="396">
        <f t="shared" ref="T8:T20" si="6">IF($Q8&gt;260,K8,IF(OR(K8="-",K8&lt;($M8*1.06)),0,K8))</f>
        <v>0</v>
      </c>
      <c r="U8" s="396">
        <f t="shared" si="1"/>
        <v>0</v>
      </c>
      <c r="V8" s="333">
        <f>+MAX(R8:U8)</f>
        <v>0</v>
      </c>
      <c r="W8" s="335" t="s">
        <v>2014</v>
      </c>
      <c r="X8" s="338" t="s">
        <v>2014</v>
      </c>
      <c r="Y8" s="135" t="s">
        <v>2013</v>
      </c>
      <c r="Z8" s="106" t="s">
        <v>2450</v>
      </c>
      <c r="AA8" s="234" t="s">
        <v>2455</v>
      </c>
      <c r="AB8" s="238"/>
      <c r="AC8" s="235">
        <v>5</v>
      </c>
      <c r="AD8" s="235"/>
      <c r="AE8" s="236"/>
      <c r="AF8" s="248">
        <f>165+165+184+242+304</f>
        <v>1060</v>
      </c>
      <c r="AG8" s="245" t="s">
        <v>2092</v>
      </c>
      <c r="AH8" s="80"/>
      <c r="AI8" s="80">
        <f t="shared" si="2"/>
        <v>1</v>
      </c>
      <c r="AJ8" s="80">
        <f t="shared" ref="AJ8:AJ20" si="7">+IF(X8="y",1,0)</f>
        <v>1</v>
      </c>
      <c r="AK8" s="80">
        <f>+IF(Y8="y",O8,0)</f>
        <v>0</v>
      </c>
    </row>
    <row r="9" spans="1:60" s="128" customFormat="1" ht="12.95" customHeight="1" x14ac:dyDescent="0.25">
      <c r="A9" s="80" t="e">
        <f>1+#REF!</f>
        <v>#REF!</v>
      </c>
      <c r="B9" s="80"/>
      <c r="C9" s="134" t="s">
        <v>2175</v>
      </c>
      <c r="D9" s="93" t="s">
        <v>2176</v>
      </c>
      <c r="E9" s="92">
        <v>138</v>
      </c>
      <c r="F9" s="94" t="s">
        <v>2084</v>
      </c>
      <c r="G9" s="94" t="s">
        <v>2177</v>
      </c>
      <c r="H9" s="131">
        <v>26.4</v>
      </c>
      <c r="I9" s="101">
        <v>40.700000000000003</v>
      </c>
      <c r="J9" s="459">
        <v>40.896063264381489</v>
      </c>
      <c r="K9" s="457">
        <v>36.980235984783789</v>
      </c>
      <c r="L9" s="87">
        <v>36.489324421789107</v>
      </c>
      <c r="M9" s="136">
        <f>+VALUE(RIGHT(G9,4))</f>
        <v>41.7</v>
      </c>
      <c r="N9" s="90">
        <f>MAX(I9:L9)/M9</f>
        <v>0.98072094159188217</v>
      </c>
      <c r="O9" s="275">
        <v>5</v>
      </c>
      <c r="P9" s="271">
        <f t="shared" si="3"/>
        <v>8.1792126528762985</v>
      </c>
      <c r="Q9" s="271">
        <f t="shared" si="0"/>
        <v>178.87388738247441</v>
      </c>
      <c r="R9" s="396">
        <f t="shared" si="4"/>
        <v>0</v>
      </c>
      <c r="S9" s="396">
        <f t="shared" si="5"/>
        <v>0</v>
      </c>
      <c r="T9" s="396">
        <f t="shared" si="6"/>
        <v>0</v>
      </c>
      <c r="U9" s="396">
        <f t="shared" si="1"/>
        <v>0</v>
      </c>
      <c r="V9" s="333">
        <f>+MAX(R9:U9)</f>
        <v>0</v>
      </c>
      <c r="W9" s="335" t="s">
        <v>2014</v>
      </c>
      <c r="X9" s="338" t="s">
        <v>2014</v>
      </c>
      <c r="Y9" s="364" t="s">
        <v>2014</v>
      </c>
      <c r="Z9" s="106" t="s">
        <v>2450</v>
      </c>
      <c r="AA9" s="236">
        <v>556</v>
      </c>
      <c r="AB9" s="238"/>
      <c r="AC9" s="235">
        <v>2</v>
      </c>
      <c r="AD9" s="235"/>
      <c r="AE9" s="236"/>
      <c r="AF9" s="248">
        <f>165+165</f>
        <v>330</v>
      </c>
      <c r="AG9" s="245" t="s">
        <v>2092</v>
      </c>
      <c r="AH9" s="80"/>
      <c r="AI9" s="80">
        <f t="shared" si="2"/>
        <v>1</v>
      </c>
      <c r="AJ9" s="80">
        <f t="shared" si="7"/>
        <v>1</v>
      </c>
      <c r="AK9" s="80">
        <f>+IF(Y9="y",O9,0)</f>
        <v>5</v>
      </c>
    </row>
    <row r="10" spans="1:60" s="128" customFormat="1" ht="12.95" customHeight="1" x14ac:dyDescent="0.25">
      <c r="A10" s="80" t="e">
        <f>1+A9</f>
        <v>#REF!</v>
      </c>
      <c r="B10" s="80"/>
      <c r="C10" s="130" t="s">
        <v>2179</v>
      </c>
      <c r="D10" s="82" t="s">
        <v>2180</v>
      </c>
      <c r="E10" s="81">
        <v>69</v>
      </c>
      <c r="F10" s="83" t="s">
        <v>2090</v>
      </c>
      <c r="G10" s="83" t="s">
        <v>2181</v>
      </c>
      <c r="H10" s="85">
        <v>12.47</v>
      </c>
      <c r="I10" s="751" t="s">
        <v>2092</v>
      </c>
      <c r="J10" s="756">
        <v>0.88473949086560189</v>
      </c>
      <c r="K10" s="641">
        <v>0.73632660452381604</v>
      </c>
      <c r="L10" s="641">
        <v>0.77503892888782466</v>
      </c>
      <c r="M10" s="753">
        <f>+VALUE(RIGHT(G10,4))+VALUE(RIGHT(G11,1))</f>
        <v>4.3599999999999994</v>
      </c>
      <c r="N10" s="754">
        <f>MAX(I10:L10)/M10</f>
        <v>0.20292190157467935</v>
      </c>
      <c r="O10" s="275">
        <v>1</v>
      </c>
      <c r="P10" s="271">
        <f t="shared" si="3"/>
        <v>0.88473949086560189</v>
      </c>
      <c r="Q10" s="271">
        <f t="shared" si="0"/>
        <v>40.96267708211289</v>
      </c>
      <c r="R10" s="396">
        <f t="shared" si="4"/>
        <v>0</v>
      </c>
      <c r="S10" s="396">
        <f t="shared" si="5"/>
        <v>0</v>
      </c>
      <c r="T10" s="396">
        <f t="shared" si="6"/>
        <v>0</v>
      </c>
      <c r="U10" s="396">
        <f t="shared" si="1"/>
        <v>0</v>
      </c>
      <c r="V10" s="653">
        <f>+MAX(R10:U10)</f>
        <v>0</v>
      </c>
      <c r="W10" s="643" t="s">
        <v>2013</v>
      </c>
      <c r="X10" s="753" t="s">
        <v>2013</v>
      </c>
      <c r="Y10" s="769" t="s">
        <v>2013</v>
      </c>
      <c r="Z10" s="695" t="s">
        <v>2024</v>
      </c>
      <c r="AA10" s="770" t="s">
        <v>2451</v>
      </c>
      <c r="AB10" s="701">
        <v>1</v>
      </c>
      <c r="AC10" s="704"/>
      <c r="AD10" s="704"/>
      <c r="AE10" s="707"/>
      <c r="AF10" s="676">
        <v>45</v>
      </c>
      <c r="AG10" s="767">
        <f>+MAX(I10:L10)/MIN(60,AF10)</f>
        <v>1.9660877574791152E-2</v>
      </c>
      <c r="AH10" s="80"/>
      <c r="AI10" s="750">
        <f t="shared" si="2"/>
        <v>0</v>
      </c>
      <c r="AJ10" s="80">
        <f t="shared" si="7"/>
        <v>0</v>
      </c>
      <c r="AK10" s="750">
        <f>+IF(Y10="y",O10,0)</f>
        <v>0</v>
      </c>
    </row>
    <row r="11" spans="1:60" s="128" customFormat="1" ht="12.95" customHeight="1" x14ac:dyDescent="0.25">
      <c r="A11" s="80" t="e">
        <f t="shared" ref="A11:A20" si="8">1+A10</f>
        <v>#REF!</v>
      </c>
      <c r="B11" s="80"/>
      <c r="C11" s="134" t="s">
        <v>2179</v>
      </c>
      <c r="D11" s="93" t="s">
        <v>2180</v>
      </c>
      <c r="E11" s="92">
        <v>69</v>
      </c>
      <c r="F11" s="137" t="s">
        <v>2093</v>
      </c>
      <c r="G11" s="137">
        <v>1</v>
      </c>
      <c r="H11" s="135">
        <v>12</v>
      </c>
      <c r="I11" s="752"/>
      <c r="J11" s="757"/>
      <c r="K11" s="642"/>
      <c r="L11" s="642"/>
      <c r="M11" s="753"/>
      <c r="N11" s="755"/>
      <c r="O11" s="275">
        <v>3</v>
      </c>
      <c r="P11" s="284">
        <f t="shared" si="3"/>
        <v>0</v>
      </c>
      <c r="Q11" s="271">
        <f t="shared" si="0"/>
        <v>0</v>
      </c>
      <c r="R11" s="396">
        <f t="shared" si="4"/>
        <v>0</v>
      </c>
      <c r="S11" s="396">
        <f t="shared" si="5"/>
        <v>0</v>
      </c>
      <c r="T11" s="396">
        <f t="shared" si="6"/>
        <v>0</v>
      </c>
      <c r="U11" s="396">
        <f t="shared" si="1"/>
        <v>0</v>
      </c>
      <c r="V11" s="654"/>
      <c r="W11" s="643"/>
      <c r="X11" s="753"/>
      <c r="Y11" s="769"/>
      <c r="Z11" s="697"/>
      <c r="AA11" s="709"/>
      <c r="AB11" s="703"/>
      <c r="AC11" s="706"/>
      <c r="AD11" s="706"/>
      <c r="AE11" s="709"/>
      <c r="AF11" s="678"/>
      <c r="AG11" s="768"/>
      <c r="AH11" s="80"/>
      <c r="AI11" s="750"/>
      <c r="AJ11" s="80">
        <f t="shared" si="7"/>
        <v>0</v>
      </c>
      <c r="AK11" s="750"/>
    </row>
    <row r="12" spans="1:60" s="128" customFormat="1" ht="12.95" customHeight="1" x14ac:dyDescent="0.25">
      <c r="A12" s="80" t="e">
        <f t="shared" si="8"/>
        <v>#REF!</v>
      </c>
      <c r="B12" s="80"/>
      <c r="C12" s="134" t="s">
        <v>2182</v>
      </c>
      <c r="D12" s="93" t="s">
        <v>2183</v>
      </c>
      <c r="E12" s="92">
        <v>69</v>
      </c>
      <c r="F12" s="94" t="s">
        <v>2097</v>
      </c>
      <c r="G12" s="94" t="s">
        <v>2184</v>
      </c>
      <c r="H12" s="95">
        <v>4.16</v>
      </c>
      <c r="I12" s="101">
        <v>1.28</v>
      </c>
      <c r="J12" s="459">
        <v>1.7596036904254468</v>
      </c>
      <c r="K12" s="457">
        <v>1.6242937376895272</v>
      </c>
      <c r="L12" s="87">
        <v>1.4406537451878352</v>
      </c>
      <c r="M12" s="136">
        <f>+VALUE(RIGHT(G12,4))</f>
        <v>4.4800000000000004</v>
      </c>
      <c r="N12" s="90">
        <f t="shared" ref="N12:N20" si="9">MAX(I12:L12)/M12</f>
        <v>0.39276868089853723</v>
      </c>
      <c r="O12" s="275">
        <v>2</v>
      </c>
      <c r="P12" s="271">
        <f t="shared" si="3"/>
        <v>0.87980184521272342</v>
      </c>
      <c r="Q12" s="271">
        <f t="shared" si="0"/>
        <v>122.10428657862867</v>
      </c>
      <c r="R12" s="396">
        <f t="shared" si="4"/>
        <v>0</v>
      </c>
      <c r="S12" s="396">
        <f t="shared" si="5"/>
        <v>0</v>
      </c>
      <c r="T12" s="396">
        <f t="shared" si="6"/>
        <v>0</v>
      </c>
      <c r="U12" s="396">
        <f t="shared" si="1"/>
        <v>0</v>
      </c>
      <c r="V12" s="333">
        <f t="shared" ref="V12:V20" si="10">+MAX(R12:U12)</f>
        <v>0</v>
      </c>
      <c r="W12" s="335" t="s">
        <v>2013</v>
      </c>
      <c r="X12" s="338" t="s">
        <v>2013</v>
      </c>
      <c r="Y12" s="135" t="s">
        <v>2013</v>
      </c>
      <c r="Z12" s="92" t="s">
        <v>2024</v>
      </c>
      <c r="AA12" s="222" t="s">
        <v>2453</v>
      </c>
      <c r="AB12" s="221">
        <v>1</v>
      </c>
      <c r="AC12" s="220"/>
      <c r="AD12" s="220"/>
      <c r="AE12" s="222"/>
      <c r="AF12" s="249">
        <v>34</v>
      </c>
      <c r="AG12" s="224">
        <f>+MAX(I12:L12)/MIN(60,AF12)</f>
        <v>5.1753049718395498E-2</v>
      </c>
      <c r="AH12" s="80"/>
      <c r="AI12" s="80">
        <f t="shared" si="2"/>
        <v>0</v>
      </c>
      <c r="AJ12" s="80">
        <f t="shared" si="7"/>
        <v>0</v>
      </c>
      <c r="AK12" s="80">
        <f t="shared" ref="AK12:AK20" si="11">+IF(Y12="y",O12,0)</f>
        <v>0</v>
      </c>
    </row>
    <row r="13" spans="1:60" s="128" customFormat="1" ht="12.95" customHeight="1" x14ac:dyDescent="0.25">
      <c r="A13" s="80" t="e">
        <f t="shared" si="8"/>
        <v>#REF!</v>
      </c>
      <c r="B13" s="80"/>
      <c r="C13" s="134" t="s">
        <v>2185</v>
      </c>
      <c r="D13" s="93" t="s">
        <v>2186</v>
      </c>
      <c r="E13" s="92">
        <v>138</v>
      </c>
      <c r="F13" s="94" t="s">
        <v>2081</v>
      </c>
      <c r="G13" s="94" t="s">
        <v>2187</v>
      </c>
      <c r="H13" s="135">
        <v>26.4</v>
      </c>
      <c r="I13" s="101">
        <v>4.37</v>
      </c>
      <c r="J13" s="459">
        <v>20.93379859471942</v>
      </c>
      <c r="K13" s="457">
        <v>8.6490077011564281</v>
      </c>
      <c r="L13" s="87">
        <v>6.8287966287293607</v>
      </c>
      <c r="M13" s="136">
        <f>+VALUE(RIGHT(G13,4))</f>
        <v>25</v>
      </c>
      <c r="N13" s="90">
        <f t="shared" si="9"/>
        <v>0.83735194378877675</v>
      </c>
      <c r="O13" s="275">
        <v>4</v>
      </c>
      <c r="P13" s="271">
        <f t="shared" si="3"/>
        <v>5.233449648679855</v>
      </c>
      <c r="Q13" s="271">
        <f t="shared" si="0"/>
        <v>114.45202891877528</v>
      </c>
      <c r="R13" s="396">
        <f t="shared" si="4"/>
        <v>0</v>
      </c>
      <c r="S13" s="396">
        <f t="shared" si="5"/>
        <v>0</v>
      </c>
      <c r="T13" s="396">
        <f t="shared" si="6"/>
        <v>0</v>
      </c>
      <c r="U13" s="396">
        <f t="shared" si="1"/>
        <v>0</v>
      </c>
      <c r="V13" s="333">
        <f t="shared" si="10"/>
        <v>0</v>
      </c>
      <c r="W13" s="335" t="s">
        <v>2013</v>
      </c>
      <c r="X13" s="338" t="s">
        <v>2013</v>
      </c>
      <c r="Y13" s="135" t="s">
        <v>2013</v>
      </c>
      <c r="Z13" s="92" t="s">
        <v>2450</v>
      </c>
      <c r="AA13" s="222" t="s">
        <v>2453</v>
      </c>
      <c r="AB13" s="221"/>
      <c r="AC13" s="220">
        <v>1</v>
      </c>
      <c r="AD13" s="220"/>
      <c r="AE13" s="222"/>
      <c r="AF13" s="249">
        <v>34</v>
      </c>
      <c r="AG13" s="224">
        <f>+MAX(I13:L13)/MIN(60,AF13)</f>
        <v>0.61569995866821825</v>
      </c>
      <c r="AH13" s="80"/>
      <c r="AI13" s="80">
        <f t="shared" si="2"/>
        <v>0</v>
      </c>
      <c r="AJ13" s="80">
        <f t="shared" si="7"/>
        <v>0</v>
      </c>
      <c r="AK13" s="80">
        <f t="shared" si="11"/>
        <v>0</v>
      </c>
    </row>
    <row r="14" spans="1:60" s="128" customFormat="1" ht="12.95" customHeight="1" x14ac:dyDescent="0.25">
      <c r="A14" s="80" t="e">
        <f t="shared" si="8"/>
        <v>#REF!</v>
      </c>
      <c r="B14" s="80"/>
      <c r="C14" s="134" t="s">
        <v>2188</v>
      </c>
      <c r="D14" s="93" t="s">
        <v>2189</v>
      </c>
      <c r="E14" s="92">
        <v>69</v>
      </c>
      <c r="F14" s="94" t="s">
        <v>2190</v>
      </c>
      <c r="G14" s="94" t="s">
        <v>2191</v>
      </c>
      <c r="H14" s="135">
        <v>25</v>
      </c>
      <c r="I14" s="101">
        <v>4.42</v>
      </c>
      <c r="J14" s="459">
        <v>5.9582984513200277</v>
      </c>
      <c r="K14" s="457">
        <v>6.0098868294512506</v>
      </c>
      <c r="L14" s="87">
        <v>4.8982227336386401</v>
      </c>
      <c r="M14" s="136">
        <f>+VALUE(RIGHT(G14,4))</f>
        <v>7.55</v>
      </c>
      <c r="N14" s="90">
        <f t="shared" si="9"/>
        <v>0.7960115005895696</v>
      </c>
      <c r="O14" s="275">
        <v>2</v>
      </c>
      <c r="P14" s="271">
        <f t="shared" si="3"/>
        <v>3.0049434147256253</v>
      </c>
      <c r="Q14" s="271">
        <f t="shared" si="0"/>
        <v>69.396195575657316</v>
      </c>
      <c r="R14" s="396">
        <f t="shared" si="4"/>
        <v>0</v>
      </c>
      <c r="S14" s="396">
        <f t="shared" si="5"/>
        <v>0</v>
      </c>
      <c r="T14" s="396">
        <f t="shared" si="6"/>
        <v>0</v>
      </c>
      <c r="U14" s="396">
        <f t="shared" si="1"/>
        <v>0</v>
      </c>
      <c r="V14" s="333">
        <f t="shared" si="10"/>
        <v>0</v>
      </c>
      <c r="W14" s="335" t="s">
        <v>2013</v>
      </c>
      <c r="X14" s="338" t="s">
        <v>2013</v>
      </c>
      <c r="Y14" s="135" t="s">
        <v>2013</v>
      </c>
      <c r="Z14" s="106" t="s">
        <v>2024</v>
      </c>
      <c r="AA14" s="222" t="s">
        <v>2453</v>
      </c>
      <c r="AB14" s="238">
        <v>1</v>
      </c>
      <c r="AC14" s="235"/>
      <c r="AD14" s="235"/>
      <c r="AE14" s="236"/>
      <c r="AF14" s="248">
        <v>34</v>
      </c>
      <c r="AG14" s="267">
        <f>+(MAX(I14:L14)+MAX(I12:L12))/(MIN(60,AF14))</f>
        <v>0.22851442705519698</v>
      </c>
      <c r="AH14" s="80"/>
      <c r="AI14" s="80">
        <f t="shared" si="2"/>
        <v>0</v>
      </c>
      <c r="AJ14" s="80">
        <f t="shared" si="7"/>
        <v>0</v>
      </c>
      <c r="AK14" s="80">
        <f t="shared" si="11"/>
        <v>0</v>
      </c>
    </row>
    <row r="15" spans="1:60" s="128" customFormat="1" ht="12.95" customHeight="1" x14ac:dyDescent="0.25">
      <c r="A15" s="80" t="e">
        <f t="shared" si="8"/>
        <v>#REF!</v>
      </c>
      <c r="B15" s="80"/>
      <c r="C15" s="134" t="s">
        <v>2192</v>
      </c>
      <c r="D15" s="93" t="s">
        <v>2193</v>
      </c>
      <c r="E15" s="92">
        <v>69</v>
      </c>
      <c r="F15" s="94" t="s">
        <v>2090</v>
      </c>
      <c r="G15" s="94" t="s">
        <v>2194</v>
      </c>
      <c r="H15" s="131">
        <v>26.4</v>
      </c>
      <c r="I15" s="101">
        <v>9.84</v>
      </c>
      <c r="J15" s="459">
        <v>6.7354678145356841</v>
      </c>
      <c r="K15" s="457">
        <v>5.3601693343754402</v>
      </c>
      <c r="L15" s="87">
        <v>4.5380592973416807</v>
      </c>
      <c r="M15" s="136">
        <f>+VALUE(RIGHT(G15,2))</f>
        <v>12</v>
      </c>
      <c r="N15" s="90">
        <f t="shared" si="9"/>
        <v>0.82</v>
      </c>
      <c r="O15" s="275">
        <v>3</v>
      </c>
      <c r="P15" s="271">
        <f t="shared" si="3"/>
        <v>3.28</v>
      </c>
      <c r="Q15" s="271">
        <f t="shared" si="0"/>
        <v>71.731397081135327</v>
      </c>
      <c r="R15" s="396">
        <f t="shared" si="4"/>
        <v>0</v>
      </c>
      <c r="S15" s="396">
        <f t="shared" si="5"/>
        <v>0</v>
      </c>
      <c r="T15" s="396">
        <f t="shared" si="6"/>
        <v>0</v>
      </c>
      <c r="U15" s="396">
        <f t="shared" si="1"/>
        <v>0</v>
      </c>
      <c r="V15" s="333">
        <f t="shared" si="10"/>
        <v>0</v>
      </c>
      <c r="W15" s="335" t="s">
        <v>2014</v>
      </c>
      <c r="X15" s="338" t="s">
        <v>2014</v>
      </c>
      <c r="Y15" s="135" t="s">
        <v>2013</v>
      </c>
      <c r="Z15" s="92" t="s">
        <v>2024</v>
      </c>
      <c r="AA15" s="222" t="s">
        <v>2451</v>
      </c>
      <c r="AB15" s="223">
        <v>1</v>
      </c>
      <c r="AC15" s="225"/>
      <c r="AD15" s="225"/>
      <c r="AE15" s="226"/>
      <c r="AF15" s="249">
        <v>45</v>
      </c>
      <c r="AG15" s="267">
        <f>+(MAX($I$15:L15)+MAX(I14:L14)+MAX(I12:L12))/MIN(60,AF15)</f>
        <v>0.39132201155281549</v>
      </c>
      <c r="AH15" s="80"/>
      <c r="AI15" s="80">
        <f>+IF(W15="y",1,0)</f>
        <v>1</v>
      </c>
      <c r="AJ15" s="80">
        <f t="shared" si="7"/>
        <v>1</v>
      </c>
      <c r="AK15" s="80">
        <f t="shared" si="11"/>
        <v>0</v>
      </c>
    </row>
    <row r="16" spans="1:60" s="128" customFormat="1" ht="12.95" customHeight="1" x14ac:dyDescent="0.25">
      <c r="A16" s="80" t="e">
        <f t="shared" si="8"/>
        <v>#REF!</v>
      </c>
      <c r="B16" s="80"/>
      <c r="C16" s="134" t="s">
        <v>2195</v>
      </c>
      <c r="D16" s="93" t="s">
        <v>2196</v>
      </c>
      <c r="E16" s="92">
        <v>69</v>
      </c>
      <c r="F16" s="94" t="s">
        <v>2097</v>
      </c>
      <c r="G16" s="94" t="s">
        <v>2197</v>
      </c>
      <c r="H16" s="95">
        <v>24.94</v>
      </c>
      <c r="I16" s="101">
        <v>7.04</v>
      </c>
      <c r="J16" s="459">
        <v>10.61687389038722</v>
      </c>
      <c r="K16" s="457">
        <v>6.111510817547674</v>
      </c>
      <c r="L16" s="87">
        <v>6.2778153239913799</v>
      </c>
      <c r="M16" s="136">
        <f>+VALUE(RIGHT(G16,2))</f>
        <v>14</v>
      </c>
      <c r="N16" s="90">
        <f t="shared" si="9"/>
        <v>0.75834813502765852</v>
      </c>
      <c r="O16" s="275">
        <v>2</v>
      </c>
      <c r="P16" s="271">
        <f t="shared" si="3"/>
        <v>5.30843694519361</v>
      </c>
      <c r="Q16" s="271">
        <f t="shared" si="0"/>
        <v>122.88803124633864</v>
      </c>
      <c r="R16" s="396">
        <f t="shared" si="4"/>
        <v>0</v>
      </c>
      <c r="S16" s="396">
        <f t="shared" si="5"/>
        <v>0</v>
      </c>
      <c r="T16" s="396">
        <f t="shared" si="6"/>
        <v>0</v>
      </c>
      <c r="U16" s="396">
        <f t="shared" si="1"/>
        <v>0</v>
      </c>
      <c r="V16" s="333">
        <f t="shared" si="10"/>
        <v>0</v>
      </c>
      <c r="W16" s="335" t="s">
        <v>2014</v>
      </c>
      <c r="X16" s="338" t="s">
        <v>2013</v>
      </c>
      <c r="Y16" s="135" t="s">
        <v>2013</v>
      </c>
      <c r="Z16" s="92" t="s">
        <v>2024</v>
      </c>
      <c r="AA16" s="226">
        <v>336</v>
      </c>
      <c r="AB16" s="223">
        <v>1</v>
      </c>
      <c r="AC16" s="225"/>
      <c r="AD16" s="225"/>
      <c r="AE16" s="226"/>
      <c r="AF16" s="249">
        <v>67</v>
      </c>
      <c r="AG16" s="267">
        <f>+(MAX(I16:L16)+MAX(I20:L20))/MIN(60,AF16)</f>
        <v>0.29194789817312033</v>
      </c>
      <c r="AH16" s="80"/>
      <c r="AI16" s="80">
        <f t="shared" si="2"/>
        <v>1</v>
      </c>
      <c r="AJ16" s="80">
        <f t="shared" si="7"/>
        <v>0</v>
      </c>
      <c r="AK16" s="80">
        <f t="shared" si="11"/>
        <v>0</v>
      </c>
    </row>
    <row r="17" spans="1:37" s="128" customFormat="1" ht="12.95" customHeight="1" x14ac:dyDescent="0.25">
      <c r="A17" s="80" t="e">
        <f t="shared" si="8"/>
        <v>#REF!</v>
      </c>
      <c r="B17" s="80"/>
      <c r="C17" s="134" t="s">
        <v>2198</v>
      </c>
      <c r="D17" s="93" t="s">
        <v>2199</v>
      </c>
      <c r="E17" s="92">
        <v>138</v>
      </c>
      <c r="F17" s="94" t="s">
        <v>2081</v>
      </c>
      <c r="G17" s="94" t="s">
        <v>2101</v>
      </c>
      <c r="H17" s="131">
        <v>26.4</v>
      </c>
      <c r="I17" s="101">
        <v>9.73</v>
      </c>
      <c r="J17" s="459">
        <v>4.7250573970938117</v>
      </c>
      <c r="K17" s="457">
        <v>7.4654592788929168</v>
      </c>
      <c r="L17" s="87">
        <v>10.243194943094041</v>
      </c>
      <c r="M17" s="136">
        <f>+VALUE(RIGHT(G17,4))</f>
        <v>12.5</v>
      </c>
      <c r="N17" s="90">
        <f t="shared" si="9"/>
        <v>0.81945559544752333</v>
      </c>
      <c r="O17" s="275">
        <v>3</v>
      </c>
      <c r="P17" s="271">
        <f t="shared" si="3"/>
        <v>3.4143983143646803</v>
      </c>
      <c r="Q17" s="271">
        <f t="shared" si="0"/>
        <v>74.67059795147928</v>
      </c>
      <c r="R17" s="396">
        <f t="shared" si="4"/>
        <v>0</v>
      </c>
      <c r="S17" s="396">
        <f t="shared" si="5"/>
        <v>0</v>
      </c>
      <c r="T17" s="396">
        <f t="shared" si="6"/>
        <v>0</v>
      </c>
      <c r="U17" s="396">
        <f t="shared" si="1"/>
        <v>0</v>
      </c>
      <c r="V17" s="333">
        <f t="shared" si="10"/>
        <v>0</v>
      </c>
      <c r="W17" s="335" t="s">
        <v>2013</v>
      </c>
      <c r="X17" s="338" t="s">
        <v>2013</v>
      </c>
      <c r="Y17" s="135" t="s">
        <v>2013</v>
      </c>
      <c r="Z17" s="92" t="s">
        <v>2024</v>
      </c>
      <c r="AA17" s="226">
        <v>336</v>
      </c>
      <c r="AB17" s="223"/>
      <c r="AC17" s="225">
        <v>1</v>
      </c>
      <c r="AD17" s="225"/>
      <c r="AE17" s="226"/>
      <c r="AF17" s="249">
        <v>165</v>
      </c>
      <c r="AG17" s="224">
        <f>+MAX(I17:L17)/MIN(60,AF17)</f>
        <v>0.17071991571823403</v>
      </c>
      <c r="AH17" s="80"/>
      <c r="AI17" s="80">
        <f t="shared" si="2"/>
        <v>0</v>
      </c>
      <c r="AJ17" s="80">
        <f t="shared" si="7"/>
        <v>0</v>
      </c>
      <c r="AK17" s="80">
        <f t="shared" si="11"/>
        <v>0</v>
      </c>
    </row>
    <row r="18" spans="1:37" s="128" customFormat="1" ht="12.95" customHeight="1" x14ac:dyDescent="0.25">
      <c r="A18" s="80" t="e">
        <f t="shared" si="8"/>
        <v>#REF!</v>
      </c>
      <c r="B18" s="80"/>
      <c r="C18" s="134" t="s">
        <v>2200</v>
      </c>
      <c r="D18" s="93" t="s">
        <v>2201</v>
      </c>
      <c r="E18" s="92">
        <v>138</v>
      </c>
      <c r="F18" s="94" t="s">
        <v>2141</v>
      </c>
      <c r="G18" s="83" t="s">
        <v>2098</v>
      </c>
      <c r="H18" s="131">
        <v>26.4</v>
      </c>
      <c r="I18" s="101">
        <v>8.76</v>
      </c>
      <c r="J18" s="459">
        <v>9.3783721478080775</v>
      </c>
      <c r="K18" s="457">
        <v>6.6269394407143434</v>
      </c>
      <c r="L18" s="87">
        <v>7.9053970746558111</v>
      </c>
      <c r="M18" s="136">
        <f>+VALUE(RIGHT(G18,2))</f>
        <v>25</v>
      </c>
      <c r="N18" s="90">
        <f t="shared" si="9"/>
        <v>0.37513488591232308</v>
      </c>
      <c r="O18" s="275">
        <v>2</v>
      </c>
      <c r="P18" s="271">
        <f t="shared" si="3"/>
        <v>4.6891860739040387</v>
      </c>
      <c r="Q18" s="271">
        <f t="shared" si="0"/>
        <v>102.54935007760385</v>
      </c>
      <c r="R18" s="396">
        <f t="shared" si="4"/>
        <v>0</v>
      </c>
      <c r="S18" s="396">
        <f t="shared" si="5"/>
        <v>0</v>
      </c>
      <c r="T18" s="396">
        <f t="shared" si="6"/>
        <v>0</v>
      </c>
      <c r="U18" s="396">
        <f t="shared" si="1"/>
        <v>0</v>
      </c>
      <c r="V18" s="333">
        <f t="shared" si="10"/>
        <v>0</v>
      </c>
      <c r="W18" s="335" t="s">
        <v>2014</v>
      </c>
      <c r="X18" s="338" t="s">
        <v>2013</v>
      </c>
      <c r="Y18" s="135" t="s">
        <v>2013</v>
      </c>
      <c r="Z18" s="92" t="s">
        <v>2024</v>
      </c>
      <c r="AA18" s="222" t="s">
        <v>2452</v>
      </c>
      <c r="AB18" s="223"/>
      <c r="AC18" s="225">
        <v>1</v>
      </c>
      <c r="AD18" s="225"/>
      <c r="AE18" s="226"/>
      <c r="AF18" s="249">
        <v>45</v>
      </c>
      <c r="AG18" s="224">
        <f>+MAX(I18:L18)/MIN(60,AF18)</f>
        <v>0.20840826995129061</v>
      </c>
      <c r="AH18" s="80"/>
      <c r="AI18" s="80">
        <f t="shared" si="2"/>
        <v>1</v>
      </c>
      <c r="AJ18" s="80">
        <f t="shared" si="7"/>
        <v>0</v>
      </c>
      <c r="AK18" s="80">
        <f t="shared" si="11"/>
        <v>0</v>
      </c>
    </row>
    <row r="19" spans="1:37" s="128" customFormat="1" ht="12.95" customHeight="1" x14ac:dyDescent="0.25">
      <c r="A19" s="80" t="e">
        <f t="shared" si="8"/>
        <v>#REF!</v>
      </c>
      <c r="B19" s="80"/>
      <c r="C19" s="134" t="s">
        <v>2202</v>
      </c>
      <c r="D19" s="93" t="s">
        <v>2203</v>
      </c>
      <c r="E19" s="92">
        <v>138</v>
      </c>
      <c r="F19" s="94" t="s">
        <v>2081</v>
      </c>
      <c r="G19" s="94" t="s">
        <v>2204</v>
      </c>
      <c r="H19" s="131">
        <v>26.4</v>
      </c>
      <c r="I19" s="101">
        <v>2.95</v>
      </c>
      <c r="J19" s="459">
        <v>5.2707966961766513</v>
      </c>
      <c r="K19" s="457">
        <v>3.406375064181308</v>
      </c>
      <c r="L19" s="87">
        <v>6.231728963875006</v>
      </c>
      <c r="M19" s="136">
        <f>+VALUE(RIGHT(G19,2))</f>
        <v>14</v>
      </c>
      <c r="N19" s="90">
        <f t="shared" si="9"/>
        <v>0.4451234974196433</v>
      </c>
      <c r="O19" s="275">
        <v>3</v>
      </c>
      <c r="P19" s="271">
        <f t="shared" si="3"/>
        <v>2.0772429879583352</v>
      </c>
      <c r="Q19" s="271">
        <f t="shared" si="0"/>
        <v>45.427909025379073</v>
      </c>
      <c r="R19" s="396">
        <f t="shared" si="4"/>
        <v>0</v>
      </c>
      <c r="S19" s="396">
        <f t="shared" si="5"/>
        <v>0</v>
      </c>
      <c r="T19" s="396">
        <f t="shared" si="6"/>
        <v>0</v>
      </c>
      <c r="U19" s="396">
        <f t="shared" si="1"/>
        <v>0</v>
      </c>
      <c r="V19" s="333">
        <f t="shared" si="10"/>
        <v>0</v>
      </c>
      <c r="W19" s="335" t="s">
        <v>2013</v>
      </c>
      <c r="X19" s="338" t="s">
        <v>2013</v>
      </c>
      <c r="Y19" s="135" t="s">
        <v>2013</v>
      </c>
      <c r="Z19" s="92" t="s">
        <v>2450</v>
      </c>
      <c r="AA19" s="226">
        <v>556</v>
      </c>
      <c r="AB19" s="223"/>
      <c r="AC19" s="225">
        <v>2</v>
      </c>
      <c r="AD19" s="225"/>
      <c r="AE19" s="226"/>
      <c r="AF19" s="249">
        <f>165*2</f>
        <v>330</v>
      </c>
      <c r="AG19" s="246" t="s">
        <v>2092</v>
      </c>
      <c r="AH19" s="80"/>
      <c r="AI19" s="80">
        <f t="shared" si="2"/>
        <v>0</v>
      </c>
      <c r="AJ19" s="80">
        <f t="shared" si="7"/>
        <v>0</v>
      </c>
      <c r="AK19" s="80">
        <f t="shared" si="11"/>
        <v>0</v>
      </c>
    </row>
    <row r="20" spans="1:37" s="128" customFormat="1" ht="12.95" customHeight="1" x14ac:dyDescent="0.25">
      <c r="A20" s="80" t="e">
        <f t="shared" si="8"/>
        <v>#REF!</v>
      </c>
      <c r="B20" s="80"/>
      <c r="C20" s="138" t="s">
        <v>2205</v>
      </c>
      <c r="D20" s="107" t="s">
        <v>2206</v>
      </c>
      <c r="E20" s="106">
        <v>69</v>
      </c>
      <c r="F20" s="108" t="s">
        <v>2097</v>
      </c>
      <c r="G20" s="108" t="s">
        <v>2101</v>
      </c>
      <c r="H20" s="139">
        <v>13.2</v>
      </c>
      <c r="I20" s="462">
        <v>6.9</v>
      </c>
      <c r="J20" s="459">
        <v>4.4236974543280096</v>
      </c>
      <c r="K20" s="457">
        <v>6.7005721011667267</v>
      </c>
      <c r="L20" s="87">
        <v>5.1927608235484257</v>
      </c>
      <c r="M20" s="136">
        <f>+VALUE(RIGHT(G20,4))</f>
        <v>12.5</v>
      </c>
      <c r="N20" s="90">
        <f t="shared" si="9"/>
        <v>0.55200000000000005</v>
      </c>
      <c r="O20" s="275">
        <v>3</v>
      </c>
      <c r="P20" s="271">
        <f t="shared" si="3"/>
        <v>2.3000000000000003</v>
      </c>
      <c r="Q20" s="271">
        <f t="shared" si="0"/>
        <v>100.59891054061664</v>
      </c>
      <c r="R20" s="396">
        <f t="shared" si="4"/>
        <v>0</v>
      </c>
      <c r="S20" s="396">
        <f t="shared" si="5"/>
        <v>0</v>
      </c>
      <c r="T20" s="396">
        <f t="shared" si="6"/>
        <v>0</v>
      </c>
      <c r="U20" s="396">
        <f t="shared" si="1"/>
        <v>0</v>
      </c>
      <c r="V20" s="333">
        <f t="shared" si="10"/>
        <v>0</v>
      </c>
      <c r="W20" s="335" t="s">
        <v>2013</v>
      </c>
      <c r="X20" s="338" t="s">
        <v>2013</v>
      </c>
      <c r="Y20" s="135" t="s">
        <v>2013</v>
      </c>
      <c r="Z20" s="92" t="s">
        <v>2024</v>
      </c>
      <c r="AA20" s="226">
        <v>336</v>
      </c>
      <c r="AB20" s="223">
        <v>1</v>
      </c>
      <c r="AC20" s="225"/>
      <c r="AD20" s="225"/>
      <c r="AE20" s="226"/>
      <c r="AF20" s="249">
        <v>67</v>
      </c>
      <c r="AG20" s="224">
        <f>+MAX(I20:L20)/MIN(60,AF20)</f>
        <v>0.115</v>
      </c>
      <c r="AH20" s="80"/>
      <c r="AI20" s="80">
        <f t="shared" si="2"/>
        <v>0</v>
      </c>
      <c r="AJ20" s="80">
        <f t="shared" si="7"/>
        <v>0</v>
      </c>
      <c r="AK20" s="80">
        <f t="shared" si="11"/>
        <v>0</v>
      </c>
    </row>
    <row r="21" spans="1:37" ht="12.75" customHeight="1" thickBot="1" x14ac:dyDescent="0.3">
      <c r="A21" s="80"/>
      <c r="B21" s="80"/>
      <c r="C21" s="111"/>
      <c r="D21" s="110"/>
      <c r="E21" s="111"/>
      <c r="F21" s="112"/>
      <c r="G21" s="112"/>
      <c r="H21" s="140"/>
      <c r="I21" s="126"/>
      <c r="J21" s="113"/>
      <c r="K21" s="141"/>
      <c r="L21" s="126"/>
      <c r="M21" s="142" t="str">
        <f>+RIGHT(G21,4)</f>
        <v/>
      </c>
      <c r="N21" s="281"/>
      <c r="O21" s="283"/>
      <c r="P21" s="282"/>
      <c r="Q21" s="279"/>
      <c r="R21" s="143" t="str">
        <f>+IF(OR(I21="-",I21&lt;$M21),0,$M21)</f>
        <v/>
      </c>
      <c r="S21" s="143" t="str">
        <f>+IF(OR(J21="-",J21&lt;$M21),0,$M21)</f>
        <v/>
      </c>
      <c r="T21" s="143" t="str">
        <f>+IF(OR(K21="-",K21&lt;$M21),0,$M21)</f>
        <v/>
      </c>
      <c r="U21" s="143" t="str">
        <f>+IF(OR(L21="-",L21&lt;$M21),0,$M21)</f>
        <v/>
      </c>
      <c r="V21" s="117"/>
      <c r="W21" s="366"/>
      <c r="X21" s="367"/>
      <c r="Y21" s="365"/>
      <c r="Z21" s="111"/>
      <c r="AA21" s="110"/>
      <c r="AB21" s="111"/>
      <c r="AC21" s="112"/>
      <c r="AD21" s="112"/>
      <c r="AE21" s="110"/>
      <c r="AF21" s="160"/>
      <c r="AG21" s="172"/>
      <c r="AH21" s="80"/>
      <c r="AI21" s="80"/>
      <c r="AJ21" s="80"/>
      <c r="AK21" s="80"/>
    </row>
    <row r="22" spans="1:37" ht="12.95" customHeight="1" thickBot="1" x14ac:dyDescent="0.3">
      <c r="A22" s="80"/>
      <c r="B22" s="80"/>
      <c r="H22" s="178" t="s">
        <v>2427</v>
      </c>
      <c r="I22" s="118">
        <f>+SUM(I7:I21)</f>
        <v>135.45000000000002</v>
      </c>
      <c r="J22" s="118">
        <f>+SUM(J7:J21)</f>
        <v>134.29649287560389</v>
      </c>
      <c r="K22" s="118">
        <f>+SUM(K7:K21)</f>
        <v>104.19542912096846</v>
      </c>
      <c r="L22" s="118">
        <f>+SUM(L7:L21)</f>
        <v>98.637528040343824</v>
      </c>
      <c r="M22" s="118">
        <f>+SUM(M7:M21)</f>
        <v>223.09</v>
      </c>
      <c r="O22" s="666" t="s">
        <v>2519</v>
      </c>
      <c r="P22" s="667"/>
      <c r="Q22" s="668"/>
      <c r="R22" s="885">
        <f>+SUM(R7:R21)</f>
        <v>0</v>
      </c>
      <c r="S22" s="886">
        <f>+SUM(S7:S21)</f>
        <v>0</v>
      </c>
      <c r="T22" s="886">
        <f>+SUM(T7:T21)</f>
        <v>0</v>
      </c>
      <c r="U22" s="886">
        <f>+SUM(U7:U21)</f>
        <v>0</v>
      </c>
      <c r="V22" s="887">
        <f>+SUM(V7:V21)</f>
        <v>0</v>
      </c>
      <c r="W22" s="345"/>
      <c r="X22" s="345"/>
      <c r="Y22" s="345"/>
      <c r="Z22" s="730" t="s">
        <v>2470</v>
      </c>
      <c r="AA22" s="731"/>
      <c r="AB22" s="731"/>
      <c r="AC22" s="731"/>
      <c r="AD22" s="731"/>
      <c r="AE22" s="731"/>
      <c r="AF22" s="731"/>
      <c r="AG22" s="732"/>
      <c r="AH22" s="80"/>
      <c r="AI22" s="80">
        <f>+SUM(AI7:AI20)</f>
        <v>6</v>
      </c>
      <c r="AJ22" s="80">
        <f>+SUM(AJ7:AJ20)</f>
        <v>4</v>
      </c>
      <c r="AK22" s="80">
        <f>+SUM(AK7:AK20)</f>
        <v>5</v>
      </c>
    </row>
    <row r="23" spans="1:37" ht="13.5" customHeight="1" thickBot="1" x14ac:dyDescent="0.3">
      <c r="A23" s="80"/>
      <c r="B23" s="80"/>
      <c r="D23" s="63" t="s">
        <v>2160</v>
      </c>
      <c r="L23" s="63"/>
      <c r="O23" s="669"/>
      <c r="P23" s="670"/>
      <c r="Q23" s="671"/>
      <c r="R23" s="144"/>
      <c r="S23" s="144"/>
      <c r="T23" s="144"/>
      <c r="U23" s="144"/>
      <c r="Z23" s="733"/>
      <c r="AA23" s="734"/>
      <c r="AB23" s="734"/>
      <c r="AC23" s="734"/>
      <c r="AD23" s="734"/>
      <c r="AE23" s="734"/>
      <c r="AF23" s="734"/>
      <c r="AG23" s="735"/>
      <c r="AH23" s="80"/>
      <c r="AI23" s="80"/>
      <c r="AJ23" s="80"/>
      <c r="AK23" s="80"/>
    </row>
    <row r="24" spans="1:37" ht="12.75" customHeight="1" thickBot="1" x14ac:dyDescent="0.3">
      <c r="A24" s="80"/>
      <c r="B24" s="80"/>
      <c r="D24" s="145" t="s">
        <v>2207</v>
      </c>
      <c r="Z24" s="736" t="s">
        <v>2471</v>
      </c>
      <c r="AA24" s="737"/>
      <c r="AB24" s="737"/>
      <c r="AC24" s="737"/>
      <c r="AD24" s="737"/>
      <c r="AE24" s="737"/>
      <c r="AF24" s="737"/>
      <c r="AG24" s="738"/>
      <c r="AH24" s="80"/>
      <c r="AI24" s="80"/>
      <c r="AJ24" s="80"/>
      <c r="AK24" s="80"/>
    </row>
    <row r="25" spans="1:37" ht="13.5" thickBot="1" x14ac:dyDescent="0.3">
      <c r="A25" s="80"/>
      <c r="B25" s="80"/>
      <c r="K25" s="120" t="s">
        <v>2162</v>
      </c>
      <c r="L25" s="121" t="s">
        <v>2163</v>
      </c>
      <c r="M25" s="122" t="s">
        <v>2164</v>
      </c>
      <c r="N25" s="760" t="s">
        <v>2001</v>
      </c>
      <c r="O25" s="761"/>
      <c r="P25" s="761"/>
      <c r="Q25" s="762"/>
      <c r="R25" s="277" t="s">
        <v>2015</v>
      </c>
      <c r="Z25" s="739"/>
      <c r="AA25" s="740"/>
      <c r="AB25" s="740"/>
      <c r="AC25" s="740"/>
      <c r="AD25" s="740"/>
      <c r="AE25" s="740"/>
      <c r="AF25" s="740"/>
      <c r="AG25" s="741"/>
    </row>
    <row r="26" spans="1:37" ht="14.25" thickTop="1" thickBot="1" x14ac:dyDescent="0.3">
      <c r="A26" s="80"/>
      <c r="B26" s="80"/>
      <c r="K26" s="86"/>
      <c r="L26" s="124"/>
      <c r="M26" s="87"/>
      <c r="N26" s="660"/>
      <c r="O26" s="661"/>
      <c r="P26" s="661"/>
      <c r="Q26" s="662"/>
      <c r="R26" s="149"/>
      <c r="Z26" s="742"/>
      <c r="AA26" s="743"/>
      <c r="AB26" s="743"/>
      <c r="AC26" s="743"/>
      <c r="AD26" s="743"/>
      <c r="AE26" s="743"/>
      <c r="AF26" s="743"/>
      <c r="AG26" s="744"/>
    </row>
    <row r="27" spans="1:37" ht="13.5" thickBot="1" x14ac:dyDescent="0.3">
      <c r="A27" s="80"/>
      <c r="B27" s="80"/>
      <c r="K27" s="126"/>
      <c r="L27" s="114"/>
      <c r="M27" s="127"/>
      <c r="N27" s="663"/>
      <c r="O27" s="664"/>
      <c r="P27" s="664"/>
      <c r="Q27" s="665"/>
      <c r="R27" s="278"/>
      <c r="AA27" s="233"/>
      <c r="AB27" s="262"/>
      <c r="AC27" s="262"/>
      <c r="AD27" s="262"/>
      <c r="AE27" s="262"/>
      <c r="AF27" s="262"/>
      <c r="AG27" s="260"/>
    </row>
    <row r="28" spans="1:37" x14ac:dyDescent="0.25">
      <c r="A28" s="80"/>
      <c r="B28" s="80"/>
    </row>
    <row r="29" spans="1:37" x14ac:dyDescent="0.25">
      <c r="A29" s="80"/>
      <c r="B29" s="80"/>
      <c r="R29" s="144"/>
      <c r="S29" s="144"/>
      <c r="T29" s="144"/>
      <c r="U29" s="144"/>
    </row>
    <row r="30" spans="1:37" x14ac:dyDescent="0.25">
      <c r="A30" s="80"/>
      <c r="B30" s="80"/>
      <c r="M30" s="61" t="str">
        <f>+RIGHT(G30,4)</f>
        <v/>
      </c>
      <c r="R30" s="144"/>
      <c r="S30" s="144"/>
      <c r="T30" s="144"/>
      <c r="U30" s="144"/>
    </row>
    <row r="31" spans="1:37" x14ac:dyDescent="0.25">
      <c r="A31" s="80"/>
      <c r="B31" s="80"/>
    </row>
    <row r="32" spans="1:37" x14ac:dyDescent="0.25">
      <c r="A32" s="80"/>
      <c r="B32" s="80"/>
    </row>
    <row r="33" spans="1:18" x14ac:dyDescent="0.25">
      <c r="A33" s="80"/>
      <c r="B33" s="80"/>
    </row>
    <row r="34" spans="1:18" x14ac:dyDescent="0.25">
      <c r="A34" s="80"/>
      <c r="B34" s="80"/>
      <c r="R34" s="144"/>
    </row>
    <row r="35" spans="1:18" x14ac:dyDescent="0.25">
      <c r="A35" s="80"/>
      <c r="B35" s="80"/>
      <c r="P35" s="145"/>
    </row>
    <row r="38" spans="1:18" x14ac:dyDescent="0.25">
      <c r="M38" s="61" t="str">
        <f t="shared" ref="M38:M53" si="12">+RIGHT(G38,4)</f>
        <v/>
      </c>
      <c r="R38" s="144"/>
    </row>
    <row r="39" spans="1:18" x14ac:dyDescent="0.25">
      <c r="M39" s="61" t="str">
        <f t="shared" si="12"/>
        <v/>
      </c>
      <c r="R39" s="144"/>
    </row>
    <row r="40" spans="1:18" x14ac:dyDescent="0.25">
      <c r="M40" s="61" t="str">
        <f t="shared" si="12"/>
        <v/>
      </c>
      <c r="R40" s="144"/>
    </row>
    <row r="41" spans="1:18" x14ac:dyDescent="0.25">
      <c r="M41" s="61" t="str">
        <f t="shared" si="12"/>
        <v/>
      </c>
      <c r="R41" s="144"/>
    </row>
    <row r="42" spans="1:18" x14ac:dyDescent="0.25">
      <c r="M42" s="61" t="str">
        <f t="shared" si="12"/>
        <v/>
      </c>
      <c r="R42" s="119"/>
    </row>
    <row r="43" spans="1:18" x14ac:dyDescent="0.25">
      <c r="M43" s="61" t="str">
        <f t="shared" si="12"/>
        <v/>
      </c>
    </row>
    <row r="44" spans="1:18" x14ac:dyDescent="0.25">
      <c r="M44" s="61" t="str">
        <f t="shared" si="12"/>
        <v/>
      </c>
    </row>
    <row r="45" spans="1:18" x14ac:dyDescent="0.25">
      <c r="M45" s="61" t="str">
        <f t="shared" si="12"/>
        <v/>
      </c>
    </row>
    <row r="46" spans="1:18" x14ac:dyDescent="0.25">
      <c r="M46" s="61" t="str">
        <f t="shared" si="12"/>
        <v/>
      </c>
    </row>
    <row r="47" spans="1:18" x14ac:dyDescent="0.25">
      <c r="M47" s="61" t="str">
        <f t="shared" si="12"/>
        <v/>
      </c>
    </row>
    <row r="48" spans="1:18" x14ac:dyDescent="0.25">
      <c r="M48" s="61" t="str">
        <f t="shared" si="12"/>
        <v/>
      </c>
    </row>
    <row r="49" spans="13:13" x14ac:dyDescent="0.25">
      <c r="M49" s="61" t="str">
        <f t="shared" si="12"/>
        <v/>
      </c>
    </row>
    <row r="50" spans="13:13" x14ac:dyDescent="0.25">
      <c r="M50" s="61" t="str">
        <f t="shared" si="12"/>
        <v/>
      </c>
    </row>
    <row r="51" spans="13:13" x14ac:dyDescent="0.25">
      <c r="M51" s="61" t="str">
        <f t="shared" si="12"/>
        <v/>
      </c>
    </row>
    <row r="52" spans="13:13" x14ac:dyDescent="0.25">
      <c r="M52" s="61" t="str">
        <f t="shared" si="12"/>
        <v/>
      </c>
    </row>
    <row r="53" spans="13:13" x14ac:dyDescent="0.25">
      <c r="M53" s="61" t="str">
        <f t="shared" si="12"/>
        <v/>
      </c>
    </row>
  </sheetData>
  <mergeCells count="45">
    <mergeCell ref="V10:V11"/>
    <mergeCell ref="AI10:AI11"/>
    <mergeCell ref="AK10:AK11"/>
    <mergeCell ref="W10:W11"/>
    <mergeCell ref="X10:X11"/>
    <mergeCell ref="Y10:Y11"/>
    <mergeCell ref="AE10:AE11"/>
    <mergeCell ref="AA10:AA11"/>
    <mergeCell ref="AB10:AB11"/>
    <mergeCell ref="AC10:AC11"/>
    <mergeCell ref="AD10:AD11"/>
    <mergeCell ref="W3:Y4"/>
    <mergeCell ref="W5:W6"/>
    <mergeCell ref="X5:X6"/>
    <mergeCell ref="Y5:Y6"/>
    <mergeCell ref="Z10:Z11"/>
    <mergeCell ref="N26:Q26"/>
    <mergeCell ref="N27:Q27"/>
    <mergeCell ref="R3:V4"/>
    <mergeCell ref="Z3:AG4"/>
    <mergeCell ref="AB5:AE5"/>
    <mergeCell ref="AG5:AG6"/>
    <mergeCell ref="N25:Q25"/>
    <mergeCell ref="Z24:AG26"/>
    <mergeCell ref="O3:Q4"/>
    <mergeCell ref="O5:O6"/>
    <mergeCell ref="P5:P6"/>
    <mergeCell ref="Q5:Q6"/>
    <mergeCell ref="O22:Q23"/>
    <mergeCell ref="AF10:AF11"/>
    <mergeCell ref="AG10:AG11"/>
    <mergeCell ref="Z22:AG23"/>
    <mergeCell ref="M5:M6"/>
    <mergeCell ref="N5:N6"/>
    <mergeCell ref="I10:I11"/>
    <mergeCell ref="K10:K11"/>
    <mergeCell ref="L10:L11"/>
    <mergeCell ref="M10:M11"/>
    <mergeCell ref="N10:N11"/>
    <mergeCell ref="J10:J11"/>
    <mergeCell ref="C1:F1"/>
    <mergeCell ref="C3:D4"/>
    <mergeCell ref="E3:H4"/>
    <mergeCell ref="I3:L4"/>
    <mergeCell ref="M3:N4"/>
  </mergeCells>
  <conditionalFormatting sqref="R23:U23 R29:U30">
    <cfRule type="cellIs" dxfId="39" priority="23" stopIfTrue="1" operator="between">
      <formula>1</formula>
      <formula>1.33</formula>
    </cfRule>
  </conditionalFormatting>
  <conditionalFormatting sqref="U23 U29:U30">
    <cfRule type="cellIs" dxfId="38" priority="20" stopIfTrue="1" operator="between">
      <formula>1</formula>
      <formula>1.33</formula>
    </cfRule>
  </conditionalFormatting>
  <conditionalFormatting sqref="R23:T23 R29:T30">
    <cfRule type="cellIs" dxfId="37" priority="21" stopIfTrue="1" operator="between">
      <formula>1</formula>
      <formula>1.33</formula>
    </cfRule>
  </conditionalFormatting>
  <conditionalFormatting sqref="N12:N20 N7:N10">
    <cfRule type="cellIs" dxfId="36" priority="11" stopIfTrue="1" operator="greaterThan">
      <formula>1.06</formula>
    </cfRule>
  </conditionalFormatting>
  <conditionalFormatting sqref="Q7:Q20">
    <cfRule type="cellIs" dxfId="35" priority="1" operator="greaterThan">
      <formula>260</formula>
    </cfRule>
  </conditionalFormatting>
  <pageMargins left="0.7" right="0.7" top="0.75" bottom="0.75" header="0.3" footer="0.3"/>
  <pageSetup scale="39"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D5155-DF5A-4EED-99FD-87C4CC2BF5F3}">
  <sheetPr>
    <pageSetUpPr fitToPage="1"/>
  </sheetPr>
  <dimension ref="A1:AR47"/>
  <sheetViews>
    <sheetView showGridLines="0" view="pageBreakPreview" topLeftCell="B1" zoomScale="60" zoomScaleNormal="70" workbookViewId="0">
      <selection activeCell="R35" sqref="R35:V35"/>
    </sheetView>
  </sheetViews>
  <sheetFormatPr defaultColWidth="8.42578125" defaultRowHeight="12.75" x14ac:dyDescent="0.25"/>
  <cols>
    <col min="1" max="1" width="7.42578125" style="59" hidden="1" customWidth="1"/>
    <col min="2" max="2" width="2.42578125" style="59" customWidth="1"/>
    <col min="3" max="3" width="6.42578125" style="59" customWidth="1"/>
    <col min="4" max="4" width="18.42578125" style="59" customWidth="1"/>
    <col min="5" max="6" width="6.42578125" style="59" customWidth="1"/>
    <col min="7" max="7" width="18.42578125" style="59" customWidth="1"/>
    <col min="8" max="8" width="6.42578125" style="59" customWidth="1"/>
    <col min="9" max="12" width="12.7109375" style="59" customWidth="1"/>
    <col min="13" max="13" width="10.42578125" style="61" customWidth="1"/>
    <col min="14" max="22" width="10.42578125" style="59" customWidth="1"/>
    <col min="23" max="25" width="6.42578125" style="59" customWidth="1"/>
    <col min="26" max="27" width="8.42578125" style="59" customWidth="1"/>
    <col min="28" max="31" width="6.42578125" style="59" customWidth="1"/>
    <col min="32" max="32" width="16.42578125" style="59" customWidth="1"/>
    <col min="33" max="33" width="12.42578125" style="59" customWidth="1"/>
    <col min="34" max="34" width="8.42578125" style="59"/>
    <col min="35" max="37" width="8.42578125" style="61"/>
    <col min="38" max="16384" width="8.42578125" style="59"/>
  </cols>
  <sheetData>
    <row r="1" spans="1:43" ht="15.95" customHeight="1" x14ac:dyDescent="0.25">
      <c r="C1" s="646" t="s">
        <v>2208</v>
      </c>
      <c r="D1" s="646"/>
      <c r="E1" s="646"/>
      <c r="F1" s="646"/>
    </row>
    <row r="2" spans="1:43" s="145" customFormat="1" ht="12.95" customHeight="1" thickBot="1" x14ac:dyDescent="0.3">
      <c r="M2" s="61"/>
      <c r="AI2" s="363"/>
      <c r="AJ2" s="363"/>
      <c r="AK2" s="363"/>
    </row>
    <row r="3" spans="1:43" s="145" customFormat="1" ht="12.95" customHeight="1" x14ac:dyDescent="0.25">
      <c r="C3" s="647" t="s">
        <v>2058</v>
      </c>
      <c r="D3" s="648"/>
      <c r="E3" s="647" t="s">
        <v>2059</v>
      </c>
      <c r="F3" s="651"/>
      <c r="G3" s="651"/>
      <c r="H3" s="648"/>
      <c r="I3" s="647" t="s">
        <v>2060</v>
      </c>
      <c r="J3" s="651"/>
      <c r="K3" s="651"/>
      <c r="L3" s="648"/>
      <c r="M3" s="647" t="s">
        <v>2061</v>
      </c>
      <c r="N3" s="648"/>
      <c r="O3" s="647" t="s">
        <v>4721</v>
      </c>
      <c r="P3" s="651"/>
      <c r="Q3" s="648"/>
      <c r="R3" s="881" t="s">
        <v>2062</v>
      </c>
      <c r="S3" s="882"/>
      <c r="T3" s="882"/>
      <c r="U3" s="882"/>
      <c r="V3" s="888"/>
      <c r="W3" s="722" t="s">
        <v>2494</v>
      </c>
      <c r="X3" s="723"/>
      <c r="Y3" s="724"/>
      <c r="Z3" s="684" t="s">
        <v>2438</v>
      </c>
      <c r="AA3" s="685"/>
      <c r="AB3" s="685"/>
      <c r="AC3" s="685"/>
      <c r="AD3" s="685"/>
      <c r="AE3" s="685"/>
      <c r="AF3" s="685"/>
      <c r="AG3" s="686"/>
      <c r="AI3" s="363"/>
      <c r="AJ3" s="363"/>
      <c r="AK3" s="363"/>
    </row>
    <row r="4" spans="1:43" s="145" customFormat="1" ht="12.95" customHeight="1" thickBot="1" x14ac:dyDescent="0.3">
      <c r="C4" s="649"/>
      <c r="D4" s="650"/>
      <c r="E4" s="649"/>
      <c r="F4" s="652"/>
      <c r="G4" s="652"/>
      <c r="H4" s="650"/>
      <c r="I4" s="649"/>
      <c r="J4" s="652"/>
      <c r="K4" s="652"/>
      <c r="L4" s="650"/>
      <c r="M4" s="649"/>
      <c r="N4" s="650"/>
      <c r="O4" s="649"/>
      <c r="P4" s="652"/>
      <c r="Q4" s="650"/>
      <c r="R4" s="883"/>
      <c r="S4" s="884"/>
      <c r="T4" s="884"/>
      <c r="U4" s="884"/>
      <c r="V4" s="889"/>
      <c r="W4" s="725"/>
      <c r="X4" s="726"/>
      <c r="Y4" s="727"/>
      <c r="Z4" s="687"/>
      <c r="AA4" s="688"/>
      <c r="AB4" s="688"/>
      <c r="AC4" s="688"/>
      <c r="AD4" s="688"/>
      <c r="AE4" s="688"/>
      <c r="AF4" s="688"/>
      <c r="AG4" s="689"/>
      <c r="AI4" s="363"/>
      <c r="AJ4" s="363"/>
      <c r="AK4" s="363"/>
    </row>
    <row r="5" spans="1:43" s="145" customFormat="1" ht="12.95" customHeight="1" x14ac:dyDescent="0.25">
      <c r="C5" s="64" t="s">
        <v>2063</v>
      </c>
      <c r="D5" s="65" t="s">
        <v>2064</v>
      </c>
      <c r="E5" s="66" t="s">
        <v>2065</v>
      </c>
      <c r="F5" s="67" t="s">
        <v>2066</v>
      </c>
      <c r="G5" s="67" t="s">
        <v>2066</v>
      </c>
      <c r="H5" s="470" t="s">
        <v>2067</v>
      </c>
      <c r="I5" s="70">
        <v>42736</v>
      </c>
      <c r="J5" s="71">
        <v>43107.708333333336</v>
      </c>
      <c r="K5" s="69">
        <v>43523.322916666664</v>
      </c>
      <c r="L5" s="71">
        <v>43847.756944444445</v>
      </c>
      <c r="M5" s="637" t="s">
        <v>2068</v>
      </c>
      <c r="N5" s="771" t="s">
        <v>2069</v>
      </c>
      <c r="O5" s="794" t="s">
        <v>2474</v>
      </c>
      <c r="P5" s="745" t="s">
        <v>2475</v>
      </c>
      <c r="Q5" s="765" t="s">
        <v>2476</v>
      </c>
      <c r="R5" s="190">
        <v>2017</v>
      </c>
      <c r="S5" s="191">
        <v>2018</v>
      </c>
      <c r="T5" s="190">
        <v>2019</v>
      </c>
      <c r="U5" s="192">
        <v>2020</v>
      </c>
      <c r="V5" s="192" t="s">
        <v>2430</v>
      </c>
      <c r="W5" s="716" t="s">
        <v>2496</v>
      </c>
      <c r="X5" s="714" t="s">
        <v>2495</v>
      </c>
      <c r="Y5" s="712" t="s">
        <v>2497</v>
      </c>
      <c r="Z5" s="210" t="s">
        <v>2458</v>
      </c>
      <c r="AA5" s="211" t="s">
        <v>2439</v>
      </c>
      <c r="AB5" s="690" t="s">
        <v>2440</v>
      </c>
      <c r="AC5" s="691"/>
      <c r="AD5" s="691"/>
      <c r="AE5" s="692"/>
      <c r="AF5" s="212" t="s">
        <v>2441</v>
      </c>
      <c r="AG5" s="693" t="s">
        <v>2442</v>
      </c>
      <c r="AI5" s="61"/>
      <c r="AJ5" s="61" t="s">
        <v>2494</v>
      </c>
      <c r="AK5" s="61"/>
    </row>
    <row r="6" spans="1:43" s="145" customFormat="1" ht="12.95" customHeight="1" thickBot="1" x14ac:dyDescent="0.3">
      <c r="C6" s="72" t="s">
        <v>2070</v>
      </c>
      <c r="D6" s="73" t="s">
        <v>2071</v>
      </c>
      <c r="E6" s="72" t="s">
        <v>2072</v>
      </c>
      <c r="F6" s="74" t="s">
        <v>2073</v>
      </c>
      <c r="G6" s="74" t="s">
        <v>2074</v>
      </c>
      <c r="H6" s="458" t="s">
        <v>2072</v>
      </c>
      <c r="I6" s="454" t="s">
        <v>2075</v>
      </c>
      <c r="J6" s="76" t="s">
        <v>2169</v>
      </c>
      <c r="K6" s="454" t="s">
        <v>2077</v>
      </c>
      <c r="L6" s="76" t="s">
        <v>3659</v>
      </c>
      <c r="M6" s="638"/>
      <c r="N6" s="772"/>
      <c r="O6" s="795"/>
      <c r="P6" s="746"/>
      <c r="Q6" s="766"/>
      <c r="R6" s="77" t="s">
        <v>2078</v>
      </c>
      <c r="S6" s="78" t="s">
        <v>2078</v>
      </c>
      <c r="T6" s="77" t="s">
        <v>2078</v>
      </c>
      <c r="U6" s="79" t="s">
        <v>2078</v>
      </c>
      <c r="V6" s="79" t="s">
        <v>2078</v>
      </c>
      <c r="W6" s="717"/>
      <c r="X6" s="715"/>
      <c r="Y6" s="713"/>
      <c r="Z6" s="213" t="s">
        <v>2443</v>
      </c>
      <c r="AA6" s="214" t="s">
        <v>2444</v>
      </c>
      <c r="AB6" s="72" t="s">
        <v>2445</v>
      </c>
      <c r="AC6" s="215" t="s">
        <v>2446</v>
      </c>
      <c r="AD6" s="215" t="s">
        <v>2447</v>
      </c>
      <c r="AE6" s="75" t="s">
        <v>2448</v>
      </c>
      <c r="AF6" s="216" t="s">
        <v>2449</v>
      </c>
      <c r="AG6" s="694"/>
      <c r="AI6" s="61"/>
      <c r="AJ6" s="61" t="s">
        <v>2498</v>
      </c>
      <c r="AK6" s="61" t="s">
        <v>2473</v>
      </c>
    </row>
    <row r="7" spans="1:43" s="145" customFormat="1" ht="12.95" customHeight="1" thickTop="1" x14ac:dyDescent="0.25">
      <c r="A7" s="80">
        <v>1</v>
      </c>
      <c r="B7" s="80"/>
      <c r="C7" s="130" t="s">
        <v>2209</v>
      </c>
      <c r="D7" s="82" t="s">
        <v>2210</v>
      </c>
      <c r="E7" s="146">
        <v>138</v>
      </c>
      <c r="F7" s="83" t="s">
        <v>2090</v>
      </c>
      <c r="G7" s="147" t="s">
        <v>2211</v>
      </c>
      <c r="H7" s="471">
        <v>26</v>
      </c>
      <c r="I7" s="453">
        <v>5.27</v>
      </c>
      <c r="J7" s="459">
        <v>4.1500000000000004</v>
      </c>
      <c r="K7" s="457">
        <v>4.0834988950721911</v>
      </c>
      <c r="L7" s="87">
        <v>4.0827518283198421</v>
      </c>
      <c r="M7" s="89">
        <f>+VALUE(RIGHT(G7,4))</f>
        <v>16.8</v>
      </c>
      <c r="N7" s="133">
        <f t="shared" ref="N7:N16" si="0">MAX(I7:L7)/M7</f>
        <v>0.31369047619047613</v>
      </c>
      <c r="O7" s="280">
        <v>1</v>
      </c>
      <c r="P7" s="271">
        <f t="shared" ref="P7:P16" si="1">+MAX(I7:L7)/O7</f>
        <v>5.27</v>
      </c>
      <c r="Q7" s="271">
        <f t="shared" ref="Q7:Q30" si="2">((P7*1000)/(H7*SQRT(3)))</f>
        <v>117.02445840882031</v>
      </c>
      <c r="R7" s="396">
        <f t="shared" ref="R7:U11" si="3">IF($Q7&gt;260,I7,IF(OR(I7="-",I7&lt;($M7*1.06)),0,I7))</f>
        <v>0</v>
      </c>
      <c r="S7" s="396">
        <f t="shared" si="3"/>
        <v>0</v>
      </c>
      <c r="T7" s="396">
        <f t="shared" si="3"/>
        <v>0</v>
      </c>
      <c r="U7" s="396">
        <f t="shared" si="3"/>
        <v>0</v>
      </c>
      <c r="V7" s="241">
        <f t="shared" ref="V7:V30" si="4">+MAX(R7:U7)</f>
        <v>0</v>
      </c>
      <c r="W7" s="798" t="s">
        <v>2014</v>
      </c>
      <c r="X7" s="372" t="s">
        <v>2014</v>
      </c>
      <c r="Y7" s="364" t="s">
        <v>2014</v>
      </c>
      <c r="Z7" s="773" t="s">
        <v>2450</v>
      </c>
      <c r="AA7" s="774" t="s">
        <v>2462</v>
      </c>
      <c r="AB7" s="777"/>
      <c r="AC7" s="778">
        <v>4</v>
      </c>
      <c r="AD7" s="778"/>
      <c r="AE7" s="779"/>
      <c r="AF7" s="780">
        <f>184+335+304+363</f>
        <v>1186</v>
      </c>
      <c r="AG7" s="679" t="s">
        <v>2092</v>
      </c>
      <c r="AI7" s="750">
        <f>+IF(W7="y",1,0)</f>
        <v>1</v>
      </c>
      <c r="AJ7" s="80">
        <f>+IF(X7="y",1,0)</f>
        <v>1</v>
      </c>
      <c r="AK7" s="80">
        <f t="shared" ref="AK7:AK30" si="5">+IF(Y7="y",O7,0)</f>
        <v>1</v>
      </c>
    </row>
    <row r="8" spans="1:43" s="145" customFormat="1" ht="12.95" customHeight="1" x14ac:dyDescent="0.25">
      <c r="A8" s="80">
        <f>1+A7</f>
        <v>2</v>
      </c>
      <c r="B8" s="80"/>
      <c r="C8" s="134" t="s">
        <v>2209</v>
      </c>
      <c r="D8" s="93" t="s">
        <v>2210</v>
      </c>
      <c r="E8" s="150">
        <v>138</v>
      </c>
      <c r="F8" s="94" t="s">
        <v>2212</v>
      </c>
      <c r="G8" s="147" t="s">
        <v>2211</v>
      </c>
      <c r="H8" s="156">
        <v>26</v>
      </c>
      <c r="I8" s="96">
        <v>10.1</v>
      </c>
      <c r="J8" s="459">
        <v>9.73</v>
      </c>
      <c r="K8" s="457">
        <v>10.068554625992089</v>
      </c>
      <c r="L8" s="87">
        <v>9.9390398334594643</v>
      </c>
      <c r="M8" s="98">
        <f>+VALUE(RIGHT(G8,4))</f>
        <v>16.8</v>
      </c>
      <c r="N8" s="133">
        <f t="shared" si="0"/>
        <v>0.60119047619047616</v>
      </c>
      <c r="O8" s="280">
        <v>1</v>
      </c>
      <c r="P8" s="271">
        <f t="shared" si="1"/>
        <v>10.1</v>
      </c>
      <c r="Q8" s="271">
        <f t="shared" si="2"/>
        <v>224.2783738005854</v>
      </c>
      <c r="R8" s="396">
        <f t="shared" si="3"/>
        <v>0</v>
      </c>
      <c r="S8" s="396">
        <f t="shared" si="3"/>
        <v>0</v>
      </c>
      <c r="T8" s="396">
        <f t="shared" si="3"/>
        <v>0</v>
      </c>
      <c r="U8" s="396">
        <f t="shared" si="3"/>
        <v>0</v>
      </c>
      <c r="V8" s="241">
        <f t="shared" si="4"/>
        <v>0</v>
      </c>
      <c r="W8" s="799"/>
      <c r="X8" s="373" t="s">
        <v>2014</v>
      </c>
      <c r="Y8" s="364" t="s">
        <v>2014</v>
      </c>
      <c r="Z8" s="696"/>
      <c r="AA8" s="775"/>
      <c r="AB8" s="702"/>
      <c r="AC8" s="705"/>
      <c r="AD8" s="705"/>
      <c r="AE8" s="708"/>
      <c r="AF8" s="677"/>
      <c r="AG8" s="781"/>
      <c r="AI8" s="750"/>
      <c r="AJ8" s="80">
        <f t="shared" ref="AJ8:AJ33" si="6">+IF(X8="y",1,0)</f>
        <v>1</v>
      </c>
      <c r="AK8" s="80">
        <f t="shared" si="5"/>
        <v>1</v>
      </c>
    </row>
    <row r="9" spans="1:43" s="145" customFormat="1" ht="12.95" customHeight="1" x14ac:dyDescent="0.25">
      <c r="A9" s="80">
        <f>1+A8</f>
        <v>3</v>
      </c>
      <c r="B9" s="80"/>
      <c r="C9" s="134" t="s">
        <v>2209</v>
      </c>
      <c r="D9" s="93" t="s">
        <v>2210</v>
      </c>
      <c r="E9" s="150">
        <v>138</v>
      </c>
      <c r="F9" s="94" t="s">
        <v>2213</v>
      </c>
      <c r="G9" s="153" t="s">
        <v>2134</v>
      </c>
      <c r="H9" s="156">
        <v>26</v>
      </c>
      <c r="I9" s="102">
        <v>18.59</v>
      </c>
      <c r="J9" s="459">
        <v>15.51</v>
      </c>
      <c r="K9" s="457">
        <v>18.182726436859515</v>
      </c>
      <c r="L9" s="87">
        <v>19.961153682787607</v>
      </c>
      <c r="M9" s="98">
        <f>+VALUE(RIGHT(G9,4))</f>
        <v>41.7</v>
      </c>
      <c r="N9" s="133">
        <f t="shared" si="0"/>
        <v>0.47868474059442701</v>
      </c>
      <c r="O9" s="280">
        <v>3</v>
      </c>
      <c r="P9" s="271">
        <f t="shared" si="1"/>
        <v>6.6537178942625355</v>
      </c>
      <c r="Q9" s="271">
        <f t="shared" si="2"/>
        <v>147.75099297555019</v>
      </c>
      <c r="R9" s="396">
        <f t="shared" si="3"/>
        <v>0</v>
      </c>
      <c r="S9" s="396">
        <f t="shared" si="3"/>
        <v>0</v>
      </c>
      <c r="T9" s="396">
        <f t="shared" si="3"/>
        <v>0</v>
      </c>
      <c r="U9" s="396">
        <f t="shared" si="3"/>
        <v>0</v>
      </c>
      <c r="V9" s="241">
        <f t="shared" si="4"/>
        <v>0</v>
      </c>
      <c r="W9" s="800"/>
      <c r="X9" s="373" t="s">
        <v>2014</v>
      </c>
      <c r="Y9" s="364" t="s">
        <v>2014</v>
      </c>
      <c r="Z9" s="697"/>
      <c r="AA9" s="776"/>
      <c r="AB9" s="703"/>
      <c r="AC9" s="706"/>
      <c r="AD9" s="706"/>
      <c r="AE9" s="709"/>
      <c r="AF9" s="678"/>
      <c r="AG9" s="782"/>
      <c r="AI9" s="750"/>
      <c r="AJ9" s="80">
        <f t="shared" si="6"/>
        <v>1</v>
      </c>
      <c r="AK9" s="80">
        <f t="shared" si="5"/>
        <v>3</v>
      </c>
    </row>
    <row r="10" spans="1:43" s="145" customFormat="1" ht="12.95" customHeight="1" x14ac:dyDescent="0.25">
      <c r="A10" s="80">
        <f>1+A8</f>
        <v>3</v>
      </c>
      <c r="B10" s="80"/>
      <c r="C10" s="134" t="s">
        <v>2214</v>
      </c>
      <c r="D10" s="93" t="s">
        <v>2215</v>
      </c>
      <c r="E10" s="150">
        <v>69</v>
      </c>
      <c r="F10" s="94" t="s">
        <v>2097</v>
      </c>
      <c r="G10" s="153" t="s">
        <v>2216</v>
      </c>
      <c r="H10" s="156">
        <v>26.4</v>
      </c>
      <c r="I10" s="96">
        <v>7.9</v>
      </c>
      <c r="J10" s="459">
        <v>3.0051267441973062</v>
      </c>
      <c r="K10" s="457">
        <v>3.9662272252401425</v>
      </c>
      <c r="L10" s="87">
        <v>6.0063676986075878</v>
      </c>
      <c r="M10" s="98">
        <f>+VALUE(RIGHT(G10,4))</f>
        <v>20</v>
      </c>
      <c r="N10" s="133">
        <f t="shared" si="0"/>
        <v>0.39500000000000002</v>
      </c>
      <c r="O10" s="280">
        <v>2</v>
      </c>
      <c r="P10" s="271">
        <f t="shared" si="1"/>
        <v>3.95</v>
      </c>
      <c r="Q10" s="271">
        <f t="shared" si="2"/>
        <v>86.383847094659927</v>
      </c>
      <c r="R10" s="396">
        <f t="shared" si="3"/>
        <v>0</v>
      </c>
      <c r="S10" s="396">
        <f t="shared" si="3"/>
        <v>0</v>
      </c>
      <c r="T10" s="396">
        <f t="shared" si="3"/>
        <v>0</v>
      </c>
      <c r="U10" s="396">
        <f t="shared" si="3"/>
        <v>0</v>
      </c>
      <c r="V10" s="241">
        <f t="shared" si="4"/>
        <v>0</v>
      </c>
      <c r="W10" s="370" t="s">
        <v>2013</v>
      </c>
      <c r="X10" s="373" t="s">
        <v>2013</v>
      </c>
      <c r="Y10" s="364" t="s">
        <v>2013</v>
      </c>
      <c r="Z10" s="92" t="s">
        <v>2024</v>
      </c>
      <c r="AA10" s="220">
        <v>556</v>
      </c>
      <c r="AB10" s="221">
        <v>1</v>
      </c>
      <c r="AC10" s="220"/>
      <c r="AD10" s="220"/>
      <c r="AE10" s="222"/>
      <c r="AF10" s="223">
        <v>82</v>
      </c>
      <c r="AG10" s="264">
        <f>+(MAX(I10:L10)+MAX(I13:L13)+MAX(I14:L14)+MAX(I15:L15)+MAX(I16:L16))/MIN(60,AF10)</f>
        <v>0.29485049127663676</v>
      </c>
      <c r="AI10" s="80">
        <f>+IF(W10="y",1,0)</f>
        <v>0</v>
      </c>
      <c r="AJ10" s="80">
        <f t="shared" si="6"/>
        <v>0</v>
      </c>
      <c r="AK10" s="80">
        <f t="shared" si="5"/>
        <v>0</v>
      </c>
    </row>
    <row r="11" spans="1:43" s="145" customFormat="1" ht="12.95" customHeight="1" x14ac:dyDescent="0.25">
      <c r="A11" s="80">
        <f t="shared" ref="A11:A25" si="7">1+A10</f>
        <v>4</v>
      </c>
      <c r="B11" s="80"/>
      <c r="C11" s="134" t="s">
        <v>2217</v>
      </c>
      <c r="D11" s="93" t="s">
        <v>2218</v>
      </c>
      <c r="E11" s="150">
        <v>69</v>
      </c>
      <c r="F11" s="94" t="s">
        <v>2097</v>
      </c>
      <c r="G11" s="153" t="s">
        <v>2101</v>
      </c>
      <c r="H11" s="156">
        <v>13.2</v>
      </c>
      <c r="I11" s="101" t="s">
        <v>2092</v>
      </c>
      <c r="J11" s="459">
        <v>9.9182640064384113</v>
      </c>
      <c r="K11" s="457">
        <v>9.3779816785225112</v>
      </c>
      <c r="L11" s="87">
        <v>8.040793865371425</v>
      </c>
      <c r="M11" s="98">
        <f>+VALUE(RIGHT(G11,4))</f>
        <v>12.5</v>
      </c>
      <c r="N11" s="133">
        <f t="shared" si="0"/>
        <v>0.79346112051507289</v>
      </c>
      <c r="O11" s="280">
        <v>3</v>
      </c>
      <c r="P11" s="271">
        <f t="shared" si="1"/>
        <v>3.306088002146137</v>
      </c>
      <c r="Q11" s="271">
        <f t="shared" si="2"/>
        <v>144.60384833361096</v>
      </c>
      <c r="R11" s="396">
        <f t="shared" si="3"/>
        <v>0</v>
      </c>
      <c r="S11" s="396">
        <f t="shared" si="3"/>
        <v>0</v>
      </c>
      <c r="T11" s="396">
        <f t="shared" si="3"/>
        <v>0</v>
      </c>
      <c r="U11" s="396">
        <f t="shared" si="3"/>
        <v>0</v>
      </c>
      <c r="V11" s="241">
        <f t="shared" si="4"/>
        <v>0</v>
      </c>
      <c r="W11" s="92" t="s">
        <v>2013</v>
      </c>
      <c r="X11" s="94" t="s">
        <v>2013</v>
      </c>
      <c r="Y11" s="152" t="s">
        <v>2013</v>
      </c>
      <c r="Z11" s="92" t="s">
        <v>2024</v>
      </c>
      <c r="AA11" s="220">
        <v>336</v>
      </c>
      <c r="AB11" s="221">
        <v>1</v>
      </c>
      <c r="AC11" s="220"/>
      <c r="AD11" s="220"/>
      <c r="AE11" s="222"/>
      <c r="AF11" s="223">
        <v>60</v>
      </c>
      <c r="AG11" s="224">
        <f>+MAX(I11:L11)/MIN(60,AF11)</f>
        <v>0.16530440010730685</v>
      </c>
      <c r="AI11" s="80">
        <f>+IF(W11="y",1,0)</f>
        <v>0</v>
      </c>
      <c r="AJ11" s="80">
        <f t="shared" si="6"/>
        <v>0</v>
      </c>
      <c r="AK11" s="80">
        <f t="shared" si="5"/>
        <v>0</v>
      </c>
    </row>
    <row r="12" spans="1:43" s="145" customFormat="1" ht="12.95" customHeight="1" x14ac:dyDescent="0.25">
      <c r="A12" s="80">
        <f t="shared" si="7"/>
        <v>5</v>
      </c>
      <c r="B12" s="80"/>
      <c r="C12" s="134" t="s">
        <v>2219</v>
      </c>
      <c r="D12" s="93" t="s">
        <v>2220</v>
      </c>
      <c r="E12" s="150">
        <v>69</v>
      </c>
      <c r="F12" s="94" t="s">
        <v>2090</v>
      </c>
      <c r="G12" s="153" t="s">
        <v>2221</v>
      </c>
      <c r="H12" s="472">
        <v>12.47</v>
      </c>
      <c r="I12" s="486">
        <v>8.31</v>
      </c>
      <c r="J12" s="459">
        <v>5.6078024619077373</v>
      </c>
      <c r="K12" s="457">
        <v>5.5662354094956061</v>
      </c>
      <c r="L12" s="87">
        <v>5.2179396130977942</v>
      </c>
      <c r="M12" s="98">
        <f>+VALUE(RIGHT(G12,3))</f>
        <v>5.6</v>
      </c>
      <c r="N12" s="133">
        <f>MAX(J12:L12)/M12</f>
        <v>1.0013932967692389</v>
      </c>
      <c r="O12" s="280">
        <v>2</v>
      </c>
      <c r="P12" s="271">
        <f t="shared" si="1"/>
        <v>4.1550000000000002</v>
      </c>
      <c r="Q12" s="271">
        <f t="shared" si="2"/>
        <v>192.37292449742543</v>
      </c>
      <c r="R12" s="200">
        <v>0</v>
      </c>
      <c r="S12" s="104">
        <v>0</v>
      </c>
      <c r="T12" s="396">
        <f t="shared" ref="T12:T30" si="8">IF($Q12&gt;260,K12,IF(OR(K12="-",K12&lt;($M12*1.06)),0,K12))</f>
        <v>0</v>
      </c>
      <c r="U12" s="396">
        <f t="shared" ref="U12:U30" si="9">IF($Q12&gt;260,L12,IF(OR(L12="-",L12&lt;($M12*1.06)),0,L12))</f>
        <v>0</v>
      </c>
      <c r="V12" s="241">
        <f>+MAX(S12:U12)</f>
        <v>0</v>
      </c>
      <c r="W12" s="370" t="s">
        <v>2013</v>
      </c>
      <c r="X12" s="373" t="s">
        <v>2013</v>
      </c>
      <c r="Y12" s="364" t="s">
        <v>2013</v>
      </c>
      <c r="Z12" s="92" t="s">
        <v>2024</v>
      </c>
      <c r="AA12" s="220" t="s">
        <v>2451</v>
      </c>
      <c r="AB12" s="221">
        <v>1</v>
      </c>
      <c r="AC12" s="220"/>
      <c r="AD12" s="220"/>
      <c r="AE12" s="222"/>
      <c r="AF12" s="223">
        <v>45</v>
      </c>
      <c r="AG12" s="224">
        <f>+MAX(I12:L12)/MIN(60,AF12)</f>
        <v>0.18466666666666667</v>
      </c>
      <c r="AI12" s="80">
        <f>+IF(W12="y",1,0)</f>
        <v>0</v>
      </c>
      <c r="AJ12" s="80">
        <f t="shared" si="6"/>
        <v>0</v>
      </c>
      <c r="AK12" s="80">
        <f t="shared" si="5"/>
        <v>0</v>
      </c>
      <c r="AL12" s="199" t="s">
        <v>4722</v>
      </c>
      <c r="AM12" s="199"/>
      <c r="AN12" s="199"/>
      <c r="AO12" s="199"/>
      <c r="AP12" s="199"/>
      <c r="AQ12" s="199"/>
    </row>
    <row r="13" spans="1:43" s="145" customFormat="1" ht="12.95" customHeight="1" x14ac:dyDescent="0.25">
      <c r="A13" s="80">
        <f t="shared" si="7"/>
        <v>6</v>
      </c>
      <c r="B13" s="80"/>
      <c r="C13" s="134" t="s">
        <v>2222</v>
      </c>
      <c r="D13" s="93" t="s">
        <v>2223</v>
      </c>
      <c r="E13" s="150">
        <v>69</v>
      </c>
      <c r="F13" s="94" t="s">
        <v>2107</v>
      </c>
      <c r="G13" s="153">
        <v>2</v>
      </c>
      <c r="H13" s="472">
        <v>12.47</v>
      </c>
      <c r="I13" s="102">
        <v>1.22</v>
      </c>
      <c r="J13" s="459">
        <v>1.2152846333333334</v>
      </c>
      <c r="K13" s="457">
        <v>1.2890238482030465</v>
      </c>
      <c r="L13" s="87">
        <v>1.1679048302848087</v>
      </c>
      <c r="M13" s="98">
        <f>+VALUE(RIGHT(G13,3))</f>
        <v>2</v>
      </c>
      <c r="N13" s="133">
        <f t="shared" si="0"/>
        <v>0.64451192410152325</v>
      </c>
      <c r="O13" s="280">
        <v>1</v>
      </c>
      <c r="P13" s="271">
        <f t="shared" si="1"/>
        <v>1.2890238482030465</v>
      </c>
      <c r="Q13" s="271">
        <f t="shared" si="2"/>
        <v>59.68069492797725</v>
      </c>
      <c r="R13" s="396">
        <f t="shared" ref="R13:R22" si="10">IF($Q13&gt;260,I13,IF(OR(I13="-",I13&lt;($M13*1.06)),0,I13))</f>
        <v>0</v>
      </c>
      <c r="S13" s="396">
        <f>IF($Q13&gt;260,J13,IF(OR(J13="-",J13&lt;($M13*1.06)),0,J13))</f>
        <v>0</v>
      </c>
      <c r="T13" s="396">
        <f t="shared" si="8"/>
        <v>0</v>
      </c>
      <c r="U13" s="396">
        <f t="shared" si="9"/>
        <v>0</v>
      </c>
      <c r="V13" s="241">
        <f t="shared" si="4"/>
        <v>0</v>
      </c>
      <c r="W13" s="801" t="s">
        <v>2013</v>
      </c>
      <c r="X13" s="373" t="s">
        <v>2013</v>
      </c>
      <c r="Y13" s="364" t="s">
        <v>2013</v>
      </c>
      <c r="Z13" s="695" t="s">
        <v>2024</v>
      </c>
      <c r="AA13" s="770">
        <v>556</v>
      </c>
      <c r="AB13" s="788">
        <v>1</v>
      </c>
      <c r="AC13" s="791"/>
      <c r="AD13" s="791"/>
      <c r="AE13" s="770"/>
      <c r="AF13" s="676">
        <v>82</v>
      </c>
      <c r="AG13" s="785">
        <f>+(MAX(I13:L13)+MAX(I14:L14)+MAX(I15:L15)+MAX(I16:L16))/MIN(60,AF13)</f>
        <v>0.16318382460997011</v>
      </c>
      <c r="AI13" s="750">
        <f>+IF(W13="y",1,0)</f>
        <v>0</v>
      </c>
      <c r="AJ13" s="80">
        <f t="shared" si="6"/>
        <v>0</v>
      </c>
      <c r="AK13" s="80">
        <f t="shared" si="5"/>
        <v>0</v>
      </c>
    </row>
    <row r="14" spans="1:43" s="145" customFormat="1" ht="12.95" customHeight="1" x14ac:dyDescent="0.25">
      <c r="A14" s="80">
        <f t="shared" si="7"/>
        <v>7</v>
      </c>
      <c r="B14" s="80"/>
      <c r="C14" s="134" t="s">
        <v>2222</v>
      </c>
      <c r="D14" s="93" t="s">
        <v>2223</v>
      </c>
      <c r="E14" s="150">
        <v>69</v>
      </c>
      <c r="F14" s="94" t="s">
        <v>2190</v>
      </c>
      <c r="G14" s="153" t="s">
        <v>2221</v>
      </c>
      <c r="H14" s="472">
        <v>12.47</v>
      </c>
      <c r="I14" s="96">
        <v>4.25</v>
      </c>
      <c r="J14" s="459">
        <v>4.2499007000000004</v>
      </c>
      <c r="K14" s="457">
        <v>4.4620056283951604</v>
      </c>
      <c r="L14" s="87">
        <v>4.0876669059968309</v>
      </c>
      <c r="M14" s="98">
        <f>+VALUE(RIGHT(G14,3))</f>
        <v>5.6</v>
      </c>
      <c r="N14" s="133">
        <f t="shared" si="0"/>
        <v>0.79678671935627865</v>
      </c>
      <c r="O14" s="280">
        <v>1</v>
      </c>
      <c r="P14" s="271">
        <f t="shared" si="1"/>
        <v>4.4620056283951604</v>
      </c>
      <c r="Q14" s="271">
        <f t="shared" si="2"/>
        <v>206.58702090453662</v>
      </c>
      <c r="R14" s="396">
        <f t="shared" si="10"/>
        <v>0</v>
      </c>
      <c r="S14" s="396">
        <f>IF($Q14&gt;260,J14,IF(OR(J14="-",J14&lt;($M14*1.06)),0,J14))</f>
        <v>0</v>
      </c>
      <c r="T14" s="396">
        <f t="shared" si="8"/>
        <v>0</v>
      </c>
      <c r="U14" s="396">
        <f t="shared" si="9"/>
        <v>0</v>
      </c>
      <c r="V14" s="241">
        <f t="shared" si="4"/>
        <v>0</v>
      </c>
      <c r="W14" s="799"/>
      <c r="X14" s="373" t="s">
        <v>2013</v>
      </c>
      <c r="Y14" s="364" t="s">
        <v>2013</v>
      </c>
      <c r="Z14" s="696"/>
      <c r="AA14" s="783"/>
      <c r="AB14" s="789"/>
      <c r="AC14" s="792"/>
      <c r="AD14" s="792"/>
      <c r="AE14" s="783"/>
      <c r="AF14" s="677"/>
      <c r="AG14" s="786"/>
      <c r="AI14" s="750"/>
      <c r="AJ14" s="80">
        <f t="shared" si="6"/>
        <v>0</v>
      </c>
      <c r="AK14" s="80">
        <f t="shared" si="5"/>
        <v>0</v>
      </c>
    </row>
    <row r="15" spans="1:43" s="145" customFormat="1" ht="12.95" customHeight="1" x14ac:dyDescent="0.25">
      <c r="A15" s="80"/>
      <c r="B15" s="80"/>
      <c r="C15" s="134" t="s">
        <v>2222</v>
      </c>
      <c r="D15" s="93" t="s">
        <v>2223</v>
      </c>
      <c r="E15" s="150">
        <v>69</v>
      </c>
      <c r="F15" s="94" t="s">
        <v>2090</v>
      </c>
      <c r="G15" s="153" t="s">
        <v>2184</v>
      </c>
      <c r="H15" s="472">
        <v>4.16</v>
      </c>
      <c r="I15" s="101">
        <v>1.85</v>
      </c>
      <c r="J15" s="459">
        <v>1.8471786666666667</v>
      </c>
      <c r="K15" s="457">
        <v>1.77</v>
      </c>
      <c r="L15" s="87">
        <v>1.71</v>
      </c>
      <c r="M15" s="98">
        <f>+VALUE(RIGHT(G15,4))</f>
        <v>4.4800000000000004</v>
      </c>
      <c r="N15" s="133">
        <f t="shared" si="0"/>
        <v>0.41294642857142855</v>
      </c>
      <c r="O15" s="280">
        <v>1</v>
      </c>
      <c r="P15" s="271">
        <f t="shared" si="1"/>
        <v>1.85</v>
      </c>
      <c r="Q15" s="271">
        <f t="shared" si="2"/>
        <v>256.75432644250185</v>
      </c>
      <c r="R15" s="396">
        <f t="shared" si="10"/>
        <v>0</v>
      </c>
      <c r="S15" s="396">
        <f>IF($Q15&gt;260,J15,IF(OR(J15="-",J15&lt;($M15*1.06)),0,J15))</f>
        <v>0</v>
      </c>
      <c r="T15" s="396">
        <f t="shared" si="8"/>
        <v>0</v>
      </c>
      <c r="U15" s="396">
        <f t="shared" si="9"/>
        <v>0</v>
      </c>
      <c r="V15" s="241">
        <f t="shared" si="4"/>
        <v>0</v>
      </c>
      <c r="W15" s="799"/>
      <c r="X15" s="373" t="s">
        <v>2013</v>
      </c>
      <c r="Y15" s="364" t="s">
        <v>2013</v>
      </c>
      <c r="Z15" s="696"/>
      <c r="AA15" s="783"/>
      <c r="AB15" s="789"/>
      <c r="AC15" s="792"/>
      <c r="AD15" s="792"/>
      <c r="AE15" s="783"/>
      <c r="AF15" s="677"/>
      <c r="AG15" s="786"/>
      <c r="AI15" s="750"/>
      <c r="AJ15" s="80">
        <f t="shared" si="6"/>
        <v>0</v>
      </c>
      <c r="AK15" s="80">
        <f t="shared" si="5"/>
        <v>0</v>
      </c>
    </row>
    <row r="16" spans="1:43" s="145" customFormat="1" ht="12.95" customHeight="1" x14ac:dyDescent="0.25">
      <c r="A16" s="80"/>
      <c r="B16" s="80"/>
      <c r="C16" s="134" t="s">
        <v>2222</v>
      </c>
      <c r="D16" s="93" t="s">
        <v>2223</v>
      </c>
      <c r="E16" s="150">
        <v>69</v>
      </c>
      <c r="F16" s="94" t="s">
        <v>2224</v>
      </c>
      <c r="G16" s="153" t="s">
        <v>2225</v>
      </c>
      <c r="H16" s="472">
        <v>4.16</v>
      </c>
      <c r="I16" s="96">
        <v>1.96</v>
      </c>
      <c r="J16" s="459">
        <v>1.962327466666667</v>
      </c>
      <c r="K16" s="457">
        <v>1.95</v>
      </c>
      <c r="L16" s="87">
        <v>2.19</v>
      </c>
      <c r="M16" s="98">
        <f>+VALUE(RIGHT(G16,4))</f>
        <v>3.75</v>
      </c>
      <c r="N16" s="133">
        <f t="shared" si="0"/>
        <v>0.58399999999999996</v>
      </c>
      <c r="O16" s="280">
        <v>5</v>
      </c>
      <c r="P16" s="271">
        <f t="shared" si="1"/>
        <v>0.438</v>
      </c>
      <c r="Q16" s="271">
        <f t="shared" si="2"/>
        <v>60.788321611792327</v>
      </c>
      <c r="R16" s="396">
        <f t="shared" si="10"/>
        <v>0</v>
      </c>
      <c r="S16" s="396">
        <f>IF($Q16&gt;260,J16,IF(OR(J16="-",J16&lt;($M16*1.06)),0,J16))</f>
        <v>0</v>
      </c>
      <c r="T16" s="396">
        <f t="shared" si="8"/>
        <v>0</v>
      </c>
      <c r="U16" s="396">
        <f t="shared" si="9"/>
        <v>0</v>
      </c>
      <c r="V16" s="241">
        <f t="shared" si="4"/>
        <v>0</v>
      </c>
      <c r="W16" s="800"/>
      <c r="X16" s="373" t="s">
        <v>2013</v>
      </c>
      <c r="Y16" s="364" t="s">
        <v>2013</v>
      </c>
      <c r="Z16" s="697"/>
      <c r="AA16" s="784"/>
      <c r="AB16" s="790"/>
      <c r="AC16" s="793"/>
      <c r="AD16" s="793"/>
      <c r="AE16" s="784"/>
      <c r="AF16" s="678"/>
      <c r="AG16" s="787"/>
      <c r="AI16" s="750"/>
      <c r="AJ16" s="80">
        <f t="shared" si="6"/>
        <v>0</v>
      </c>
      <c r="AK16" s="80">
        <f t="shared" si="5"/>
        <v>0</v>
      </c>
    </row>
    <row r="17" spans="1:44" s="145" customFormat="1" ht="12.95" customHeight="1" x14ac:dyDescent="0.25">
      <c r="A17" s="80" t="e">
        <f>1+#REF!</f>
        <v>#REF!</v>
      </c>
      <c r="B17" s="80"/>
      <c r="C17" s="134" t="s">
        <v>2226</v>
      </c>
      <c r="D17" s="93" t="s">
        <v>2227</v>
      </c>
      <c r="E17" s="150">
        <v>69</v>
      </c>
      <c r="F17" s="94" t="s">
        <v>2090</v>
      </c>
      <c r="G17" s="153" t="s">
        <v>2228</v>
      </c>
      <c r="H17" s="156">
        <v>4</v>
      </c>
      <c r="I17" s="474">
        <v>10.46</v>
      </c>
      <c r="J17" s="459">
        <v>2.5794300000000021</v>
      </c>
      <c r="K17" s="457">
        <v>2.7175502381136205</v>
      </c>
      <c r="L17" s="87">
        <v>2.4572509821161144</v>
      </c>
      <c r="M17" s="98">
        <f>+VALUE(RIGHT(G17,4))</f>
        <v>10</v>
      </c>
      <c r="N17" s="133">
        <f>MAX(K17:L17)/M17</f>
        <v>0.27175502381136207</v>
      </c>
      <c r="O17" s="280">
        <v>2</v>
      </c>
      <c r="P17" s="271">
        <f>+MAX(K17:L17)/O17</f>
        <v>1.3587751190568103</v>
      </c>
      <c r="Q17" s="271">
        <f t="shared" si="2"/>
        <v>196.12229518890382</v>
      </c>
      <c r="R17" s="200">
        <f t="shared" si="10"/>
        <v>0</v>
      </c>
      <c r="S17" s="467">
        <f>IF($Q17&gt;260,J17,IF(OR(J17="-",J17&lt;($M17*1.06)),0,J17))</f>
        <v>0</v>
      </c>
      <c r="T17" s="104">
        <f t="shared" si="8"/>
        <v>0</v>
      </c>
      <c r="U17" s="104">
        <f t="shared" si="9"/>
        <v>0</v>
      </c>
      <c r="V17" s="487">
        <f t="shared" si="4"/>
        <v>0</v>
      </c>
      <c r="W17" s="801" t="s">
        <v>2014</v>
      </c>
      <c r="X17" s="373" t="s">
        <v>2014</v>
      </c>
      <c r="Y17" s="364" t="s">
        <v>2013</v>
      </c>
      <c r="Z17" s="696" t="s">
        <v>2024</v>
      </c>
      <c r="AA17" s="708">
        <v>336</v>
      </c>
      <c r="AB17" s="702">
        <v>1</v>
      </c>
      <c r="AC17" s="705"/>
      <c r="AD17" s="705"/>
      <c r="AE17" s="708"/>
      <c r="AF17" s="677">
        <v>60</v>
      </c>
      <c r="AG17" s="804">
        <f>+(MAX(K17:L17)+MAX(K18:L18)+MAX(K19:L19))/MIN(60,AF17)</f>
        <v>0.55175721680466094</v>
      </c>
      <c r="AI17" s="750">
        <f>+IF(W17="y",1,0)</f>
        <v>1</v>
      </c>
      <c r="AJ17" s="80">
        <f t="shared" si="6"/>
        <v>1</v>
      </c>
      <c r="AK17" s="80">
        <f t="shared" si="5"/>
        <v>0</v>
      </c>
      <c r="AL17" s="199" t="s">
        <v>2431</v>
      </c>
      <c r="AM17" s="199"/>
      <c r="AN17" s="199"/>
      <c r="AO17" s="199"/>
      <c r="AP17" s="199"/>
      <c r="AQ17" s="199"/>
    </row>
    <row r="18" spans="1:44" s="145" customFormat="1" ht="12.95" customHeight="1" x14ac:dyDescent="0.25">
      <c r="A18" s="80" t="e">
        <f t="shared" si="7"/>
        <v>#REF!</v>
      </c>
      <c r="B18" s="80"/>
      <c r="C18" s="134" t="s">
        <v>2226</v>
      </c>
      <c r="D18" s="93" t="s">
        <v>2227</v>
      </c>
      <c r="E18" s="150">
        <v>69</v>
      </c>
      <c r="F18" s="94" t="s">
        <v>2093</v>
      </c>
      <c r="G18" s="153" t="s">
        <v>2187</v>
      </c>
      <c r="H18" s="156">
        <v>26.4</v>
      </c>
      <c r="I18" s="96">
        <v>25.56</v>
      </c>
      <c r="J18" s="459">
        <v>26.498756000000004</v>
      </c>
      <c r="K18" s="457">
        <v>18.321593432107729</v>
      </c>
      <c r="L18" s="87">
        <v>23.659365912626122</v>
      </c>
      <c r="M18" s="98">
        <f>+VALUE(RIGHT(G18,4))</f>
        <v>25</v>
      </c>
      <c r="N18" s="133">
        <f>MAX(I18:L18)/M18</f>
        <v>1.05995024</v>
      </c>
      <c r="O18" s="280">
        <v>2</v>
      </c>
      <c r="P18" s="271">
        <f>+MAX(I18:L18)/O18</f>
        <v>13.249378000000002</v>
      </c>
      <c r="Q18" s="271">
        <f t="shared" si="2"/>
        <v>289.75499829148134</v>
      </c>
      <c r="R18" s="396">
        <f t="shared" si="10"/>
        <v>25.56</v>
      </c>
      <c r="S18" s="396">
        <f t="shared" ref="S18:S30" si="11">IF($Q18&gt;260,J18,IF(OR(J18="-",J18&lt;($M18*1.06)),0,J18))</f>
        <v>26.498756000000004</v>
      </c>
      <c r="T18" s="396">
        <f t="shared" si="8"/>
        <v>18.321593432107729</v>
      </c>
      <c r="U18" s="396">
        <f t="shared" si="9"/>
        <v>23.659365912626122</v>
      </c>
      <c r="V18" s="241">
        <f t="shared" si="4"/>
        <v>26.498756000000004</v>
      </c>
      <c r="W18" s="799"/>
      <c r="X18" s="373" t="s">
        <v>2014</v>
      </c>
      <c r="Y18" s="364" t="s">
        <v>2013</v>
      </c>
      <c r="Z18" s="696"/>
      <c r="AA18" s="708"/>
      <c r="AB18" s="702"/>
      <c r="AC18" s="705"/>
      <c r="AD18" s="705"/>
      <c r="AE18" s="708"/>
      <c r="AF18" s="677"/>
      <c r="AG18" s="804"/>
      <c r="AI18" s="750"/>
      <c r="AJ18" s="80">
        <f t="shared" si="6"/>
        <v>1</v>
      </c>
      <c r="AK18" s="80">
        <f t="shared" si="5"/>
        <v>0</v>
      </c>
    </row>
    <row r="19" spans="1:44" s="145" customFormat="1" ht="12.95" customHeight="1" x14ac:dyDescent="0.25">
      <c r="A19" s="80" t="e">
        <f t="shared" si="7"/>
        <v>#REF!</v>
      </c>
      <c r="B19" s="80"/>
      <c r="C19" s="134" t="s">
        <v>2229</v>
      </c>
      <c r="D19" s="93" t="s">
        <v>2227</v>
      </c>
      <c r="E19" s="150">
        <v>69</v>
      </c>
      <c r="F19" s="94" t="s">
        <v>2107</v>
      </c>
      <c r="G19" s="153" t="s">
        <v>2230</v>
      </c>
      <c r="H19" s="156">
        <v>26.4</v>
      </c>
      <c r="I19" s="96">
        <v>17.78</v>
      </c>
      <c r="J19" s="459">
        <v>9.9508310411796401</v>
      </c>
      <c r="K19" s="457">
        <v>6.7285168575399092</v>
      </c>
      <c r="L19" s="87">
        <v>0</v>
      </c>
      <c r="M19" s="98">
        <v>18</v>
      </c>
      <c r="N19" s="133">
        <f>MAX(I19:L19)/M19</f>
        <v>0.98777777777777787</v>
      </c>
      <c r="O19" s="280">
        <v>2</v>
      </c>
      <c r="P19" s="271">
        <f>+MAX(I19:L19)/O19</f>
        <v>8.89</v>
      </c>
      <c r="Q19" s="271">
        <f t="shared" si="2"/>
        <v>194.41832928393083</v>
      </c>
      <c r="R19" s="396">
        <f t="shared" si="10"/>
        <v>0</v>
      </c>
      <c r="S19" s="396">
        <f t="shared" si="11"/>
        <v>0</v>
      </c>
      <c r="T19" s="396">
        <f t="shared" si="8"/>
        <v>0</v>
      </c>
      <c r="U19" s="396">
        <f t="shared" si="9"/>
        <v>0</v>
      </c>
      <c r="V19" s="241">
        <f t="shared" si="4"/>
        <v>0</v>
      </c>
      <c r="W19" s="800"/>
      <c r="X19" s="373" t="s">
        <v>2014</v>
      </c>
      <c r="Y19" s="364" t="s">
        <v>2013</v>
      </c>
      <c r="Z19" s="697"/>
      <c r="AA19" s="709"/>
      <c r="AB19" s="703"/>
      <c r="AC19" s="706"/>
      <c r="AD19" s="706"/>
      <c r="AE19" s="709"/>
      <c r="AF19" s="678"/>
      <c r="AG19" s="805"/>
      <c r="AI19" s="750"/>
      <c r="AJ19" s="80">
        <f t="shared" si="6"/>
        <v>1</v>
      </c>
      <c r="AK19" s="80">
        <f t="shared" si="5"/>
        <v>0</v>
      </c>
    </row>
    <row r="20" spans="1:44" s="145" customFormat="1" ht="12.95" customHeight="1" x14ac:dyDescent="0.25">
      <c r="A20" s="80" t="e">
        <f>1+#REF!</f>
        <v>#REF!</v>
      </c>
      <c r="B20" s="80"/>
      <c r="C20" s="134" t="s">
        <v>2231</v>
      </c>
      <c r="D20" s="93" t="s">
        <v>2232</v>
      </c>
      <c r="E20" s="150">
        <v>69</v>
      </c>
      <c r="F20" s="94" t="s">
        <v>2090</v>
      </c>
      <c r="G20" s="153" t="s">
        <v>2233</v>
      </c>
      <c r="H20" s="472">
        <v>12.48</v>
      </c>
      <c r="I20" s="101">
        <v>9.0299999999999994</v>
      </c>
      <c r="J20" s="459">
        <v>9</v>
      </c>
      <c r="K20" s="457">
        <v>8.7867768416354792</v>
      </c>
      <c r="L20" s="87">
        <v>11.18416683262452</v>
      </c>
      <c r="M20" s="98">
        <f>+VALUE(RIGHT(G20,4))</f>
        <v>11.2</v>
      </c>
      <c r="N20" s="133">
        <f>MAX(I20:L20)/M20</f>
        <v>0.9985863243414751</v>
      </c>
      <c r="O20" s="280">
        <v>2</v>
      </c>
      <c r="P20" s="271">
        <f>+MAX(I20:L20)/O20</f>
        <v>5.5920834163122599</v>
      </c>
      <c r="Q20" s="271">
        <f t="shared" si="2"/>
        <v>258.70119116496198</v>
      </c>
      <c r="R20" s="396">
        <f t="shared" si="10"/>
        <v>0</v>
      </c>
      <c r="S20" s="396">
        <f t="shared" si="11"/>
        <v>0</v>
      </c>
      <c r="T20" s="396">
        <f t="shared" si="8"/>
        <v>0</v>
      </c>
      <c r="U20" s="396">
        <f t="shared" si="9"/>
        <v>0</v>
      </c>
      <c r="V20" s="241">
        <f t="shared" si="4"/>
        <v>0</v>
      </c>
      <c r="W20" s="349" t="s">
        <v>2013</v>
      </c>
      <c r="X20" s="354" t="s">
        <v>2013</v>
      </c>
      <c r="Y20" s="368" t="s">
        <v>2013</v>
      </c>
      <c r="Z20" s="92" t="s">
        <v>2024</v>
      </c>
      <c r="AA20" s="225">
        <v>336</v>
      </c>
      <c r="AB20" s="223">
        <v>1</v>
      </c>
      <c r="AC20" s="225"/>
      <c r="AD20" s="225"/>
      <c r="AE20" s="226"/>
      <c r="AF20" s="223">
        <v>60</v>
      </c>
      <c r="AG20" s="224">
        <f>+MAX(I20:L20)/MIN(60,AF20)</f>
        <v>0.18640278054374199</v>
      </c>
      <c r="AI20" s="80">
        <f t="shared" ref="AI20:AI26" si="12">+IF(W20="y",1,0)</f>
        <v>0</v>
      </c>
      <c r="AJ20" s="80">
        <f t="shared" si="6"/>
        <v>0</v>
      </c>
      <c r="AK20" s="80">
        <f t="shared" si="5"/>
        <v>0</v>
      </c>
    </row>
    <row r="21" spans="1:44" s="145" customFormat="1" ht="12" x14ac:dyDescent="0.25">
      <c r="A21" s="80" t="e">
        <f t="shared" si="7"/>
        <v>#REF!</v>
      </c>
      <c r="B21" s="80"/>
      <c r="C21" s="134" t="s">
        <v>2234</v>
      </c>
      <c r="D21" s="93" t="s">
        <v>2235</v>
      </c>
      <c r="E21" s="150">
        <v>69</v>
      </c>
      <c r="F21" s="94" t="s">
        <v>2090</v>
      </c>
      <c r="G21" s="153">
        <v>5</v>
      </c>
      <c r="H21" s="472">
        <v>4.16</v>
      </c>
      <c r="I21" s="96">
        <v>2.97</v>
      </c>
      <c r="J21" s="459">
        <v>1.0760554511105767</v>
      </c>
      <c r="K21" s="457">
        <v>4.2416718847246333</v>
      </c>
      <c r="L21" s="87">
        <v>2.7</v>
      </c>
      <c r="M21" s="98">
        <f>+VALUE(RIGHT(G21,1))</f>
        <v>5</v>
      </c>
      <c r="N21" s="133">
        <f>MAX(J21:L21)/M21</f>
        <v>0.84833437694492664</v>
      </c>
      <c r="O21" s="280">
        <v>4</v>
      </c>
      <c r="P21" s="271">
        <f>+MAX(K21:L21)/O21</f>
        <v>1.0604179711811583</v>
      </c>
      <c r="Q21" s="271">
        <f t="shared" si="2"/>
        <v>147.17129834494196</v>
      </c>
      <c r="R21" s="467">
        <f t="shared" si="10"/>
        <v>0</v>
      </c>
      <c r="S21" s="104">
        <f t="shared" si="11"/>
        <v>0</v>
      </c>
      <c r="T21" s="104">
        <f t="shared" si="8"/>
        <v>0</v>
      </c>
      <c r="U21" s="104">
        <f t="shared" si="9"/>
        <v>0</v>
      </c>
      <c r="V21" s="487">
        <f t="shared" si="4"/>
        <v>0</v>
      </c>
      <c r="W21" s="349" t="s">
        <v>2013</v>
      </c>
      <c r="X21" s="354" t="s">
        <v>2013</v>
      </c>
      <c r="Y21" s="368" t="s">
        <v>2013</v>
      </c>
      <c r="Z21" s="92" t="s">
        <v>2024</v>
      </c>
      <c r="AA21" s="220" t="s">
        <v>2453</v>
      </c>
      <c r="AB21" s="223">
        <v>1</v>
      </c>
      <c r="AC21" s="225"/>
      <c r="AD21" s="225"/>
      <c r="AE21" s="226"/>
      <c r="AF21" s="223">
        <v>34</v>
      </c>
      <c r="AG21" s="264">
        <f>+(MAX(J21:L21)+MAX(J22:L22))/MIN(60,AF21)</f>
        <v>0.24828446719778335</v>
      </c>
      <c r="AI21" s="80">
        <f t="shared" si="12"/>
        <v>0</v>
      </c>
      <c r="AJ21" s="80">
        <f t="shared" si="6"/>
        <v>0</v>
      </c>
      <c r="AK21" s="80">
        <f t="shared" si="5"/>
        <v>0</v>
      </c>
      <c r="AL21" s="294"/>
      <c r="AM21" s="294"/>
      <c r="AN21" s="294"/>
      <c r="AO21" s="294"/>
      <c r="AP21" s="294"/>
      <c r="AQ21" s="294"/>
    </row>
    <row r="22" spans="1:44" s="145" customFormat="1" ht="12.95" customHeight="1" x14ac:dyDescent="0.25">
      <c r="A22" s="80" t="e">
        <f t="shared" si="7"/>
        <v>#REF!</v>
      </c>
      <c r="B22" s="80"/>
      <c r="C22" s="134" t="s">
        <v>2236</v>
      </c>
      <c r="D22" s="93" t="s">
        <v>2237</v>
      </c>
      <c r="E22" s="150">
        <v>69</v>
      </c>
      <c r="F22" s="94" t="s">
        <v>2090</v>
      </c>
      <c r="G22" s="153">
        <v>5</v>
      </c>
      <c r="H22" s="472">
        <v>3.98</v>
      </c>
      <c r="I22" s="96">
        <v>1.68</v>
      </c>
      <c r="J22" s="459">
        <v>0.866829808333209</v>
      </c>
      <c r="K22" s="457">
        <v>3.6761156334280156</v>
      </c>
      <c r="L22" s="87">
        <v>4.2</v>
      </c>
      <c r="M22" s="98">
        <f>+VALUE(RIGHT(G22,1))</f>
        <v>5</v>
      </c>
      <c r="N22" s="133">
        <f>MAX(J22:L22)/M22</f>
        <v>0.84000000000000008</v>
      </c>
      <c r="O22" s="280">
        <v>3</v>
      </c>
      <c r="P22" s="271">
        <f>+MAX(K22:L22)/O22</f>
        <v>1.4000000000000001</v>
      </c>
      <c r="Q22" s="271">
        <f t="shared" si="2"/>
        <v>203.08803438831063</v>
      </c>
      <c r="R22" s="467">
        <f t="shared" si="10"/>
        <v>0</v>
      </c>
      <c r="S22" s="104">
        <f t="shared" si="11"/>
        <v>0</v>
      </c>
      <c r="T22" s="104">
        <f t="shared" si="8"/>
        <v>0</v>
      </c>
      <c r="U22" s="104">
        <f t="shared" si="9"/>
        <v>0</v>
      </c>
      <c r="V22" s="487">
        <f t="shared" si="4"/>
        <v>0</v>
      </c>
      <c r="W22" s="349" t="s">
        <v>2013</v>
      </c>
      <c r="X22" s="354" t="s">
        <v>2013</v>
      </c>
      <c r="Y22" s="368" t="s">
        <v>2013</v>
      </c>
      <c r="Z22" s="92" t="s">
        <v>2024</v>
      </c>
      <c r="AA22" s="220" t="s">
        <v>2453</v>
      </c>
      <c r="AB22" s="223">
        <v>1</v>
      </c>
      <c r="AC22" s="225"/>
      <c r="AD22" s="225"/>
      <c r="AE22" s="226"/>
      <c r="AF22" s="223">
        <v>34</v>
      </c>
      <c r="AG22" s="224">
        <f>+MAX(I22:L22)/MIN(60,AF22)</f>
        <v>0.12352941176470589</v>
      </c>
      <c r="AI22" s="80">
        <f t="shared" si="12"/>
        <v>0</v>
      </c>
      <c r="AJ22" s="80">
        <f t="shared" si="6"/>
        <v>0</v>
      </c>
      <c r="AK22" s="80">
        <f t="shared" si="5"/>
        <v>0</v>
      </c>
      <c r="AL22" s="294"/>
      <c r="AM22" s="294"/>
      <c r="AN22" s="294"/>
      <c r="AO22" s="294"/>
      <c r="AP22" s="294"/>
      <c r="AQ22" s="294"/>
    </row>
    <row r="23" spans="1:44" s="145" customFormat="1" ht="12" x14ac:dyDescent="0.25">
      <c r="A23" s="80" t="e">
        <f t="shared" si="7"/>
        <v>#REF!</v>
      </c>
      <c r="B23" s="80"/>
      <c r="C23" s="134" t="s">
        <v>2238</v>
      </c>
      <c r="D23" s="93" t="s">
        <v>2239</v>
      </c>
      <c r="E23" s="150">
        <v>138</v>
      </c>
      <c r="F23" s="94" t="s">
        <v>2081</v>
      </c>
      <c r="G23" s="94" t="s">
        <v>2098</v>
      </c>
      <c r="H23" s="156">
        <v>26.4</v>
      </c>
      <c r="I23" s="96">
        <v>27.93</v>
      </c>
      <c r="J23" s="459">
        <v>21.151603160625868</v>
      </c>
      <c r="K23" s="457">
        <v>22.287811989267649</v>
      </c>
      <c r="L23" s="87">
        <v>20.311232406598428</v>
      </c>
      <c r="M23" s="98">
        <f>+VALUE(RIGHT(G23,2))</f>
        <v>25</v>
      </c>
      <c r="N23" s="133">
        <f>MAX(I23:L23)/M23</f>
        <v>1.1172</v>
      </c>
      <c r="O23" s="280">
        <v>4</v>
      </c>
      <c r="P23" s="271">
        <f>+MAX(I23:L23)/O23</f>
        <v>6.9824999999999999</v>
      </c>
      <c r="Q23" s="271">
        <f t="shared" si="2"/>
        <v>152.70258540214252</v>
      </c>
      <c r="R23" s="396">
        <f>IF($Q23&gt;260,I23,IF(OR(I23="-",I23&lt;($M23*1.06)),0,I23))</f>
        <v>27.93</v>
      </c>
      <c r="S23" s="396">
        <f t="shared" si="11"/>
        <v>0</v>
      </c>
      <c r="T23" s="396">
        <f t="shared" si="8"/>
        <v>0</v>
      </c>
      <c r="U23" s="396">
        <f t="shared" si="9"/>
        <v>0</v>
      </c>
      <c r="V23" s="241">
        <f t="shared" si="4"/>
        <v>27.93</v>
      </c>
      <c r="W23" s="349" t="s">
        <v>2014</v>
      </c>
      <c r="X23" s="354" t="s">
        <v>2014</v>
      </c>
      <c r="Y23" s="368" t="s">
        <v>2014</v>
      </c>
      <c r="Z23" s="92" t="s">
        <v>2024</v>
      </c>
      <c r="AA23" s="225">
        <v>556</v>
      </c>
      <c r="AB23" s="223"/>
      <c r="AC23" s="225">
        <v>1</v>
      </c>
      <c r="AD23" s="225"/>
      <c r="AE23" s="226"/>
      <c r="AF23" s="223">
        <v>242</v>
      </c>
      <c r="AG23" s="224">
        <f>+MAX(I23:L23)/MIN(60,AF23)</f>
        <v>0.46549999999999997</v>
      </c>
      <c r="AI23" s="80">
        <f t="shared" si="12"/>
        <v>1</v>
      </c>
      <c r="AJ23" s="80">
        <f t="shared" si="6"/>
        <v>1</v>
      </c>
      <c r="AK23" s="80">
        <f t="shared" si="5"/>
        <v>4</v>
      </c>
    </row>
    <row r="24" spans="1:44" s="145" customFormat="1" ht="12.95" customHeight="1" x14ac:dyDescent="0.25">
      <c r="A24" s="80" t="e">
        <f>1+#REF!</f>
        <v>#REF!</v>
      </c>
      <c r="B24" s="80"/>
      <c r="C24" s="134" t="s">
        <v>2240</v>
      </c>
      <c r="D24" s="93" t="s">
        <v>2241</v>
      </c>
      <c r="E24" s="150">
        <v>138</v>
      </c>
      <c r="F24" s="94" t="s">
        <v>2081</v>
      </c>
      <c r="G24" s="157" t="s">
        <v>2242</v>
      </c>
      <c r="H24" s="156">
        <v>25.5</v>
      </c>
      <c r="I24" s="96" t="s">
        <v>2092</v>
      </c>
      <c r="J24" s="459">
        <v>10.378532666461425</v>
      </c>
      <c r="K24" s="457">
        <v>3.4558083593813911</v>
      </c>
      <c r="L24" s="87">
        <v>3.6603141938750037</v>
      </c>
      <c r="M24" s="98">
        <f>+VALUE(RIGHT(G24,4))</f>
        <v>18.600000000000001</v>
      </c>
      <c r="N24" s="133">
        <f>MAX(I24:L24)/M24</f>
        <v>0.55798562722910883</v>
      </c>
      <c r="O24" s="280">
        <v>2</v>
      </c>
      <c r="P24" s="271">
        <f>+MAX(I24:L24)/O24</f>
        <v>5.1892663332307123</v>
      </c>
      <c r="Q24" s="271">
        <f t="shared" si="2"/>
        <v>117.49114958382016</v>
      </c>
      <c r="R24" s="396">
        <f>IF($Q24&gt;260,I24,IF(OR(I24="-",I24&lt;($M24*1.06)),0,I24))</f>
        <v>0</v>
      </c>
      <c r="S24" s="396">
        <f t="shared" si="11"/>
        <v>0</v>
      </c>
      <c r="T24" s="396">
        <f t="shared" si="8"/>
        <v>0</v>
      </c>
      <c r="U24" s="396">
        <f t="shared" si="9"/>
        <v>0</v>
      </c>
      <c r="V24" s="241">
        <f t="shared" si="4"/>
        <v>0</v>
      </c>
      <c r="W24" s="349" t="s">
        <v>2014</v>
      </c>
      <c r="X24" s="354" t="s">
        <v>2014</v>
      </c>
      <c r="Y24" s="368" t="s">
        <v>2013</v>
      </c>
      <c r="Z24" s="92" t="s">
        <v>2450</v>
      </c>
      <c r="AA24" s="220">
        <v>556</v>
      </c>
      <c r="AB24" s="223"/>
      <c r="AC24" s="225">
        <v>2</v>
      </c>
      <c r="AD24" s="225"/>
      <c r="AE24" s="226"/>
      <c r="AF24" s="223">
        <f>184+242</f>
        <v>426</v>
      </c>
      <c r="AG24" s="239" t="s">
        <v>2092</v>
      </c>
      <c r="AI24" s="80">
        <f t="shared" si="12"/>
        <v>1</v>
      </c>
      <c r="AJ24" s="80">
        <f t="shared" si="6"/>
        <v>1</v>
      </c>
      <c r="AK24" s="80">
        <f t="shared" si="5"/>
        <v>0</v>
      </c>
    </row>
    <row r="25" spans="1:44" s="145" customFormat="1" ht="12" customHeight="1" x14ac:dyDescent="0.25">
      <c r="A25" s="80" t="e">
        <f t="shared" si="7"/>
        <v>#REF!</v>
      </c>
      <c r="B25" s="80"/>
      <c r="C25" s="134" t="s">
        <v>2243</v>
      </c>
      <c r="D25" s="93" t="s">
        <v>2244</v>
      </c>
      <c r="E25" s="150">
        <v>69</v>
      </c>
      <c r="F25" s="94" t="s">
        <v>2097</v>
      </c>
      <c r="G25" s="94" t="s">
        <v>2245</v>
      </c>
      <c r="H25" s="156">
        <v>25</v>
      </c>
      <c r="I25" s="96">
        <v>7.91</v>
      </c>
      <c r="J25" s="459">
        <v>7.2110919697245741</v>
      </c>
      <c r="K25" s="457">
        <v>7.105771491402451</v>
      </c>
      <c r="L25" s="87">
        <v>6.2847586474819064</v>
      </c>
      <c r="M25" s="98">
        <f>+VALUE(RIGHT(G25,4))</f>
        <v>11.2</v>
      </c>
      <c r="N25" s="133">
        <f>MAX(I25:L25)/M25</f>
        <v>0.70625000000000004</v>
      </c>
      <c r="O25" s="280">
        <v>4</v>
      </c>
      <c r="P25" s="271">
        <f>+MAX(I25:L25)/O25</f>
        <v>1.9775</v>
      </c>
      <c r="Q25" s="271">
        <f t="shared" si="2"/>
        <v>45.668406292899398</v>
      </c>
      <c r="R25" s="396">
        <f>IF($Q25&gt;260,I25,IF(OR(I25="-",I25&lt;($M25*1.06)),0,I25))</f>
        <v>0</v>
      </c>
      <c r="S25" s="396">
        <f t="shared" si="11"/>
        <v>0</v>
      </c>
      <c r="T25" s="396">
        <f t="shared" si="8"/>
        <v>0</v>
      </c>
      <c r="U25" s="396">
        <f t="shared" si="9"/>
        <v>0</v>
      </c>
      <c r="V25" s="241">
        <f t="shared" si="4"/>
        <v>0</v>
      </c>
      <c r="W25" s="349" t="s">
        <v>2014</v>
      </c>
      <c r="X25" s="354" t="s">
        <v>2013</v>
      </c>
      <c r="Y25" s="368" t="s">
        <v>2013</v>
      </c>
      <c r="Z25" s="92" t="s">
        <v>2024</v>
      </c>
      <c r="AA25" s="222">
        <v>556</v>
      </c>
      <c r="AB25" s="223">
        <v>1</v>
      </c>
      <c r="AC25" s="225"/>
      <c r="AD25" s="225"/>
      <c r="AE25" s="226"/>
      <c r="AF25" s="223">
        <f>101+101+82</f>
        <v>284</v>
      </c>
      <c r="AG25" s="224">
        <f>+MAX(I25:L25)/MIN(60,AF25)</f>
        <v>0.13183333333333333</v>
      </c>
      <c r="AI25" s="80">
        <f t="shared" si="12"/>
        <v>1</v>
      </c>
      <c r="AJ25" s="80">
        <f t="shared" si="6"/>
        <v>0</v>
      </c>
      <c r="AK25" s="80">
        <f t="shared" si="5"/>
        <v>0</v>
      </c>
    </row>
    <row r="26" spans="1:44" s="145" customFormat="1" ht="12" x14ac:dyDescent="0.25">
      <c r="A26" s="80" t="e">
        <f>1+#REF!</f>
        <v>#REF!</v>
      </c>
      <c r="B26" s="80"/>
      <c r="C26" s="134" t="s">
        <v>2246</v>
      </c>
      <c r="D26" s="93" t="s">
        <v>2247</v>
      </c>
      <c r="E26" s="150">
        <v>69</v>
      </c>
      <c r="F26" s="94" t="s">
        <v>2248</v>
      </c>
      <c r="G26" s="94" t="s">
        <v>2094</v>
      </c>
      <c r="H26" s="156">
        <v>26.4</v>
      </c>
      <c r="I26" s="96">
        <v>27.76</v>
      </c>
      <c r="J26" s="459">
        <v>23.025319281734888</v>
      </c>
      <c r="K26" s="457">
        <v>18.141053742966555</v>
      </c>
      <c r="L26" s="87">
        <v>22.615606595145831</v>
      </c>
      <c r="M26" s="295">
        <v>18</v>
      </c>
      <c r="N26" s="133">
        <f>MAX(I26:L26)/M26</f>
        <v>1.5422222222222224</v>
      </c>
      <c r="O26" s="280">
        <v>4</v>
      </c>
      <c r="P26" s="271">
        <f>+MAX(I26:L26)/O26</f>
        <v>6.94</v>
      </c>
      <c r="Q26" s="271">
        <f t="shared" si="2"/>
        <v>151.77313894606073</v>
      </c>
      <c r="R26" s="396">
        <f>IF($Q26&gt;260,I26,IF(OR(I26="-",I26&lt;($M26*1.06)),0,I26))</f>
        <v>27.76</v>
      </c>
      <c r="S26" s="396">
        <f t="shared" si="11"/>
        <v>23.025319281734888</v>
      </c>
      <c r="T26" s="396">
        <f t="shared" si="8"/>
        <v>0</v>
      </c>
      <c r="U26" s="396">
        <f t="shared" si="9"/>
        <v>22.615606595145831</v>
      </c>
      <c r="V26" s="241">
        <f t="shared" si="4"/>
        <v>27.76</v>
      </c>
      <c r="W26" s="801" t="s">
        <v>2014</v>
      </c>
      <c r="X26" s="373" t="s">
        <v>2014</v>
      </c>
      <c r="Y26" s="364" t="s">
        <v>2014</v>
      </c>
      <c r="Z26" s="695" t="s">
        <v>2450</v>
      </c>
      <c r="AA26" s="806" t="s">
        <v>2462</v>
      </c>
      <c r="AB26" s="701"/>
      <c r="AC26" s="704">
        <v>4</v>
      </c>
      <c r="AD26" s="704"/>
      <c r="AE26" s="707"/>
      <c r="AF26" s="802">
        <f>261+261+184+363</f>
        <v>1069</v>
      </c>
      <c r="AG26" s="728" t="s">
        <v>2092</v>
      </c>
      <c r="AI26" s="750">
        <f t="shared" si="12"/>
        <v>1</v>
      </c>
      <c r="AJ26" s="80">
        <f t="shared" si="6"/>
        <v>1</v>
      </c>
      <c r="AK26" s="80">
        <f t="shared" si="5"/>
        <v>4</v>
      </c>
    </row>
    <row r="27" spans="1:44" s="145" customFormat="1" ht="12.75" customHeight="1" x14ac:dyDescent="0.25">
      <c r="A27" s="80" t="e">
        <f>1+A26</f>
        <v>#REF!</v>
      </c>
      <c r="B27" s="80"/>
      <c r="C27" s="134" t="s">
        <v>2249</v>
      </c>
      <c r="D27" s="93" t="s">
        <v>2247</v>
      </c>
      <c r="E27" s="150">
        <v>69</v>
      </c>
      <c r="F27" s="94" t="s">
        <v>2097</v>
      </c>
      <c r="G27" s="94" t="s">
        <v>2091</v>
      </c>
      <c r="H27" s="156">
        <v>13.8</v>
      </c>
      <c r="I27" s="101">
        <v>0.53</v>
      </c>
      <c r="J27" s="459">
        <v>1.95</v>
      </c>
      <c r="K27" s="457">
        <v>1.6307984898666421</v>
      </c>
      <c r="L27" s="87">
        <v>1.5811545293777702</v>
      </c>
      <c r="M27" s="98">
        <f>+VALUE(RIGHT(G27,4))</f>
        <v>22.4</v>
      </c>
      <c r="N27" s="133">
        <f>MAX(I27:L27)/M27</f>
        <v>8.7053571428571438E-2</v>
      </c>
      <c r="O27" s="280">
        <v>1</v>
      </c>
      <c r="P27" s="271">
        <f>+MAX(I27:L27)/O27</f>
        <v>1.95</v>
      </c>
      <c r="Q27" s="271">
        <f t="shared" si="2"/>
        <v>81.582103255055813</v>
      </c>
      <c r="R27" s="396">
        <f>IF($Q27&gt;260,I27,IF(OR(I27="-",I27&lt;($M27*1.06)),0,I27))</f>
        <v>0</v>
      </c>
      <c r="S27" s="396">
        <f t="shared" si="11"/>
        <v>0</v>
      </c>
      <c r="T27" s="396">
        <f t="shared" si="8"/>
        <v>0</v>
      </c>
      <c r="U27" s="396">
        <f t="shared" si="9"/>
        <v>0</v>
      </c>
      <c r="V27" s="241">
        <f t="shared" si="4"/>
        <v>0</v>
      </c>
      <c r="W27" s="800"/>
      <c r="X27" s="373" t="s">
        <v>2014</v>
      </c>
      <c r="Y27" s="364" t="s">
        <v>2014</v>
      </c>
      <c r="Z27" s="697"/>
      <c r="AA27" s="776"/>
      <c r="AB27" s="703"/>
      <c r="AC27" s="706"/>
      <c r="AD27" s="706"/>
      <c r="AE27" s="709"/>
      <c r="AF27" s="803"/>
      <c r="AG27" s="656"/>
      <c r="AI27" s="750"/>
      <c r="AJ27" s="80">
        <f t="shared" si="6"/>
        <v>1</v>
      </c>
      <c r="AK27" s="80">
        <f t="shared" si="5"/>
        <v>1</v>
      </c>
    </row>
    <row r="28" spans="1:44" s="145" customFormat="1" ht="12" x14ac:dyDescent="0.25">
      <c r="A28" s="80" t="e">
        <f>1+#REF!</f>
        <v>#REF!</v>
      </c>
      <c r="B28" s="80"/>
      <c r="C28" s="134" t="s">
        <v>2250</v>
      </c>
      <c r="D28" s="93" t="s">
        <v>2251</v>
      </c>
      <c r="E28" s="92">
        <v>69</v>
      </c>
      <c r="F28" s="94" t="s">
        <v>2090</v>
      </c>
      <c r="G28" s="94" t="s">
        <v>2252</v>
      </c>
      <c r="H28" s="472">
        <v>4.16</v>
      </c>
      <c r="I28" s="96">
        <v>4.7300000000000004</v>
      </c>
      <c r="J28" s="459">
        <v>4.1939965110944639</v>
      </c>
      <c r="K28" s="457">
        <v>4.9654753409415564</v>
      </c>
      <c r="L28" s="87">
        <v>1.845750266369935</v>
      </c>
      <c r="M28" s="98">
        <f>+VALUE(RIGHT(G28,3))</f>
        <v>7.5</v>
      </c>
      <c r="N28" s="133">
        <f>MAX(K28:L28)/M28</f>
        <v>0.66206337879220756</v>
      </c>
      <c r="O28" s="280">
        <v>4</v>
      </c>
      <c r="P28" s="271">
        <f>+MAX(K28:L28)/O28</f>
        <v>1.2413688352353891</v>
      </c>
      <c r="Q28" s="271">
        <f t="shared" si="2"/>
        <v>172.2847671122029</v>
      </c>
      <c r="R28" s="104">
        <f>+IF($Q28&gt;250,I28,IF(OR(I28="-",I28&lt;$M28),0,I28))</f>
        <v>0</v>
      </c>
      <c r="S28" s="396">
        <f t="shared" si="11"/>
        <v>0</v>
      </c>
      <c r="T28" s="396">
        <f t="shared" si="8"/>
        <v>0</v>
      </c>
      <c r="U28" s="396">
        <f t="shared" si="9"/>
        <v>0</v>
      </c>
      <c r="V28" s="487">
        <f t="shared" si="4"/>
        <v>0</v>
      </c>
      <c r="W28" s="370" t="s">
        <v>2013</v>
      </c>
      <c r="X28" s="373" t="s">
        <v>2013</v>
      </c>
      <c r="Y28" s="364" t="s">
        <v>2013</v>
      </c>
      <c r="Z28" s="92" t="s">
        <v>2024</v>
      </c>
      <c r="AA28" s="220" t="s">
        <v>2451</v>
      </c>
      <c r="AB28" s="223">
        <v>1</v>
      </c>
      <c r="AC28" s="225"/>
      <c r="AD28" s="225"/>
      <c r="AE28" s="226"/>
      <c r="AF28" s="223">
        <v>45</v>
      </c>
      <c r="AG28" s="224">
        <f>+MAX(I28:L28)/MIN(60,AF28)</f>
        <v>0.11034389646536792</v>
      </c>
      <c r="AI28" s="80">
        <f>+IF(W28="y",1,0)</f>
        <v>0</v>
      </c>
      <c r="AJ28" s="80">
        <f t="shared" si="6"/>
        <v>0</v>
      </c>
      <c r="AK28" s="80">
        <f t="shared" si="5"/>
        <v>0</v>
      </c>
      <c r="AL28" s="294"/>
      <c r="AM28" s="294"/>
      <c r="AN28" s="294"/>
      <c r="AO28" s="294"/>
      <c r="AP28" s="294"/>
      <c r="AQ28" s="294"/>
      <c r="AR28" s="294"/>
    </row>
    <row r="29" spans="1:44" s="145" customFormat="1" ht="12.75" customHeight="1" x14ac:dyDescent="0.25">
      <c r="A29" s="80" t="e">
        <f>1+A28</f>
        <v>#REF!</v>
      </c>
      <c r="B29" s="80"/>
      <c r="C29" s="134" t="s">
        <v>2253</v>
      </c>
      <c r="D29" s="93" t="s">
        <v>2254</v>
      </c>
      <c r="E29" s="92">
        <v>69</v>
      </c>
      <c r="F29" s="94" t="s">
        <v>2090</v>
      </c>
      <c r="G29" s="94" t="s">
        <v>2122</v>
      </c>
      <c r="H29" s="156">
        <v>25</v>
      </c>
      <c r="I29" s="96">
        <v>14.46</v>
      </c>
      <c r="J29" s="459">
        <v>9.677164630586498</v>
      </c>
      <c r="K29" s="457">
        <v>14.096026400089331</v>
      </c>
      <c r="L29" s="87">
        <v>6.6359116719490512</v>
      </c>
      <c r="M29" s="98">
        <f>+VALUE(RIGHT(G29,4))</f>
        <v>11.2</v>
      </c>
      <c r="N29" s="133">
        <f>MAX(I29:L29)/M29</f>
        <v>1.2910714285714286</v>
      </c>
      <c r="O29" s="280">
        <v>3</v>
      </c>
      <c r="P29" s="271">
        <f>+MAX(I29:L29)/O29</f>
        <v>4.82</v>
      </c>
      <c r="Q29" s="271">
        <f t="shared" si="2"/>
        <v>111.31313189975985</v>
      </c>
      <c r="R29" s="396">
        <f>IF($Q29&gt;260,I29,IF(OR(I29="-",I29&lt;($M29*1.06)),0,I29))</f>
        <v>14.46</v>
      </c>
      <c r="S29" s="396">
        <f t="shared" si="11"/>
        <v>0</v>
      </c>
      <c r="T29" s="396">
        <f t="shared" si="8"/>
        <v>14.096026400089331</v>
      </c>
      <c r="U29" s="396">
        <f t="shared" si="9"/>
        <v>0</v>
      </c>
      <c r="V29" s="241">
        <f t="shared" si="4"/>
        <v>14.46</v>
      </c>
      <c r="W29" s="370" t="s">
        <v>2014</v>
      </c>
      <c r="X29" s="373" t="s">
        <v>2014</v>
      </c>
      <c r="Y29" s="364" t="s">
        <v>2013</v>
      </c>
      <c r="Z29" s="92" t="s">
        <v>2024</v>
      </c>
      <c r="AA29" s="222" t="s">
        <v>2460</v>
      </c>
      <c r="AB29" s="223">
        <v>1</v>
      </c>
      <c r="AC29" s="225"/>
      <c r="AD29" s="225"/>
      <c r="AE29" s="226"/>
      <c r="AF29" s="223">
        <v>60</v>
      </c>
      <c r="AG29" s="264">
        <f>+(MAX(I29:L29)+MAX(I28:L28))/MIN(60,AF29)</f>
        <v>0.32375792234902595</v>
      </c>
      <c r="AI29" s="80">
        <f>+IF(W29="y",1,0)</f>
        <v>1</v>
      </c>
      <c r="AJ29" s="80">
        <f t="shared" si="6"/>
        <v>1</v>
      </c>
      <c r="AK29" s="80">
        <f t="shared" si="5"/>
        <v>0</v>
      </c>
      <c r="AL29" s="270" t="s">
        <v>2480</v>
      </c>
      <c r="AM29" s="270"/>
    </row>
    <row r="30" spans="1:44" ht="13.35" customHeight="1" x14ac:dyDescent="0.25">
      <c r="A30" s="80"/>
      <c r="B30" s="80"/>
      <c r="C30" s="130" t="s">
        <v>2255</v>
      </c>
      <c r="D30" s="82" t="s">
        <v>2256</v>
      </c>
      <c r="E30" s="81">
        <v>69</v>
      </c>
      <c r="F30" s="83" t="s">
        <v>2090</v>
      </c>
      <c r="G30" s="83" t="s">
        <v>2091</v>
      </c>
      <c r="H30" s="471">
        <v>25</v>
      </c>
      <c r="I30" s="655">
        <v>41.74</v>
      </c>
      <c r="J30" s="756">
        <v>39.451969992695837</v>
      </c>
      <c r="K30" s="641">
        <v>35.769165803969919</v>
      </c>
      <c r="L30" s="641">
        <v>43.563619173106908</v>
      </c>
      <c r="M30" s="643">
        <f>+VALUE(RIGHT(G30,4))+VALUE(RIGHT(G31,4))</f>
        <v>44.8</v>
      </c>
      <c r="N30" s="644">
        <f>MAX(I30:L30)/M30</f>
        <v>0.97240221368542212</v>
      </c>
      <c r="O30" s="796">
        <v>6</v>
      </c>
      <c r="P30" s="672">
        <f>+MAX(I30:L30)/O30</f>
        <v>7.2606031955178176</v>
      </c>
      <c r="Q30" s="672">
        <f t="shared" si="2"/>
        <v>167.67644837645076</v>
      </c>
      <c r="R30" s="653">
        <f>IF($Q30&gt;260,I30,IF(OR(I30="-",I30&lt;($M30*1.06)),0,I30))</f>
        <v>0</v>
      </c>
      <c r="S30" s="653">
        <f t="shared" si="11"/>
        <v>0</v>
      </c>
      <c r="T30" s="653">
        <f t="shared" si="8"/>
        <v>0</v>
      </c>
      <c r="U30" s="653">
        <f t="shared" si="9"/>
        <v>0</v>
      </c>
      <c r="V30" s="653">
        <f t="shared" si="4"/>
        <v>0</v>
      </c>
      <c r="W30" s="801" t="s">
        <v>2014</v>
      </c>
      <c r="X30" s="374" t="s">
        <v>2014</v>
      </c>
      <c r="Y30" s="369" t="s">
        <v>2014</v>
      </c>
      <c r="Z30" s="695" t="s">
        <v>2450</v>
      </c>
      <c r="AA30" s="707">
        <v>556</v>
      </c>
      <c r="AB30" s="701">
        <v>2</v>
      </c>
      <c r="AC30" s="704"/>
      <c r="AD30" s="704"/>
      <c r="AE30" s="707"/>
      <c r="AF30" s="802">
        <f>60+67</f>
        <v>127</v>
      </c>
      <c r="AG30" s="728" t="s">
        <v>2092</v>
      </c>
      <c r="AI30" s="750">
        <f>+IF(W30="y",1,0)</f>
        <v>1</v>
      </c>
      <c r="AJ30" s="80">
        <f t="shared" si="6"/>
        <v>1</v>
      </c>
      <c r="AK30" s="750">
        <f t="shared" si="5"/>
        <v>6</v>
      </c>
    </row>
    <row r="31" spans="1:44" ht="13.35" customHeight="1" x14ac:dyDescent="0.25">
      <c r="A31" s="80"/>
      <c r="B31" s="80"/>
      <c r="C31" s="134" t="s">
        <v>2255</v>
      </c>
      <c r="D31" s="93" t="s">
        <v>2256</v>
      </c>
      <c r="E31" s="92">
        <v>69</v>
      </c>
      <c r="F31" s="94" t="s">
        <v>2093</v>
      </c>
      <c r="G31" s="83" t="s">
        <v>2091</v>
      </c>
      <c r="H31" s="156">
        <v>25</v>
      </c>
      <c r="I31" s="656"/>
      <c r="J31" s="757"/>
      <c r="K31" s="642"/>
      <c r="L31" s="642"/>
      <c r="M31" s="643"/>
      <c r="N31" s="645"/>
      <c r="O31" s="797"/>
      <c r="P31" s="673"/>
      <c r="Q31" s="673"/>
      <c r="R31" s="654"/>
      <c r="S31" s="654"/>
      <c r="T31" s="654"/>
      <c r="U31" s="654"/>
      <c r="V31" s="654"/>
      <c r="W31" s="800"/>
      <c r="X31" s="373" t="s">
        <v>2014</v>
      </c>
      <c r="Y31" s="364" t="s">
        <v>2014</v>
      </c>
      <c r="Z31" s="697"/>
      <c r="AA31" s="709"/>
      <c r="AB31" s="703"/>
      <c r="AC31" s="706"/>
      <c r="AD31" s="706"/>
      <c r="AE31" s="709"/>
      <c r="AF31" s="803"/>
      <c r="AG31" s="656"/>
      <c r="AI31" s="750"/>
      <c r="AJ31" s="80">
        <f t="shared" si="6"/>
        <v>1</v>
      </c>
      <c r="AK31" s="750"/>
    </row>
    <row r="32" spans="1:44" ht="13.35" customHeight="1" x14ac:dyDescent="0.25">
      <c r="A32" s="80"/>
      <c r="B32" s="80"/>
      <c r="C32" s="134" t="s">
        <v>2257</v>
      </c>
      <c r="D32" s="93" t="s">
        <v>2258</v>
      </c>
      <c r="E32" s="92">
        <v>138</v>
      </c>
      <c r="F32" s="94" t="s">
        <v>2081</v>
      </c>
      <c r="G32" s="157" t="s">
        <v>2242</v>
      </c>
      <c r="H32" s="156">
        <v>23</v>
      </c>
      <c r="I32" s="96">
        <v>8.8800000000000008</v>
      </c>
      <c r="J32" s="459">
        <v>8.9673888224766927</v>
      </c>
      <c r="K32" s="457">
        <v>8.4840510478721622</v>
      </c>
      <c r="L32" s="87">
        <v>5.1836992288375594</v>
      </c>
      <c r="M32" s="98">
        <f>+VALUE(RIGHT(G32,4))</f>
        <v>18.600000000000001</v>
      </c>
      <c r="N32" s="133">
        <f>MAX(I32:L32)/M32</f>
        <v>0.48211767862777916</v>
      </c>
      <c r="O32" s="280">
        <v>2</v>
      </c>
      <c r="P32" s="271">
        <f>+MAX(I32:L32)/O32</f>
        <v>4.4836944112383463</v>
      </c>
      <c r="Q32" s="271">
        <f>((P32*1000)/(H32*SQRT(3)))</f>
        <v>112.55052936054261</v>
      </c>
      <c r="R32" s="396">
        <f t="shared" ref="R32:U33" si="13">IF($Q32&gt;260,I32,IF(OR(I32="-",I32&lt;($M32*1.06)),0,I32))</f>
        <v>0</v>
      </c>
      <c r="S32" s="396">
        <f t="shared" si="13"/>
        <v>0</v>
      </c>
      <c r="T32" s="396">
        <f t="shared" si="13"/>
        <v>0</v>
      </c>
      <c r="U32" s="396">
        <f t="shared" si="13"/>
        <v>0</v>
      </c>
      <c r="V32" s="241">
        <f>+MAX(R32:U32)</f>
        <v>0</v>
      </c>
      <c r="W32" s="370" t="s">
        <v>2014</v>
      </c>
      <c r="X32" s="373" t="s">
        <v>2014</v>
      </c>
      <c r="Y32" s="364" t="s">
        <v>2014</v>
      </c>
      <c r="Z32" s="92" t="s">
        <v>2450</v>
      </c>
      <c r="AA32" s="222" t="s">
        <v>2461</v>
      </c>
      <c r="AB32" s="223"/>
      <c r="AC32" s="225">
        <v>3</v>
      </c>
      <c r="AD32" s="225"/>
      <c r="AE32" s="226"/>
      <c r="AF32" s="223">
        <f>184+242+363</f>
        <v>789</v>
      </c>
      <c r="AG32" s="102" t="s">
        <v>2092</v>
      </c>
      <c r="AI32" s="80">
        <f>+IF(W32="y",1,0)</f>
        <v>1</v>
      </c>
      <c r="AJ32" s="80">
        <f t="shared" si="6"/>
        <v>1</v>
      </c>
      <c r="AK32" s="80">
        <f>+IF(Y32="y",O32,0)</f>
        <v>2</v>
      </c>
    </row>
    <row r="33" spans="1:37" ht="13.35" customHeight="1" x14ac:dyDescent="0.25">
      <c r="A33" s="80"/>
      <c r="B33" s="80"/>
      <c r="C33" s="138" t="s">
        <v>2259</v>
      </c>
      <c r="D33" s="107" t="s">
        <v>2260</v>
      </c>
      <c r="E33" s="106">
        <v>138</v>
      </c>
      <c r="F33" s="108" t="s">
        <v>2081</v>
      </c>
      <c r="G33" s="108" t="s">
        <v>2098</v>
      </c>
      <c r="H33" s="473">
        <v>26.4</v>
      </c>
      <c r="I33" s="455">
        <v>17.809999999999999</v>
      </c>
      <c r="J33" s="459">
        <v>17.465616880641669</v>
      </c>
      <c r="K33" s="457">
        <v>15.058604363343255</v>
      </c>
      <c r="L33" s="87">
        <v>16.93484880736213</v>
      </c>
      <c r="M33" s="98">
        <f>+VALUE(RIGHT(G33,2))</f>
        <v>25</v>
      </c>
      <c r="N33" s="133">
        <f>MAX(I33:L33)/M33</f>
        <v>0.71239999999999992</v>
      </c>
      <c r="O33" s="286">
        <v>2</v>
      </c>
      <c r="P33" s="272">
        <f>+MAX(I33:L33)/O33</f>
        <v>8.9049999999999994</v>
      </c>
      <c r="Q33" s="272">
        <f>((P33*1000)/(H33*SQRT(3)))</f>
        <v>194.74636920960674</v>
      </c>
      <c r="R33" s="396">
        <f t="shared" si="13"/>
        <v>0</v>
      </c>
      <c r="S33" s="396">
        <f t="shared" si="13"/>
        <v>0</v>
      </c>
      <c r="T33" s="396">
        <f t="shared" si="13"/>
        <v>0</v>
      </c>
      <c r="U33" s="396">
        <f t="shared" si="13"/>
        <v>0</v>
      </c>
      <c r="V33" s="241">
        <f>+MAX(R33:U33)</f>
        <v>0</v>
      </c>
      <c r="W33" s="370" t="s">
        <v>2013</v>
      </c>
      <c r="X33" s="373" t="s">
        <v>2013</v>
      </c>
      <c r="Y33" s="364" t="s">
        <v>2013</v>
      </c>
      <c r="Z33" s="92" t="s">
        <v>2450</v>
      </c>
      <c r="AA33" s="222">
        <v>1113</v>
      </c>
      <c r="AB33" s="223"/>
      <c r="AC33" s="225">
        <v>2</v>
      </c>
      <c r="AD33" s="225"/>
      <c r="AE33" s="226"/>
      <c r="AF33" s="223">
        <v>363</v>
      </c>
      <c r="AG33" s="102" t="s">
        <v>2092</v>
      </c>
      <c r="AI33" s="80">
        <f>+IF(W33="y",1,0)</f>
        <v>0</v>
      </c>
      <c r="AJ33" s="80">
        <f t="shared" si="6"/>
        <v>0</v>
      </c>
      <c r="AK33" s="80">
        <f>+IF(Y33="y",O33,0)</f>
        <v>0</v>
      </c>
    </row>
    <row r="34" spans="1:37" ht="13.35" customHeight="1" thickBot="1" x14ac:dyDescent="0.3">
      <c r="C34" s="111"/>
      <c r="D34" s="110"/>
      <c r="E34" s="111"/>
      <c r="F34" s="112"/>
      <c r="G34" s="112"/>
      <c r="H34" s="261"/>
      <c r="I34" s="160"/>
      <c r="J34" s="160"/>
      <c r="K34" s="161"/>
      <c r="L34" s="160"/>
      <c r="M34" s="227"/>
      <c r="N34" s="162"/>
      <c r="O34" s="285"/>
      <c r="P34" s="285"/>
      <c r="Q34" s="285"/>
      <c r="R34" s="143"/>
      <c r="S34" s="143"/>
      <c r="T34" s="143"/>
      <c r="U34" s="143"/>
      <c r="V34" s="117"/>
      <c r="W34" s="371"/>
      <c r="X34" s="375"/>
      <c r="Y34" s="285"/>
      <c r="Z34" s="227"/>
      <c r="AA34" s="255"/>
      <c r="AB34" s="228"/>
      <c r="AC34" s="229"/>
      <c r="AD34" s="229"/>
      <c r="AE34" s="230"/>
      <c r="AF34" s="228"/>
      <c r="AG34" s="256"/>
    </row>
    <row r="35" spans="1:37" ht="13.35" customHeight="1" thickBot="1" x14ac:dyDescent="0.3">
      <c r="C35" s="145" t="s">
        <v>2261</v>
      </c>
      <c r="D35" s="145"/>
      <c r="E35" s="145"/>
      <c r="F35" s="145"/>
      <c r="G35" s="145"/>
      <c r="H35" s="178" t="s">
        <v>2427</v>
      </c>
      <c r="I35" s="118">
        <f>+SUM(I7:I34)</f>
        <v>278.68</v>
      </c>
      <c r="J35" s="118">
        <f>+SUM(J7:J34)</f>
        <v>250.64047089587544</v>
      </c>
      <c r="K35" s="118">
        <f>+SUM(K7:K34)</f>
        <v>236.18304566443055</v>
      </c>
      <c r="L35" s="118">
        <f>+SUM(L7:L34)</f>
        <v>235.22129750539668</v>
      </c>
      <c r="M35" s="118">
        <f>+SUM(M7:M34)</f>
        <v>405.73</v>
      </c>
      <c r="O35" s="666" t="s">
        <v>2519</v>
      </c>
      <c r="P35" s="667"/>
      <c r="Q35" s="668"/>
      <c r="R35" s="885">
        <f>+SUM(R7:R34)</f>
        <v>95.710000000000008</v>
      </c>
      <c r="S35" s="886">
        <f>+SUM(S7:S34)</f>
        <v>49.524075281734895</v>
      </c>
      <c r="T35" s="886">
        <f>+SUM(T7:T34)</f>
        <v>32.417619832197062</v>
      </c>
      <c r="U35" s="886">
        <f>+SUM(U7:U34)</f>
        <v>46.274972507771949</v>
      </c>
      <c r="V35" s="890">
        <f>+SUM(V7:V34)</f>
        <v>96.64875600000002</v>
      </c>
      <c r="W35" s="345"/>
      <c r="X35" s="345"/>
      <c r="Y35" s="345"/>
      <c r="Z35" s="730" t="s">
        <v>2470</v>
      </c>
      <c r="AA35" s="731"/>
      <c r="AB35" s="731"/>
      <c r="AC35" s="731"/>
      <c r="AD35" s="731"/>
      <c r="AE35" s="731"/>
      <c r="AF35" s="731"/>
      <c r="AG35" s="732"/>
      <c r="AI35" s="80">
        <f>+SUM(AI7:AI33)</f>
        <v>9</v>
      </c>
      <c r="AJ35" s="80">
        <f>+SUM(AJ7:AJ33)</f>
        <v>14</v>
      </c>
      <c r="AK35" s="80">
        <f>+SUM(AK7:AK33)</f>
        <v>22</v>
      </c>
    </row>
    <row r="36" spans="1:37" ht="13.35" customHeight="1" thickBot="1" x14ac:dyDescent="0.3">
      <c r="C36" s="263" t="s">
        <v>2469</v>
      </c>
      <c r="D36" s="145"/>
      <c r="E36" s="145"/>
      <c r="F36" s="145"/>
      <c r="G36" s="145"/>
      <c r="L36" s="63"/>
      <c r="O36" s="669"/>
      <c r="P36" s="670"/>
      <c r="Q36" s="671"/>
      <c r="Z36" s="733"/>
      <c r="AA36" s="734"/>
      <c r="AB36" s="734"/>
      <c r="AC36" s="734"/>
      <c r="AD36" s="734"/>
      <c r="AE36" s="734"/>
      <c r="AF36" s="734"/>
      <c r="AG36" s="735"/>
      <c r="AI36" s="80"/>
      <c r="AJ36" s="80"/>
      <c r="AK36" s="80"/>
    </row>
    <row r="37" spans="1:37" ht="13.35" customHeight="1" thickBot="1" x14ac:dyDescent="0.3">
      <c r="Z37" s="736" t="s">
        <v>2471</v>
      </c>
      <c r="AA37" s="737"/>
      <c r="AB37" s="737"/>
      <c r="AC37" s="737"/>
      <c r="AD37" s="737"/>
      <c r="AE37" s="737"/>
      <c r="AF37" s="737"/>
      <c r="AG37" s="738"/>
    </row>
    <row r="38" spans="1:37" ht="13.35" customHeight="1" thickBot="1" x14ac:dyDescent="0.3">
      <c r="D38" s="63" t="s">
        <v>2160</v>
      </c>
      <c r="K38" s="120" t="s">
        <v>2162</v>
      </c>
      <c r="L38" s="121" t="s">
        <v>2163</v>
      </c>
      <c r="M38" s="122" t="s">
        <v>2164</v>
      </c>
      <c r="N38" s="657" t="s">
        <v>2001</v>
      </c>
      <c r="O38" s="658"/>
      <c r="P38" s="658"/>
      <c r="Q38" s="659"/>
      <c r="R38" s="277" t="s">
        <v>2015</v>
      </c>
      <c r="Z38" s="739"/>
      <c r="AA38" s="740"/>
      <c r="AB38" s="740"/>
      <c r="AC38" s="740"/>
      <c r="AD38" s="740"/>
      <c r="AE38" s="740"/>
      <c r="AF38" s="740"/>
      <c r="AG38" s="741"/>
    </row>
    <row r="39" spans="1:37" ht="13.35" customHeight="1" thickTop="1" thickBot="1" x14ac:dyDescent="0.3">
      <c r="D39" s="145" t="s">
        <v>2262</v>
      </c>
      <c r="K39" s="86"/>
      <c r="L39" s="124"/>
      <c r="M39" s="87"/>
      <c r="N39" s="660"/>
      <c r="O39" s="661"/>
      <c r="P39" s="661"/>
      <c r="Q39" s="662"/>
      <c r="R39" s="149"/>
      <c r="Z39" s="742"/>
      <c r="AA39" s="743"/>
      <c r="AB39" s="743"/>
      <c r="AC39" s="743"/>
      <c r="AD39" s="743"/>
      <c r="AE39" s="743"/>
      <c r="AF39" s="743"/>
      <c r="AG39" s="744"/>
    </row>
    <row r="40" spans="1:37" ht="13.35" customHeight="1" thickBot="1" x14ac:dyDescent="0.3">
      <c r="D40" s="145" t="s">
        <v>2263</v>
      </c>
      <c r="K40" s="126"/>
      <c r="L40" s="114"/>
      <c r="M40" s="127"/>
      <c r="N40" s="663"/>
      <c r="O40" s="664"/>
      <c r="P40" s="664"/>
      <c r="Q40" s="665"/>
      <c r="R40" s="278"/>
    </row>
    <row r="41" spans="1:37" ht="13.35" customHeight="1" x14ac:dyDescent="0.25">
      <c r="D41" s="145" t="s">
        <v>2264</v>
      </c>
    </row>
    <row r="42" spans="1:37" ht="13.35" customHeight="1" x14ac:dyDescent="0.25"/>
    <row r="43" spans="1:37" ht="13.35" customHeight="1" x14ac:dyDescent="0.25"/>
    <row r="44" spans="1:37" ht="13.35" customHeight="1" x14ac:dyDescent="0.25"/>
    <row r="45" spans="1:37" ht="13.35" customHeight="1" x14ac:dyDescent="0.25"/>
    <row r="47" spans="1:37" x14ac:dyDescent="0.25">
      <c r="M47" s="59"/>
    </row>
  </sheetData>
  <mergeCells count="90">
    <mergeCell ref="AK30:AK31"/>
    <mergeCell ref="W13:W16"/>
    <mergeCell ref="W17:W19"/>
    <mergeCell ref="W26:W27"/>
    <mergeCell ref="W30:W31"/>
    <mergeCell ref="AF30:AF31"/>
    <mergeCell ref="AG30:AG31"/>
    <mergeCell ref="AG17:AG19"/>
    <mergeCell ref="Z26:Z27"/>
    <mergeCell ref="AA26:AA27"/>
    <mergeCell ref="AB26:AB27"/>
    <mergeCell ref="AC26:AC27"/>
    <mergeCell ref="AD26:AD27"/>
    <mergeCell ref="AE26:AE27"/>
    <mergeCell ref="AF26:AF27"/>
    <mergeCell ref="AG26:AG27"/>
    <mergeCell ref="AI7:AI9"/>
    <mergeCell ref="AI13:AI16"/>
    <mergeCell ref="AI17:AI19"/>
    <mergeCell ref="AI26:AI27"/>
    <mergeCell ref="AI30:AI31"/>
    <mergeCell ref="W3:Y4"/>
    <mergeCell ref="W5:W6"/>
    <mergeCell ref="X5:X6"/>
    <mergeCell ref="Y5:Y6"/>
    <mergeCell ref="W7:W9"/>
    <mergeCell ref="O35:Q36"/>
    <mergeCell ref="O3:Q4"/>
    <mergeCell ref="O5:O6"/>
    <mergeCell ref="P5:P6"/>
    <mergeCell ref="Q5:Q6"/>
    <mergeCell ref="O30:O31"/>
    <mergeCell ref="P30:P31"/>
    <mergeCell ref="Q30:Q31"/>
    <mergeCell ref="Z35:AG36"/>
    <mergeCell ref="Z37:AG39"/>
    <mergeCell ref="Z30:Z31"/>
    <mergeCell ref="AA30:AA31"/>
    <mergeCell ref="AB30:AB31"/>
    <mergeCell ref="AC30:AC31"/>
    <mergeCell ref="AD30:AD31"/>
    <mergeCell ref="AE30:AE31"/>
    <mergeCell ref="AE17:AE19"/>
    <mergeCell ref="AF17:AF19"/>
    <mergeCell ref="Z13:Z16"/>
    <mergeCell ref="AA13:AA16"/>
    <mergeCell ref="AB13:AB16"/>
    <mergeCell ref="AC13:AC16"/>
    <mergeCell ref="AD13:AD16"/>
    <mergeCell ref="Z17:Z19"/>
    <mergeCell ref="AA17:AA19"/>
    <mergeCell ref="AB17:AB19"/>
    <mergeCell ref="AC17:AC19"/>
    <mergeCell ref="AD17:AD19"/>
    <mergeCell ref="AD7:AD9"/>
    <mergeCell ref="AE7:AE9"/>
    <mergeCell ref="AF7:AF9"/>
    <mergeCell ref="AG7:AG9"/>
    <mergeCell ref="AE13:AE16"/>
    <mergeCell ref="AF13:AF16"/>
    <mergeCell ref="AG13:AG16"/>
    <mergeCell ref="N39:Q39"/>
    <mergeCell ref="N40:Q40"/>
    <mergeCell ref="R3:V4"/>
    <mergeCell ref="V30:V31"/>
    <mergeCell ref="Z3:AG4"/>
    <mergeCell ref="AB5:AE5"/>
    <mergeCell ref="AG5:AG6"/>
    <mergeCell ref="Z7:Z9"/>
    <mergeCell ref="AA7:AA9"/>
    <mergeCell ref="AB7:AB9"/>
    <mergeCell ref="R30:R31"/>
    <mergeCell ref="S30:S31"/>
    <mergeCell ref="T30:T31"/>
    <mergeCell ref="U30:U31"/>
    <mergeCell ref="N38:Q38"/>
    <mergeCell ref="AC7:AC9"/>
    <mergeCell ref="M5:M6"/>
    <mergeCell ref="N5:N6"/>
    <mergeCell ref="I30:I31"/>
    <mergeCell ref="J30:J31"/>
    <mergeCell ref="K30:K31"/>
    <mergeCell ref="L30:L31"/>
    <mergeCell ref="M30:M31"/>
    <mergeCell ref="N30:N31"/>
    <mergeCell ref="C1:F1"/>
    <mergeCell ref="C3:D4"/>
    <mergeCell ref="E3:H4"/>
    <mergeCell ref="I3:L4"/>
    <mergeCell ref="M3:N4"/>
  </mergeCells>
  <conditionalFormatting sqref="N32:N33 N7:N30">
    <cfRule type="cellIs" dxfId="34" priority="12" stopIfTrue="1" operator="greaterThan">
      <formula>1.06</formula>
    </cfRule>
  </conditionalFormatting>
  <conditionalFormatting sqref="Q7:Q34">
    <cfRule type="cellIs" dxfId="33" priority="4" operator="greaterThan">
      <formula>260</formula>
    </cfRule>
  </conditionalFormatting>
  <conditionalFormatting sqref="W20:Y25">
    <cfRule type="cellIs" dxfId="32" priority="3" stopIfTrue="1" operator="between">
      <formula>1</formula>
      <formula>1.33</formula>
    </cfRule>
  </conditionalFormatting>
  <conditionalFormatting sqref="W20:Y25">
    <cfRule type="cellIs" dxfId="31" priority="2" stopIfTrue="1" operator="between">
      <formula>1</formula>
      <formula>1.33</formula>
    </cfRule>
  </conditionalFormatting>
  <conditionalFormatting sqref="W23:Y23">
    <cfRule type="cellIs" dxfId="30" priority="1" stopIfTrue="1" operator="between">
      <formula>1</formula>
      <formula>1.33</formula>
    </cfRule>
  </conditionalFormatting>
  <pageMargins left="0.7" right="0.7" top="0.75" bottom="0.75" header="0.3" footer="0.3"/>
  <pageSetup scale="39"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8F933-AD3D-4CEF-BE9B-949CF6BC39C5}">
  <sheetPr>
    <pageSetUpPr fitToPage="1"/>
  </sheetPr>
  <dimension ref="A1:AK49"/>
  <sheetViews>
    <sheetView showGridLines="0" view="pageBreakPreview" topLeftCell="B1" zoomScale="64" zoomScaleNormal="70" zoomScaleSheetLayoutView="110" workbookViewId="0">
      <selection activeCell="R26" sqref="R26:V26"/>
    </sheetView>
  </sheetViews>
  <sheetFormatPr defaultColWidth="8.42578125" defaultRowHeight="12.75" x14ac:dyDescent="0.25"/>
  <cols>
    <col min="1" max="1" width="0.42578125" style="59" hidden="1" customWidth="1"/>
    <col min="2" max="2" width="2.42578125" style="59" customWidth="1"/>
    <col min="3" max="3" width="6.42578125" style="59" customWidth="1"/>
    <col min="4" max="4" width="18.42578125" style="59" customWidth="1"/>
    <col min="5" max="6" width="6.42578125" style="59" customWidth="1"/>
    <col min="7" max="7" width="18.42578125" style="59" customWidth="1"/>
    <col min="8" max="8" width="6.42578125" style="59" customWidth="1"/>
    <col min="9" max="12" width="12.7109375" style="59" customWidth="1"/>
    <col min="13" max="13" width="10.42578125" style="61" customWidth="1"/>
    <col min="14" max="22" width="10.42578125" style="59" customWidth="1"/>
    <col min="23" max="25" width="6.42578125" style="59" customWidth="1"/>
    <col min="26" max="27" width="8.42578125" style="59" customWidth="1"/>
    <col min="28" max="31" width="6.42578125" style="59" customWidth="1"/>
    <col min="32" max="32" width="16.42578125" style="59" customWidth="1"/>
    <col min="33" max="33" width="12.42578125" style="59" customWidth="1"/>
    <col min="34" max="16384" width="8.42578125" style="59"/>
  </cols>
  <sheetData>
    <row r="1" spans="1:37" ht="15.95" customHeight="1" x14ac:dyDescent="0.25">
      <c r="C1" s="646" t="s">
        <v>2265</v>
      </c>
      <c r="D1" s="646"/>
      <c r="E1" s="646"/>
      <c r="F1" s="646"/>
    </row>
    <row r="2" spans="1:37" ht="12.75" customHeight="1" thickBot="1" x14ac:dyDescent="0.3">
      <c r="C2" s="123"/>
      <c r="D2" s="123"/>
      <c r="E2" s="123"/>
      <c r="F2" s="123"/>
      <c r="G2" s="123"/>
      <c r="H2" s="123"/>
      <c r="I2" s="123"/>
      <c r="J2" s="123"/>
      <c r="K2" s="123"/>
    </row>
    <row r="3" spans="1:37" ht="12.75" customHeight="1" x14ac:dyDescent="0.25">
      <c r="C3" s="647" t="s">
        <v>2058</v>
      </c>
      <c r="D3" s="648"/>
      <c r="E3" s="647" t="s">
        <v>2059</v>
      </c>
      <c r="F3" s="651"/>
      <c r="G3" s="651"/>
      <c r="H3" s="648"/>
      <c r="I3" s="647" t="s">
        <v>2060</v>
      </c>
      <c r="J3" s="651"/>
      <c r="K3" s="651"/>
      <c r="L3" s="648"/>
      <c r="M3" s="651" t="s">
        <v>2061</v>
      </c>
      <c r="N3" s="651"/>
      <c r="O3" s="647" t="s">
        <v>4721</v>
      </c>
      <c r="P3" s="651"/>
      <c r="Q3" s="648"/>
      <c r="R3" s="881" t="s">
        <v>2062</v>
      </c>
      <c r="S3" s="882"/>
      <c r="T3" s="882"/>
      <c r="U3" s="882"/>
      <c r="V3" s="888"/>
      <c r="W3" s="722" t="s">
        <v>2494</v>
      </c>
      <c r="X3" s="723"/>
      <c r="Y3" s="724"/>
      <c r="Z3" s="685" t="s">
        <v>2438</v>
      </c>
      <c r="AA3" s="685"/>
      <c r="AB3" s="685"/>
      <c r="AC3" s="685"/>
      <c r="AD3" s="685"/>
      <c r="AE3" s="685"/>
      <c r="AF3" s="685"/>
      <c r="AG3" s="686"/>
    </row>
    <row r="4" spans="1:37" ht="12.75" customHeight="1" thickBot="1" x14ac:dyDescent="0.3">
      <c r="C4" s="649"/>
      <c r="D4" s="650"/>
      <c r="E4" s="649"/>
      <c r="F4" s="652"/>
      <c r="G4" s="652"/>
      <c r="H4" s="650"/>
      <c r="I4" s="649"/>
      <c r="J4" s="652"/>
      <c r="K4" s="652"/>
      <c r="L4" s="650"/>
      <c r="M4" s="652"/>
      <c r="N4" s="652"/>
      <c r="O4" s="649"/>
      <c r="P4" s="652"/>
      <c r="Q4" s="650"/>
      <c r="R4" s="883"/>
      <c r="S4" s="884"/>
      <c r="T4" s="884"/>
      <c r="U4" s="884"/>
      <c r="V4" s="889"/>
      <c r="W4" s="725"/>
      <c r="X4" s="726"/>
      <c r="Y4" s="727"/>
      <c r="Z4" s="688"/>
      <c r="AA4" s="688"/>
      <c r="AB4" s="688"/>
      <c r="AC4" s="688"/>
      <c r="AD4" s="688"/>
      <c r="AE4" s="688"/>
      <c r="AF4" s="688"/>
      <c r="AG4" s="689"/>
    </row>
    <row r="5" spans="1:37" ht="12.75" customHeight="1" x14ac:dyDescent="0.25">
      <c r="C5" s="64" t="s">
        <v>2063</v>
      </c>
      <c r="D5" s="65" t="s">
        <v>2064</v>
      </c>
      <c r="E5" s="66" t="s">
        <v>2065</v>
      </c>
      <c r="F5" s="67" t="s">
        <v>2066</v>
      </c>
      <c r="G5" s="67" t="s">
        <v>2066</v>
      </c>
      <c r="H5" s="68" t="s">
        <v>2067</v>
      </c>
      <c r="I5" s="193">
        <v>42736</v>
      </c>
      <c r="J5" s="69">
        <v>43107.708333333336</v>
      </c>
      <c r="K5" s="195">
        <v>43523.322916666664</v>
      </c>
      <c r="L5" s="71">
        <v>43847.756944444445</v>
      </c>
      <c r="M5" s="637" t="s">
        <v>2068</v>
      </c>
      <c r="N5" s="639" t="s">
        <v>2069</v>
      </c>
      <c r="O5" s="745" t="s">
        <v>2474</v>
      </c>
      <c r="P5" s="745" t="s">
        <v>2475</v>
      </c>
      <c r="Q5" s="765" t="s">
        <v>2476</v>
      </c>
      <c r="R5" s="190">
        <v>2017</v>
      </c>
      <c r="S5" s="191">
        <v>2018</v>
      </c>
      <c r="T5" s="190">
        <v>2019</v>
      </c>
      <c r="U5" s="192">
        <v>2020</v>
      </c>
      <c r="V5" s="192" t="s">
        <v>2430</v>
      </c>
      <c r="W5" s="716" t="s">
        <v>2496</v>
      </c>
      <c r="X5" s="714" t="s">
        <v>2495</v>
      </c>
      <c r="Y5" s="712" t="s">
        <v>2497</v>
      </c>
      <c r="Z5" s="378" t="s">
        <v>2458</v>
      </c>
      <c r="AA5" s="211" t="s">
        <v>2439</v>
      </c>
      <c r="AB5" s="690" t="s">
        <v>2440</v>
      </c>
      <c r="AC5" s="691"/>
      <c r="AD5" s="691"/>
      <c r="AE5" s="692"/>
      <c r="AF5" s="212" t="s">
        <v>2441</v>
      </c>
      <c r="AG5" s="693" t="s">
        <v>2442</v>
      </c>
      <c r="AH5" s="80"/>
      <c r="AI5" s="80"/>
      <c r="AJ5" s="80" t="s">
        <v>2494</v>
      </c>
      <c r="AK5" s="80"/>
    </row>
    <row r="6" spans="1:37" ht="12.75" customHeight="1" thickBot="1" x14ac:dyDescent="0.3">
      <c r="C6" s="72" t="s">
        <v>2070</v>
      </c>
      <c r="D6" s="73" t="s">
        <v>2071</v>
      </c>
      <c r="E6" s="72" t="s">
        <v>2072</v>
      </c>
      <c r="F6" s="74" t="s">
        <v>2073</v>
      </c>
      <c r="G6" s="74" t="s">
        <v>2074</v>
      </c>
      <c r="H6" s="75" t="s">
        <v>2072</v>
      </c>
      <c r="I6" s="76" t="s">
        <v>2075</v>
      </c>
      <c r="J6" s="454" t="s">
        <v>2169</v>
      </c>
      <c r="K6" s="461" t="s">
        <v>2077</v>
      </c>
      <c r="L6" s="76" t="s">
        <v>3659</v>
      </c>
      <c r="M6" s="638"/>
      <c r="N6" s="640"/>
      <c r="O6" s="746"/>
      <c r="P6" s="746"/>
      <c r="Q6" s="766"/>
      <c r="R6" s="77" t="s">
        <v>2078</v>
      </c>
      <c r="S6" s="78" t="s">
        <v>2078</v>
      </c>
      <c r="T6" s="77" t="s">
        <v>2078</v>
      </c>
      <c r="U6" s="79" t="s">
        <v>2078</v>
      </c>
      <c r="V6" s="79" t="s">
        <v>2078</v>
      </c>
      <c r="W6" s="717"/>
      <c r="X6" s="715"/>
      <c r="Y6" s="713"/>
      <c r="Z6" s="379" t="s">
        <v>2443</v>
      </c>
      <c r="AA6" s="214" t="s">
        <v>2444</v>
      </c>
      <c r="AB6" s="72" t="s">
        <v>2445</v>
      </c>
      <c r="AC6" s="215" t="s">
        <v>2446</v>
      </c>
      <c r="AD6" s="215" t="s">
        <v>2447</v>
      </c>
      <c r="AE6" s="75" t="s">
        <v>2448</v>
      </c>
      <c r="AF6" s="216" t="s">
        <v>2449</v>
      </c>
      <c r="AG6" s="694"/>
      <c r="AH6" s="80"/>
      <c r="AI6" s="80" t="s">
        <v>2500</v>
      </c>
      <c r="AJ6" s="80" t="s">
        <v>2498</v>
      </c>
      <c r="AK6" s="80" t="s">
        <v>2473</v>
      </c>
    </row>
    <row r="7" spans="1:37" ht="12.75" customHeight="1" thickTop="1" x14ac:dyDescent="0.25">
      <c r="A7" s="80">
        <v>1</v>
      </c>
      <c r="B7" s="80"/>
      <c r="C7" s="163" t="s">
        <v>2266</v>
      </c>
      <c r="D7" s="82" t="s">
        <v>2267</v>
      </c>
      <c r="E7" s="81">
        <v>69</v>
      </c>
      <c r="F7" s="83" t="s">
        <v>2107</v>
      </c>
      <c r="G7" s="83" t="s">
        <v>2268</v>
      </c>
      <c r="H7" s="148">
        <v>25</v>
      </c>
      <c r="I7" s="88">
        <v>6</v>
      </c>
      <c r="J7" s="457">
        <v>4.0999999999999996</v>
      </c>
      <c r="K7" s="463">
        <v>4.5227744518983535</v>
      </c>
      <c r="L7" s="85">
        <v>2.6768339999481277</v>
      </c>
      <c r="M7" s="132">
        <f>+VALUE(RIGHT(G7,2))</f>
        <v>20</v>
      </c>
      <c r="N7" s="90">
        <f>MAX(I7:L7)/M7</f>
        <v>0.3</v>
      </c>
      <c r="O7" s="273">
        <v>2</v>
      </c>
      <c r="P7" s="271">
        <f>+MAX(I7:L7)/O7</f>
        <v>3</v>
      </c>
      <c r="Q7" s="271">
        <f>((P7*1000)/(H7*SQRT(3)))</f>
        <v>69.282032302755098</v>
      </c>
      <c r="R7" s="396">
        <f t="shared" ref="R7:U10" si="0">IF($Q7&gt;260,I7,IF(OR(I7="-",I7&lt;($M7*1.06)),0,I7))</f>
        <v>0</v>
      </c>
      <c r="S7" s="396">
        <f t="shared" si="0"/>
        <v>0</v>
      </c>
      <c r="T7" s="396">
        <f t="shared" si="0"/>
        <v>0</v>
      </c>
      <c r="U7" s="396">
        <f t="shared" si="0"/>
        <v>0</v>
      </c>
      <c r="V7" s="91">
        <f>+MAX(R7:U7)</f>
        <v>0</v>
      </c>
      <c r="W7" s="718" t="s">
        <v>2014</v>
      </c>
      <c r="X7" s="354" t="s">
        <v>2014</v>
      </c>
      <c r="Y7" s="355" t="s">
        <v>2014</v>
      </c>
      <c r="Z7" s="812" t="s">
        <v>2450</v>
      </c>
      <c r="AA7" s="707">
        <v>556</v>
      </c>
      <c r="AB7" s="704"/>
      <c r="AC7" s="704">
        <v>2</v>
      </c>
      <c r="AD7" s="704"/>
      <c r="AE7" s="707"/>
      <c r="AF7" s="802">
        <f>165+242</f>
        <v>407</v>
      </c>
      <c r="AG7" s="679" t="s">
        <v>2092</v>
      </c>
      <c r="AH7" s="80"/>
      <c r="AI7" s="750">
        <f>+IF(W7="y",1,0)</f>
        <v>1</v>
      </c>
      <c r="AJ7" s="80">
        <f>+IF(X7="y",1,0)</f>
        <v>1</v>
      </c>
      <c r="AK7" s="80">
        <f>+IF(Y7="y",O7,0)</f>
        <v>2</v>
      </c>
    </row>
    <row r="8" spans="1:37" ht="12.75" customHeight="1" x14ac:dyDescent="0.25">
      <c r="A8" s="80">
        <f>1+A7</f>
        <v>2</v>
      </c>
      <c r="B8" s="80"/>
      <c r="C8" s="164" t="s">
        <v>2266</v>
      </c>
      <c r="D8" s="93" t="s">
        <v>2267</v>
      </c>
      <c r="E8" s="92">
        <v>69</v>
      </c>
      <c r="F8" s="94" t="s">
        <v>2212</v>
      </c>
      <c r="G8" s="94" t="s">
        <v>2178</v>
      </c>
      <c r="H8" s="155">
        <v>12.47</v>
      </c>
      <c r="I8" s="88">
        <v>7.56</v>
      </c>
      <c r="J8" s="457">
        <v>12.94</v>
      </c>
      <c r="K8" s="463">
        <v>13.300722723177039</v>
      </c>
      <c r="L8" s="85">
        <v>13.542446271336571</v>
      </c>
      <c r="M8" s="136">
        <f>+VALUE(RIGHT(G8,4))</f>
        <v>14.9</v>
      </c>
      <c r="N8" s="90">
        <f>MAX(I8:L8)/M8</f>
        <v>0.90888901149909873</v>
      </c>
      <c r="O8" s="273">
        <v>3</v>
      </c>
      <c r="P8" s="271">
        <f>+MAX(I8:L8)/O8</f>
        <v>4.5141487571121903</v>
      </c>
      <c r="Q8" s="271">
        <f>((P8*1000)/(H8*SQRT(3)))</f>
        <v>209.00120289340322</v>
      </c>
      <c r="R8" s="396">
        <f t="shared" si="0"/>
        <v>0</v>
      </c>
      <c r="S8" s="396">
        <f t="shared" si="0"/>
        <v>0</v>
      </c>
      <c r="T8" s="396">
        <f t="shared" si="0"/>
        <v>0</v>
      </c>
      <c r="U8" s="396">
        <f t="shared" si="0"/>
        <v>0</v>
      </c>
      <c r="V8" s="91">
        <f t="shared" ref="V8:V24" si="1">+MAX(R8:U8)</f>
        <v>0</v>
      </c>
      <c r="W8" s="719"/>
      <c r="X8" s="361" t="s">
        <v>2014</v>
      </c>
      <c r="Y8" s="376" t="s">
        <v>2014</v>
      </c>
      <c r="Z8" s="813"/>
      <c r="AA8" s="708"/>
      <c r="AB8" s="705"/>
      <c r="AC8" s="705"/>
      <c r="AD8" s="705"/>
      <c r="AE8" s="708"/>
      <c r="AF8" s="815"/>
      <c r="AG8" s="680"/>
      <c r="AH8" s="80"/>
      <c r="AI8" s="750"/>
      <c r="AJ8" s="80">
        <f t="shared" ref="AJ8:AJ24" si="2">+IF(X8="y",1,0)</f>
        <v>1</v>
      </c>
      <c r="AK8" s="80">
        <f>+IF(Y8="y",O8,0)</f>
        <v>3</v>
      </c>
    </row>
    <row r="9" spans="1:37" ht="12.75" customHeight="1" x14ac:dyDescent="0.25">
      <c r="A9" s="80">
        <f>1+A8</f>
        <v>3</v>
      </c>
      <c r="B9" s="80"/>
      <c r="C9" s="164" t="s">
        <v>2266</v>
      </c>
      <c r="D9" s="93" t="s">
        <v>2267</v>
      </c>
      <c r="E9" s="92">
        <v>69</v>
      </c>
      <c r="F9" s="94" t="s">
        <v>2269</v>
      </c>
      <c r="G9" s="94" t="s">
        <v>2094</v>
      </c>
      <c r="H9" s="151">
        <v>13.2</v>
      </c>
      <c r="I9" s="88">
        <v>8.6300000000000008</v>
      </c>
      <c r="J9" s="457">
        <v>0</v>
      </c>
      <c r="K9" s="463">
        <v>2.1916364441214251E-6</v>
      </c>
      <c r="L9" s="85">
        <v>9.92</v>
      </c>
      <c r="M9" s="136">
        <f>+VALUE(RIGHT(G9,2))</f>
        <v>28</v>
      </c>
      <c r="N9" s="90">
        <f>MAX(I9:L9)/M9</f>
        <v>0.35428571428571426</v>
      </c>
      <c r="O9" s="273">
        <v>3</v>
      </c>
      <c r="P9" s="271">
        <f>+MAX(I9:L9)/O9</f>
        <v>3.3066666666666666</v>
      </c>
      <c r="Q9" s="271">
        <f>((P9*1000)/(H9*SQRT(3)))</f>
        <v>144.62915834245172</v>
      </c>
      <c r="R9" s="396">
        <f t="shared" si="0"/>
        <v>0</v>
      </c>
      <c r="S9" s="396">
        <f t="shared" si="0"/>
        <v>0</v>
      </c>
      <c r="T9" s="396">
        <f t="shared" si="0"/>
        <v>0</v>
      </c>
      <c r="U9" s="396">
        <f t="shared" si="0"/>
        <v>0</v>
      </c>
      <c r="V9" s="91">
        <f t="shared" si="1"/>
        <v>0</v>
      </c>
      <c r="W9" s="720"/>
      <c r="X9" s="361" t="s">
        <v>2014</v>
      </c>
      <c r="Y9" s="376" t="s">
        <v>2014</v>
      </c>
      <c r="Z9" s="814"/>
      <c r="AA9" s="709"/>
      <c r="AB9" s="706"/>
      <c r="AC9" s="706"/>
      <c r="AD9" s="706"/>
      <c r="AE9" s="709"/>
      <c r="AF9" s="803"/>
      <c r="AG9" s="681"/>
      <c r="AH9" s="80"/>
      <c r="AI9" s="750"/>
      <c r="AJ9" s="80">
        <f t="shared" si="2"/>
        <v>1</v>
      </c>
      <c r="AK9" s="80">
        <f>+IF(Y9="y",O9,0)</f>
        <v>3</v>
      </c>
    </row>
    <row r="10" spans="1:37" ht="12.75" customHeight="1" x14ac:dyDescent="0.25">
      <c r="A10" s="80" t="e">
        <f>1+#REF!</f>
        <v>#REF!</v>
      </c>
      <c r="B10" s="80"/>
      <c r="C10" s="164" t="s">
        <v>2270</v>
      </c>
      <c r="D10" s="93" t="s">
        <v>2271</v>
      </c>
      <c r="E10" s="92">
        <v>69</v>
      </c>
      <c r="F10" s="94" t="s">
        <v>2102</v>
      </c>
      <c r="G10" s="94" t="s">
        <v>2272</v>
      </c>
      <c r="H10" s="155">
        <v>12.47</v>
      </c>
      <c r="I10" s="756">
        <v>33.409999999999997</v>
      </c>
      <c r="J10" s="807">
        <v>33.43</v>
      </c>
      <c r="K10" s="808">
        <v>34.452054195486987</v>
      </c>
      <c r="L10" s="808">
        <v>24.692239804855078</v>
      </c>
      <c r="M10" s="810">
        <f>+VALUE(RIGHT(G10,4))++VALUE(RIGHT(G11,4))</f>
        <v>47</v>
      </c>
      <c r="N10" s="754">
        <f>MAX(I10:L10)/M10</f>
        <v>0.73302242969121245</v>
      </c>
      <c r="O10" s="674">
        <v>8</v>
      </c>
      <c r="P10" s="672">
        <f>+MAX(I10:L10)/O10</f>
        <v>4.3065067744358734</v>
      </c>
      <c r="Q10" s="672">
        <f>((P10*1000)/(H10*SQRT(3)))</f>
        <v>199.38755777766627</v>
      </c>
      <c r="R10" s="653">
        <f t="shared" si="0"/>
        <v>0</v>
      </c>
      <c r="S10" s="653">
        <f t="shared" si="0"/>
        <v>0</v>
      </c>
      <c r="T10" s="653">
        <f t="shared" si="0"/>
        <v>0</v>
      </c>
      <c r="U10" s="653">
        <f t="shared" si="0"/>
        <v>0</v>
      </c>
      <c r="V10" s="653">
        <f t="shared" si="1"/>
        <v>0</v>
      </c>
      <c r="W10" s="643" t="s">
        <v>2014</v>
      </c>
      <c r="X10" s="338" t="s">
        <v>2013</v>
      </c>
      <c r="Y10" s="135" t="s">
        <v>2013</v>
      </c>
      <c r="Z10" s="812" t="s">
        <v>2450</v>
      </c>
      <c r="AA10" s="707" t="s">
        <v>2463</v>
      </c>
      <c r="AB10" s="701">
        <v>3</v>
      </c>
      <c r="AC10" s="704"/>
      <c r="AD10" s="704"/>
      <c r="AE10" s="707"/>
      <c r="AF10" s="802">
        <f>60+45+82</f>
        <v>187</v>
      </c>
      <c r="AG10" s="816" t="s">
        <v>2092</v>
      </c>
      <c r="AH10" s="80"/>
      <c r="AI10" s="750">
        <f>+IF(W10="y",1,0)</f>
        <v>1</v>
      </c>
      <c r="AJ10" s="80">
        <f t="shared" si="2"/>
        <v>0</v>
      </c>
      <c r="AK10" s="750">
        <f>+IF(Y10="y",O10,0)</f>
        <v>0</v>
      </c>
    </row>
    <row r="11" spans="1:37" ht="12.75" customHeight="1" x14ac:dyDescent="0.25">
      <c r="A11" s="80" t="e">
        <f>1+A10</f>
        <v>#REF!</v>
      </c>
      <c r="B11" s="80"/>
      <c r="C11" s="164" t="s">
        <v>2270</v>
      </c>
      <c r="D11" s="93" t="s">
        <v>2271</v>
      </c>
      <c r="E11" s="92">
        <v>69</v>
      </c>
      <c r="F11" s="94" t="s">
        <v>2121</v>
      </c>
      <c r="G11" s="94" t="s">
        <v>2091</v>
      </c>
      <c r="H11" s="155">
        <v>12.47</v>
      </c>
      <c r="I11" s="757"/>
      <c r="J11" s="642"/>
      <c r="K11" s="809"/>
      <c r="L11" s="809"/>
      <c r="M11" s="811"/>
      <c r="N11" s="755"/>
      <c r="O11" s="675"/>
      <c r="P11" s="673"/>
      <c r="Q11" s="673"/>
      <c r="R11" s="654"/>
      <c r="S11" s="654"/>
      <c r="T11" s="654"/>
      <c r="U11" s="654"/>
      <c r="V11" s="654"/>
      <c r="W11" s="643"/>
      <c r="X11" s="338" t="s">
        <v>2013</v>
      </c>
      <c r="Y11" s="135" t="s">
        <v>2013</v>
      </c>
      <c r="Z11" s="814"/>
      <c r="AA11" s="709"/>
      <c r="AB11" s="703"/>
      <c r="AC11" s="706"/>
      <c r="AD11" s="706"/>
      <c r="AE11" s="709"/>
      <c r="AF11" s="803"/>
      <c r="AG11" s="711"/>
      <c r="AH11" s="80"/>
      <c r="AI11" s="750"/>
      <c r="AJ11" s="80">
        <f t="shared" si="2"/>
        <v>0</v>
      </c>
      <c r="AK11" s="750"/>
    </row>
    <row r="12" spans="1:37" x14ac:dyDescent="0.25">
      <c r="A12" s="80" t="e">
        <f>1+#REF!</f>
        <v>#REF!</v>
      </c>
      <c r="B12" s="80"/>
      <c r="C12" s="164" t="s">
        <v>2273</v>
      </c>
      <c r="D12" s="93" t="s">
        <v>2274</v>
      </c>
      <c r="E12" s="92">
        <v>69</v>
      </c>
      <c r="F12" s="94" t="s">
        <v>2090</v>
      </c>
      <c r="G12" s="94" t="s">
        <v>2275</v>
      </c>
      <c r="H12" s="100">
        <v>4.16</v>
      </c>
      <c r="I12" s="88">
        <v>3.89</v>
      </c>
      <c r="J12" s="457">
        <v>7.0232488269237132</v>
      </c>
      <c r="K12" s="463">
        <v>2.8563326209533555</v>
      </c>
      <c r="L12" s="488">
        <v>0.4001772975336062</v>
      </c>
      <c r="M12" s="136">
        <f>+VALUE(RIGHT(G12,2))</f>
        <v>10</v>
      </c>
      <c r="N12" s="90">
        <f t="shared" ref="N12:N23" si="3">MAX(I12:L12)/M12</f>
        <v>0.70232488269237137</v>
      </c>
      <c r="O12" s="489">
        <v>3</v>
      </c>
      <c r="P12" s="490">
        <f>+(L12)/O12</f>
        <v>0.13339243251120206</v>
      </c>
      <c r="Q12" s="490">
        <f t="shared" ref="Q12:Q24" si="4">((P12*1000)/(H12*SQRT(3)))</f>
        <v>18.51301846591382</v>
      </c>
      <c r="R12" s="396">
        <f t="shared" ref="R12:R23" si="5">IF($Q12&gt;260,I12,IF(OR(I12="-",I12&lt;($M12*1.06)),0,I12))</f>
        <v>0</v>
      </c>
      <c r="S12" s="396">
        <f t="shared" ref="S12:S23" si="6">IF($Q12&gt;260,J12,IF(OR(J12="-",J12&lt;($M12*1.06)),0,J12))</f>
        <v>0</v>
      </c>
      <c r="T12" s="396">
        <f t="shared" ref="T12:T23" si="7">IF($Q12&gt;260,K12,IF(OR(K12="-",K12&lt;($M12*1.06)),0,K12))</f>
        <v>0</v>
      </c>
      <c r="U12" s="396">
        <f t="shared" ref="U12:U23" si="8">IF($Q12&gt;260,L12,IF(OR(L12="-",L12&lt;($M12*1.06)),0,L12))</f>
        <v>0</v>
      </c>
      <c r="V12" s="91">
        <f t="shared" si="1"/>
        <v>0</v>
      </c>
      <c r="W12" s="347" t="s">
        <v>2013</v>
      </c>
      <c r="X12" s="361" t="s">
        <v>2013</v>
      </c>
      <c r="Y12" s="376" t="s">
        <v>2013</v>
      </c>
      <c r="Z12" s="150" t="s">
        <v>2450</v>
      </c>
      <c r="AA12" s="220">
        <v>556</v>
      </c>
      <c r="AB12" s="221">
        <v>2</v>
      </c>
      <c r="AC12" s="220"/>
      <c r="AD12" s="220"/>
      <c r="AE12" s="222"/>
      <c r="AF12" s="223">
        <f>82+82</f>
        <v>164</v>
      </c>
      <c r="AG12" s="239" t="s">
        <v>2092</v>
      </c>
      <c r="AH12" s="80"/>
      <c r="AI12" s="80">
        <f>+IF(W12="y",1,0)</f>
        <v>0</v>
      </c>
      <c r="AJ12" s="80">
        <f t="shared" si="2"/>
        <v>0</v>
      </c>
      <c r="AK12" s="80">
        <f t="shared" ref="AK12:AK24" si="9">+IF(Y12="y",O12,0)</f>
        <v>0</v>
      </c>
    </row>
    <row r="13" spans="1:37" ht="12.75" customHeight="1" x14ac:dyDescent="0.25">
      <c r="A13" s="80" t="e">
        <f>1+A12</f>
        <v>#REF!</v>
      </c>
      <c r="B13" s="80"/>
      <c r="C13" s="164" t="s">
        <v>2276</v>
      </c>
      <c r="D13" s="93" t="s">
        <v>2277</v>
      </c>
      <c r="E13" s="92">
        <v>69</v>
      </c>
      <c r="F13" s="94" t="s">
        <v>2097</v>
      </c>
      <c r="G13" s="94" t="s">
        <v>2178</v>
      </c>
      <c r="H13" s="155">
        <v>12.47</v>
      </c>
      <c r="I13" s="88">
        <v>7.54</v>
      </c>
      <c r="J13" s="97">
        <v>10.232694971394158</v>
      </c>
      <c r="K13" s="463">
        <v>8.2735151779338576</v>
      </c>
      <c r="L13" s="85">
        <v>1.3109256298514684</v>
      </c>
      <c r="M13" s="136">
        <f t="shared" ref="M13:M18" si="10">+VALUE(RIGHT(G13,4))</f>
        <v>14.9</v>
      </c>
      <c r="N13" s="90">
        <f t="shared" si="3"/>
        <v>0.68675805177142002</v>
      </c>
      <c r="O13" s="286">
        <v>3</v>
      </c>
      <c r="P13" s="271">
        <f t="shared" ref="P13:P24" si="11">+MAX(I13:L13)/O13</f>
        <v>3.4108983237980528</v>
      </c>
      <c r="Q13" s="271">
        <f t="shared" si="4"/>
        <v>157.92165721116675</v>
      </c>
      <c r="R13" s="396">
        <f t="shared" si="5"/>
        <v>0</v>
      </c>
      <c r="S13" s="396">
        <f t="shared" si="6"/>
        <v>0</v>
      </c>
      <c r="T13" s="396">
        <f t="shared" si="7"/>
        <v>0</v>
      </c>
      <c r="U13" s="396">
        <f t="shared" si="8"/>
        <v>0</v>
      </c>
      <c r="V13" s="91">
        <f t="shared" si="1"/>
        <v>0</v>
      </c>
      <c r="W13" s="719" t="s">
        <v>2013</v>
      </c>
      <c r="X13" s="361" t="s">
        <v>2013</v>
      </c>
      <c r="Y13" s="376" t="s">
        <v>2013</v>
      </c>
      <c r="Z13" s="812" t="s">
        <v>2450</v>
      </c>
      <c r="AA13" s="707" t="s">
        <v>2464</v>
      </c>
      <c r="AB13" s="704">
        <v>2</v>
      </c>
      <c r="AC13" s="704"/>
      <c r="AD13" s="704"/>
      <c r="AE13" s="707"/>
      <c r="AF13" s="802">
        <f>82+34</f>
        <v>116</v>
      </c>
      <c r="AG13" s="781" t="s">
        <v>2092</v>
      </c>
      <c r="AH13" s="80"/>
      <c r="AI13" s="750">
        <f>+IF(W13="y",1,0)</f>
        <v>0</v>
      </c>
      <c r="AJ13" s="80">
        <f t="shared" si="2"/>
        <v>0</v>
      </c>
      <c r="AK13" s="80">
        <f t="shared" si="9"/>
        <v>0</v>
      </c>
    </row>
    <row r="14" spans="1:37" ht="12.75" customHeight="1" x14ac:dyDescent="0.25">
      <c r="A14" s="80" t="e">
        <f>1+A13</f>
        <v>#REF!</v>
      </c>
      <c r="B14" s="80"/>
      <c r="C14" s="164" t="s">
        <v>2276</v>
      </c>
      <c r="D14" s="93" t="s">
        <v>2277</v>
      </c>
      <c r="E14" s="92">
        <v>69</v>
      </c>
      <c r="F14" s="94" t="s">
        <v>2102</v>
      </c>
      <c r="G14" s="94" t="s">
        <v>2178</v>
      </c>
      <c r="H14" s="155">
        <v>12.47</v>
      </c>
      <c r="I14" s="88">
        <v>9.42</v>
      </c>
      <c r="J14" s="97">
        <v>12.784083107497741</v>
      </c>
      <c r="K14" s="463">
        <v>11.720813168739632</v>
      </c>
      <c r="L14" s="85">
        <v>1.5179138871964371</v>
      </c>
      <c r="M14" s="136">
        <f t="shared" si="10"/>
        <v>14.9</v>
      </c>
      <c r="N14" s="90">
        <f t="shared" si="3"/>
        <v>0.85799215486562019</v>
      </c>
      <c r="O14" s="286">
        <v>3</v>
      </c>
      <c r="P14" s="271">
        <f t="shared" si="11"/>
        <v>4.2613610358325804</v>
      </c>
      <c r="Q14" s="271">
        <f t="shared" si="4"/>
        <v>197.29734892960087</v>
      </c>
      <c r="R14" s="396">
        <f t="shared" si="5"/>
        <v>0</v>
      </c>
      <c r="S14" s="396">
        <f t="shared" si="6"/>
        <v>0</v>
      </c>
      <c r="T14" s="396">
        <f t="shared" si="7"/>
        <v>0</v>
      </c>
      <c r="U14" s="396">
        <f t="shared" si="8"/>
        <v>0</v>
      </c>
      <c r="V14" s="91">
        <f t="shared" si="1"/>
        <v>0</v>
      </c>
      <c r="W14" s="719"/>
      <c r="X14" s="361" t="s">
        <v>2013</v>
      </c>
      <c r="Y14" s="376" t="s">
        <v>2013</v>
      </c>
      <c r="Z14" s="813"/>
      <c r="AA14" s="708"/>
      <c r="AB14" s="705"/>
      <c r="AC14" s="705"/>
      <c r="AD14" s="705"/>
      <c r="AE14" s="708"/>
      <c r="AF14" s="815"/>
      <c r="AG14" s="680"/>
      <c r="AH14" s="80"/>
      <c r="AI14" s="750"/>
      <c r="AJ14" s="80">
        <f t="shared" si="2"/>
        <v>0</v>
      </c>
      <c r="AK14" s="80">
        <f t="shared" si="9"/>
        <v>0</v>
      </c>
    </row>
    <row r="15" spans="1:37" ht="12.75" customHeight="1" x14ac:dyDescent="0.25">
      <c r="A15" s="80" t="e">
        <f>1+#REF!</f>
        <v>#REF!</v>
      </c>
      <c r="B15" s="80"/>
      <c r="C15" s="164" t="s">
        <v>2276</v>
      </c>
      <c r="D15" s="93" t="s">
        <v>2277</v>
      </c>
      <c r="E15" s="92">
        <v>69</v>
      </c>
      <c r="F15" s="94" t="s">
        <v>2121</v>
      </c>
      <c r="G15" s="94" t="s">
        <v>2187</v>
      </c>
      <c r="H15" s="151">
        <v>26.4</v>
      </c>
      <c r="I15" s="88">
        <v>16.25</v>
      </c>
      <c r="J15" s="97">
        <v>22.053221921108101</v>
      </c>
      <c r="K15" s="463">
        <v>15.660582301089088</v>
      </c>
      <c r="L15" s="85">
        <v>2.1802763107003371</v>
      </c>
      <c r="M15" s="136">
        <f t="shared" si="10"/>
        <v>25</v>
      </c>
      <c r="N15" s="90">
        <f t="shared" si="3"/>
        <v>0.88212887684432406</v>
      </c>
      <c r="O15" s="286">
        <v>2</v>
      </c>
      <c r="P15" s="271">
        <f t="shared" si="11"/>
        <v>11.02661096055405</v>
      </c>
      <c r="Q15" s="271">
        <f t="shared" si="4"/>
        <v>241.14457599716513</v>
      </c>
      <c r="R15" s="396">
        <f t="shared" si="5"/>
        <v>0</v>
      </c>
      <c r="S15" s="396">
        <f t="shared" si="6"/>
        <v>0</v>
      </c>
      <c r="T15" s="396">
        <f t="shared" si="7"/>
        <v>0</v>
      </c>
      <c r="U15" s="396">
        <f t="shared" si="8"/>
        <v>0</v>
      </c>
      <c r="V15" s="91">
        <f t="shared" si="1"/>
        <v>0</v>
      </c>
      <c r="W15" s="720"/>
      <c r="X15" s="361" t="s">
        <v>2013</v>
      </c>
      <c r="Y15" s="376" t="s">
        <v>2013</v>
      </c>
      <c r="Z15" s="814"/>
      <c r="AA15" s="709"/>
      <c r="AB15" s="706"/>
      <c r="AC15" s="706"/>
      <c r="AD15" s="706"/>
      <c r="AE15" s="709"/>
      <c r="AF15" s="803"/>
      <c r="AG15" s="681"/>
      <c r="AH15" s="80"/>
      <c r="AI15" s="750"/>
      <c r="AJ15" s="80">
        <f t="shared" si="2"/>
        <v>0</v>
      </c>
      <c r="AK15" s="80">
        <f t="shared" si="9"/>
        <v>0</v>
      </c>
    </row>
    <row r="16" spans="1:37" ht="12.75" customHeight="1" x14ac:dyDescent="0.25">
      <c r="A16" s="80" t="e">
        <f>1+A15</f>
        <v>#REF!</v>
      </c>
      <c r="B16" s="80"/>
      <c r="C16" s="164" t="s">
        <v>2278</v>
      </c>
      <c r="D16" s="93" t="s">
        <v>2279</v>
      </c>
      <c r="E16" s="92">
        <v>69</v>
      </c>
      <c r="F16" s="94" t="s">
        <v>2090</v>
      </c>
      <c r="G16" s="94" t="s">
        <v>2178</v>
      </c>
      <c r="H16" s="155">
        <v>12.47</v>
      </c>
      <c r="I16" s="165" t="s">
        <v>2092</v>
      </c>
      <c r="J16" s="457">
        <v>11.784805877057453</v>
      </c>
      <c r="K16" s="463">
        <v>9.5497871326852177</v>
      </c>
      <c r="L16" s="85">
        <v>10.870903682064256</v>
      </c>
      <c r="M16" s="136">
        <f t="shared" si="10"/>
        <v>14.9</v>
      </c>
      <c r="N16" s="90">
        <f t="shared" si="3"/>
        <v>0.79092656893003033</v>
      </c>
      <c r="O16" s="273">
        <v>3</v>
      </c>
      <c r="P16" s="271">
        <f t="shared" si="11"/>
        <v>3.9282686256858175</v>
      </c>
      <c r="Q16" s="271">
        <f t="shared" si="4"/>
        <v>181.87545697585148</v>
      </c>
      <c r="R16" s="396">
        <f t="shared" si="5"/>
        <v>0</v>
      </c>
      <c r="S16" s="396">
        <f t="shared" si="6"/>
        <v>0</v>
      </c>
      <c r="T16" s="396">
        <f t="shared" si="7"/>
        <v>0</v>
      </c>
      <c r="U16" s="396">
        <f t="shared" si="8"/>
        <v>0</v>
      </c>
      <c r="V16" s="91">
        <f t="shared" si="1"/>
        <v>0</v>
      </c>
      <c r="W16" s="349" t="s">
        <v>2013</v>
      </c>
      <c r="X16" s="361" t="s">
        <v>2013</v>
      </c>
      <c r="Y16" s="376" t="s">
        <v>2014</v>
      </c>
      <c r="Z16" s="150" t="s">
        <v>2450</v>
      </c>
      <c r="AA16" s="225" t="s">
        <v>2465</v>
      </c>
      <c r="AB16" s="223">
        <v>2</v>
      </c>
      <c r="AC16" s="225"/>
      <c r="AD16" s="225"/>
      <c r="AE16" s="226"/>
      <c r="AF16" s="223">
        <f>45+45</f>
        <v>90</v>
      </c>
      <c r="AG16" s="102" t="s">
        <v>2092</v>
      </c>
      <c r="AH16" s="80"/>
      <c r="AI16" s="80">
        <f>+IF(W16="y",1,0)</f>
        <v>0</v>
      </c>
      <c r="AJ16" s="80">
        <f t="shared" si="2"/>
        <v>0</v>
      </c>
      <c r="AK16" s="80">
        <f t="shared" si="9"/>
        <v>3</v>
      </c>
    </row>
    <row r="17" spans="1:37" ht="12.75" customHeight="1" x14ac:dyDescent="0.25">
      <c r="A17" s="80" t="e">
        <f>1+A16</f>
        <v>#REF!</v>
      </c>
      <c r="B17" s="80"/>
      <c r="C17" s="164" t="s">
        <v>2280</v>
      </c>
      <c r="D17" s="93" t="s">
        <v>2281</v>
      </c>
      <c r="E17" s="92">
        <v>69</v>
      </c>
      <c r="F17" s="94" t="s">
        <v>2090</v>
      </c>
      <c r="G17" s="94" t="s">
        <v>2122</v>
      </c>
      <c r="H17" s="155">
        <v>24.94</v>
      </c>
      <c r="I17" s="88">
        <v>9.02</v>
      </c>
      <c r="J17" s="457">
        <v>8.8098118905784304</v>
      </c>
      <c r="K17" s="463">
        <v>8.4421932908646458</v>
      </c>
      <c r="L17" s="85">
        <v>9.4644103082947435</v>
      </c>
      <c r="M17" s="136">
        <f t="shared" si="10"/>
        <v>11.2</v>
      </c>
      <c r="N17" s="90">
        <f t="shared" si="3"/>
        <v>0.84503663466917356</v>
      </c>
      <c r="O17" s="273">
        <v>2</v>
      </c>
      <c r="P17" s="271">
        <f t="shared" si="11"/>
        <v>4.7322051541473718</v>
      </c>
      <c r="Q17" s="271">
        <f t="shared" si="4"/>
        <v>109.54851321601924</v>
      </c>
      <c r="R17" s="396">
        <f t="shared" si="5"/>
        <v>0</v>
      </c>
      <c r="S17" s="396">
        <f t="shared" si="6"/>
        <v>0</v>
      </c>
      <c r="T17" s="396">
        <f t="shared" si="7"/>
        <v>0</v>
      </c>
      <c r="U17" s="396">
        <f t="shared" si="8"/>
        <v>0</v>
      </c>
      <c r="V17" s="91">
        <f t="shared" si="1"/>
        <v>0</v>
      </c>
      <c r="W17" s="349" t="s">
        <v>2013</v>
      </c>
      <c r="X17" s="361" t="s">
        <v>2013</v>
      </c>
      <c r="Y17" s="376" t="s">
        <v>2013</v>
      </c>
      <c r="Z17" s="150" t="s">
        <v>2024</v>
      </c>
      <c r="AA17" s="220" t="s">
        <v>2453</v>
      </c>
      <c r="AB17" s="223">
        <v>1</v>
      </c>
      <c r="AC17" s="225"/>
      <c r="AD17" s="225"/>
      <c r="AE17" s="226"/>
      <c r="AF17" s="223">
        <v>34</v>
      </c>
      <c r="AG17" s="224">
        <f>+MAX(I17:L17)/MIN(60,AF17)</f>
        <v>0.27836500906749245</v>
      </c>
      <c r="AH17" s="80"/>
      <c r="AI17" s="80">
        <f>+IF(W17="y",1,0)</f>
        <v>0</v>
      </c>
      <c r="AJ17" s="80">
        <f t="shared" si="2"/>
        <v>0</v>
      </c>
      <c r="AK17" s="80">
        <f t="shared" si="9"/>
        <v>0</v>
      </c>
    </row>
    <row r="18" spans="1:37" ht="12.75" customHeight="1" x14ac:dyDescent="0.25">
      <c r="A18" s="80" t="e">
        <f>1+A17</f>
        <v>#REF!</v>
      </c>
      <c r="B18" s="80"/>
      <c r="C18" s="164" t="s">
        <v>2282</v>
      </c>
      <c r="D18" s="93" t="s">
        <v>2283</v>
      </c>
      <c r="E18" s="92">
        <v>69</v>
      </c>
      <c r="F18" s="94" t="s">
        <v>2090</v>
      </c>
      <c r="G18" s="94" t="s">
        <v>2284</v>
      </c>
      <c r="H18" s="155">
        <v>12.47</v>
      </c>
      <c r="I18" s="88">
        <v>8.6959999999999997</v>
      </c>
      <c r="J18" s="97">
        <v>12.839281502313343</v>
      </c>
      <c r="K18" s="95">
        <v>11.162877619522817</v>
      </c>
      <c r="L18" s="95">
        <v>11.2</v>
      </c>
      <c r="M18" s="136">
        <f t="shared" si="10"/>
        <v>14.9</v>
      </c>
      <c r="N18" s="90">
        <f t="shared" si="3"/>
        <v>0.8616967451217008</v>
      </c>
      <c r="O18" s="286">
        <v>3</v>
      </c>
      <c r="P18" s="271">
        <f t="shared" si="11"/>
        <v>4.2797605007711139</v>
      </c>
      <c r="Q18" s="271">
        <f t="shared" si="4"/>
        <v>198.14922832296153</v>
      </c>
      <c r="R18" s="396">
        <f t="shared" si="5"/>
        <v>0</v>
      </c>
      <c r="S18" s="396">
        <f t="shared" si="6"/>
        <v>0</v>
      </c>
      <c r="T18" s="396">
        <f t="shared" si="7"/>
        <v>0</v>
      </c>
      <c r="U18" s="396">
        <f t="shared" si="8"/>
        <v>0</v>
      </c>
      <c r="V18" s="91">
        <f t="shared" si="1"/>
        <v>0</v>
      </c>
      <c r="W18" s="643" t="s">
        <v>2014</v>
      </c>
      <c r="X18" s="338" t="s">
        <v>2013</v>
      </c>
      <c r="Y18" s="135" t="s">
        <v>2013</v>
      </c>
      <c r="Z18" s="812" t="s">
        <v>2450</v>
      </c>
      <c r="AA18" s="707">
        <v>336</v>
      </c>
      <c r="AB18" s="701">
        <v>2</v>
      </c>
      <c r="AC18" s="704"/>
      <c r="AD18" s="704"/>
      <c r="AE18" s="707"/>
      <c r="AF18" s="802">
        <f>60+60</f>
        <v>120</v>
      </c>
      <c r="AG18" s="816" t="s">
        <v>2092</v>
      </c>
      <c r="AH18" s="80"/>
      <c r="AI18" s="750">
        <f>+IF(W18="y",1,0)</f>
        <v>1</v>
      </c>
      <c r="AJ18" s="80">
        <f t="shared" si="2"/>
        <v>0</v>
      </c>
      <c r="AK18" s="80">
        <f t="shared" si="9"/>
        <v>0</v>
      </c>
    </row>
    <row r="19" spans="1:37" ht="12.75" customHeight="1" x14ac:dyDescent="0.25">
      <c r="A19" s="80" t="e">
        <f>1+A18</f>
        <v>#REF!</v>
      </c>
      <c r="B19" s="80"/>
      <c r="C19" s="164" t="s">
        <v>2282</v>
      </c>
      <c r="D19" s="93" t="s">
        <v>2283</v>
      </c>
      <c r="E19" s="92">
        <v>69</v>
      </c>
      <c r="F19" s="94" t="s">
        <v>2093</v>
      </c>
      <c r="G19" s="94" t="s">
        <v>2094</v>
      </c>
      <c r="H19" s="100">
        <v>13.2</v>
      </c>
      <c r="I19" s="88">
        <v>13.35</v>
      </c>
      <c r="J19" s="457">
        <v>19.710718497686653</v>
      </c>
      <c r="K19" s="463">
        <v>17.137122380477184</v>
      </c>
      <c r="L19" s="463">
        <v>17.190000000000001</v>
      </c>
      <c r="M19" s="136">
        <f>+VALUE(RIGHT(G19,2))</f>
        <v>28</v>
      </c>
      <c r="N19" s="90">
        <f t="shared" si="3"/>
        <v>0.70395423206023755</v>
      </c>
      <c r="O19" s="273">
        <v>4</v>
      </c>
      <c r="P19" s="271">
        <f t="shared" si="11"/>
        <v>4.9276796244216632</v>
      </c>
      <c r="Q19" s="271">
        <f t="shared" si="4"/>
        <v>215.53008770000619</v>
      </c>
      <c r="R19" s="396">
        <f t="shared" si="5"/>
        <v>0</v>
      </c>
      <c r="S19" s="396">
        <f t="shared" si="6"/>
        <v>0</v>
      </c>
      <c r="T19" s="396">
        <f t="shared" si="7"/>
        <v>0</v>
      </c>
      <c r="U19" s="396">
        <f t="shared" si="8"/>
        <v>0</v>
      </c>
      <c r="V19" s="91">
        <f t="shared" si="1"/>
        <v>0</v>
      </c>
      <c r="W19" s="643"/>
      <c r="X19" s="338" t="s">
        <v>2013</v>
      </c>
      <c r="Y19" s="135" t="s">
        <v>2013</v>
      </c>
      <c r="Z19" s="814"/>
      <c r="AA19" s="709"/>
      <c r="AB19" s="703"/>
      <c r="AC19" s="706"/>
      <c r="AD19" s="706"/>
      <c r="AE19" s="709"/>
      <c r="AF19" s="803"/>
      <c r="AG19" s="711"/>
      <c r="AH19" s="80"/>
      <c r="AI19" s="750"/>
      <c r="AJ19" s="80">
        <f t="shared" si="2"/>
        <v>0</v>
      </c>
      <c r="AK19" s="80">
        <f t="shared" si="9"/>
        <v>0</v>
      </c>
    </row>
    <row r="20" spans="1:37" ht="12.75" customHeight="1" x14ac:dyDescent="0.25">
      <c r="A20" s="80" t="e">
        <f>1+#REF!</f>
        <v>#REF!</v>
      </c>
      <c r="B20" s="80"/>
      <c r="C20" s="164" t="s">
        <v>2285</v>
      </c>
      <c r="D20" s="93" t="s">
        <v>2286</v>
      </c>
      <c r="E20" s="92">
        <v>69</v>
      </c>
      <c r="F20" s="94" t="s">
        <v>2090</v>
      </c>
      <c r="G20" s="94" t="s">
        <v>2178</v>
      </c>
      <c r="H20" s="155">
        <v>12.47</v>
      </c>
      <c r="I20" s="88">
        <v>7.85</v>
      </c>
      <c r="J20" s="457">
        <v>8.1754782493328317</v>
      </c>
      <c r="K20" s="463">
        <v>5.0840077332644515</v>
      </c>
      <c r="L20" s="85">
        <v>5.6354463487037805</v>
      </c>
      <c r="M20" s="136">
        <f>+VALUE(RIGHT(G20,4))</f>
        <v>14.9</v>
      </c>
      <c r="N20" s="90">
        <f t="shared" si="3"/>
        <v>0.54868981539146522</v>
      </c>
      <c r="O20" s="273">
        <v>3</v>
      </c>
      <c r="P20" s="271">
        <f t="shared" si="11"/>
        <v>2.7251594164442774</v>
      </c>
      <c r="Q20" s="271">
        <f t="shared" si="4"/>
        <v>126.17253589965894</v>
      </c>
      <c r="R20" s="396">
        <f t="shared" si="5"/>
        <v>0</v>
      </c>
      <c r="S20" s="396">
        <f t="shared" si="6"/>
        <v>0</v>
      </c>
      <c r="T20" s="396">
        <f t="shared" si="7"/>
        <v>0</v>
      </c>
      <c r="U20" s="396">
        <f t="shared" si="8"/>
        <v>0</v>
      </c>
      <c r="V20" s="91">
        <f t="shared" si="1"/>
        <v>0</v>
      </c>
      <c r="W20" s="349" t="s">
        <v>2013</v>
      </c>
      <c r="X20" s="361" t="s">
        <v>2013</v>
      </c>
      <c r="Y20" s="376" t="s">
        <v>2013</v>
      </c>
      <c r="Z20" s="150" t="s">
        <v>2450</v>
      </c>
      <c r="AA20" s="225">
        <v>336</v>
      </c>
      <c r="AB20" s="223">
        <v>2</v>
      </c>
      <c r="AC20" s="225"/>
      <c r="AD20" s="225"/>
      <c r="AE20" s="226"/>
      <c r="AF20" s="223">
        <f>67+45</f>
        <v>112</v>
      </c>
      <c r="AG20" s="239" t="s">
        <v>2092</v>
      </c>
      <c r="AH20" s="80"/>
      <c r="AI20" s="80">
        <f>+IF(W20="y",1,0)</f>
        <v>0</v>
      </c>
      <c r="AJ20" s="80">
        <f t="shared" si="2"/>
        <v>0</v>
      </c>
      <c r="AK20" s="80">
        <f t="shared" si="9"/>
        <v>0</v>
      </c>
    </row>
    <row r="21" spans="1:37" ht="12.75" customHeight="1" x14ac:dyDescent="0.25">
      <c r="A21" s="80" t="e">
        <f>1+A20</f>
        <v>#REF!</v>
      </c>
      <c r="B21" s="80"/>
      <c r="C21" s="164" t="s">
        <v>2287</v>
      </c>
      <c r="D21" s="93" t="s">
        <v>2288</v>
      </c>
      <c r="E21" s="92">
        <v>69</v>
      </c>
      <c r="F21" s="94" t="s">
        <v>2090</v>
      </c>
      <c r="G21" s="94" t="s">
        <v>2094</v>
      </c>
      <c r="H21" s="100">
        <v>13.2</v>
      </c>
      <c r="I21" s="88">
        <v>8.6</v>
      </c>
      <c r="J21" s="457">
        <v>8.488483435539667</v>
      </c>
      <c r="K21" s="463">
        <v>7.227027438601568</v>
      </c>
      <c r="L21" s="85">
        <v>6.1909353233103701</v>
      </c>
      <c r="M21" s="136">
        <f>+VALUE(RIGHT(G21,2))</f>
        <v>28</v>
      </c>
      <c r="N21" s="90">
        <f t="shared" si="3"/>
        <v>0.30714285714285711</v>
      </c>
      <c r="O21" s="273">
        <v>3</v>
      </c>
      <c r="P21" s="271">
        <f t="shared" si="11"/>
        <v>2.8666666666666667</v>
      </c>
      <c r="Q21" s="271">
        <f t="shared" si="4"/>
        <v>125.3841493694642</v>
      </c>
      <c r="R21" s="396">
        <f t="shared" si="5"/>
        <v>0</v>
      </c>
      <c r="S21" s="396">
        <f t="shared" si="6"/>
        <v>0</v>
      </c>
      <c r="T21" s="396">
        <f t="shared" si="7"/>
        <v>0</v>
      </c>
      <c r="U21" s="396">
        <f t="shared" si="8"/>
        <v>0</v>
      </c>
      <c r="V21" s="91">
        <f t="shared" si="1"/>
        <v>0</v>
      </c>
      <c r="W21" s="349" t="s">
        <v>2013</v>
      </c>
      <c r="X21" s="361" t="s">
        <v>2013</v>
      </c>
      <c r="Y21" s="376" t="s">
        <v>2013</v>
      </c>
      <c r="Z21" s="150" t="s">
        <v>2450</v>
      </c>
      <c r="AA21" s="225">
        <v>336</v>
      </c>
      <c r="AB21" s="223">
        <v>2</v>
      </c>
      <c r="AC21" s="225"/>
      <c r="AD21" s="225"/>
      <c r="AE21" s="226"/>
      <c r="AF21" s="223">
        <f>60+60</f>
        <v>120</v>
      </c>
      <c r="AG21" s="239" t="s">
        <v>2092</v>
      </c>
      <c r="AH21" s="80"/>
      <c r="AI21" s="80">
        <f>+IF(W21="y",1,0)</f>
        <v>0</v>
      </c>
      <c r="AJ21" s="80">
        <f t="shared" si="2"/>
        <v>0</v>
      </c>
      <c r="AK21" s="80">
        <f t="shared" si="9"/>
        <v>0</v>
      </c>
    </row>
    <row r="22" spans="1:37" ht="12.75" customHeight="1" x14ac:dyDescent="0.25">
      <c r="A22" s="80" t="e">
        <f>1+A21</f>
        <v>#REF!</v>
      </c>
      <c r="B22" s="80"/>
      <c r="C22" s="164" t="s">
        <v>2289</v>
      </c>
      <c r="D22" s="93" t="s">
        <v>2290</v>
      </c>
      <c r="E22" s="92">
        <v>138</v>
      </c>
      <c r="F22" s="94" t="s">
        <v>2291</v>
      </c>
      <c r="G22" s="94" t="s">
        <v>2122</v>
      </c>
      <c r="H22" s="151">
        <v>26.4</v>
      </c>
      <c r="I22" s="88">
        <v>5.04</v>
      </c>
      <c r="J22" s="457">
        <v>5.9156582550038044</v>
      </c>
      <c r="K22" s="463">
        <v>5.4890860457639059</v>
      </c>
      <c r="L22" s="85">
        <v>5.3808371218797584</v>
      </c>
      <c r="M22" s="136">
        <f>+VALUE(RIGHT(G22,4))</f>
        <v>11.2</v>
      </c>
      <c r="N22" s="90">
        <f t="shared" si="3"/>
        <v>0.52818377276819684</v>
      </c>
      <c r="O22" s="273">
        <v>2</v>
      </c>
      <c r="P22" s="271">
        <f t="shared" si="11"/>
        <v>2.9578291275019022</v>
      </c>
      <c r="Q22" s="271">
        <f t="shared" si="4"/>
        <v>64.685736476520432</v>
      </c>
      <c r="R22" s="396">
        <f t="shared" si="5"/>
        <v>0</v>
      </c>
      <c r="S22" s="396">
        <f t="shared" si="6"/>
        <v>0</v>
      </c>
      <c r="T22" s="396">
        <f t="shared" si="7"/>
        <v>0</v>
      </c>
      <c r="U22" s="396">
        <f t="shared" si="8"/>
        <v>0</v>
      </c>
      <c r="V22" s="91">
        <f t="shared" si="1"/>
        <v>0</v>
      </c>
      <c r="W22" s="349" t="s">
        <v>2014</v>
      </c>
      <c r="X22" s="361" t="s">
        <v>2014</v>
      </c>
      <c r="Y22" s="376" t="s">
        <v>2013</v>
      </c>
      <c r="Z22" s="150" t="s">
        <v>2450</v>
      </c>
      <c r="AA22" s="220">
        <v>556</v>
      </c>
      <c r="AB22" s="223"/>
      <c r="AC22" s="225">
        <v>2</v>
      </c>
      <c r="AD22" s="225"/>
      <c r="AE22" s="226"/>
      <c r="AF22" s="223">
        <f>184+184</f>
        <v>368</v>
      </c>
      <c r="AG22" s="239" t="s">
        <v>2092</v>
      </c>
      <c r="AH22" s="80"/>
      <c r="AI22" s="80">
        <f>+IF(W22="y",1,0)</f>
        <v>1</v>
      </c>
      <c r="AJ22" s="80">
        <f t="shared" si="2"/>
        <v>1</v>
      </c>
      <c r="AK22" s="80">
        <f t="shared" si="9"/>
        <v>0</v>
      </c>
    </row>
    <row r="23" spans="1:37" ht="12.75" customHeight="1" x14ac:dyDescent="0.25">
      <c r="A23" s="80" t="e">
        <f>1+A22</f>
        <v>#REF!</v>
      </c>
      <c r="B23" s="80"/>
      <c r="C23" s="164" t="s">
        <v>2292</v>
      </c>
      <c r="D23" s="93" t="s">
        <v>2293</v>
      </c>
      <c r="E23" s="92">
        <v>138</v>
      </c>
      <c r="F23" s="94" t="s">
        <v>2081</v>
      </c>
      <c r="G23" s="94" t="s">
        <v>2101</v>
      </c>
      <c r="H23" s="100">
        <v>13.2</v>
      </c>
      <c r="I23" s="88">
        <v>10.95</v>
      </c>
      <c r="J23" s="457">
        <v>6.7837658076019931</v>
      </c>
      <c r="K23" s="463">
        <v>5.596082194381002</v>
      </c>
      <c r="L23" s="85">
        <v>7.1458589243457435</v>
      </c>
      <c r="M23" s="136">
        <f>+VALUE(RIGHT(G23,4))</f>
        <v>12.5</v>
      </c>
      <c r="N23" s="90">
        <f t="shared" si="3"/>
        <v>0.87599999999999989</v>
      </c>
      <c r="O23" s="273">
        <v>3</v>
      </c>
      <c r="P23" s="271">
        <f t="shared" si="11"/>
        <v>3.65</v>
      </c>
      <c r="Q23" s="271">
        <f t="shared" si="4"/>
        <v>159.6460971622829</v>
      </c>
      <c r="R23" s="396">
        <f t="shared" si="5"/>
        <v>0</v>
      </c>
      <c r="S23" s="396">
        <f t="shared" si="6"/>
        <v>0</v>
      </c>
      <c r="T23" s="396">
        <f t="shared" si="7"/>
        <v>0</v>
      </c>
      <c r="U23" s="396">
        <f t="shared" si="8"/>
        <v>0</v>
      </c>
      <c r="V23" s="91">
        <f t="shared" si="1"/>
        <v>0</v>
      </c>
      <c r="W23" s="349" t="s">
        <v>2013</v>
      </c>
      <c r="X23" s="361" t="s">
        <v>2013</v>
      </c>
      <c r="Y23" s="376" t="s">
        <v>2013</v>
      </c>
      <c r="Z23" s="150" t="s">
        <v>2024</v>
      </c>
      <c r="AA23" s="225">
        <v>336</v>
      </c>
      <c r="AB23" s="223"/>
      <c r="AC23" s="225">
        <v>1</v>
      </c>
      <c r="AD23" s="225"/>
      <c r="AE23" s="226"/>
      <c r="AF23" s="223">
        <v>60</v>
      </c>
      <c r="AG23" s="224">
        <f>+MAX(I23:L23)/MIN(60,AF23)</f>
        <v>0.1825</v>
      </c>
      <c r="AH23" s="80"/>
      <c r="AI23" s="80">
        <f>+IF(W23="y",1,0)</f>
        <v>0</v>
      </c>
      <c r="AJ23" s="80">
        <f t="shared" si="2"/>
        <v>0</v>
      </c>
      <c r="AK23" s="80">
        <f t="shared" si="9"/>
        <v>0</v>
      </c>
    </row>
    <row r="24" spans="1:37" ht="12.75" customHeight="1" x14ac:dyDescent="0.25">
      <c r="A24" s="80" t="e">
        <f>1+A23</f>
        <v>#REF!</v>
      </c>
      <c r="B24" s="80"/>
      <c r="C24" s="166" t="s">
        <v>2294</v>
      </c>
      <c r="D24" s="107" t="s">
        <v>2295</v>
      </c>
      <c r="E24" s="106">
        <v>138</v>
      </c>
      <c r="F24" s="108" t="s">
        <v>2081</v>
      </c>
      <c r="G24" s="108" t="s">
        <v>2187</v>
      </c>
      <c r="H24" s="158">
        <v>13.2</v>
      </c>
      <c r="I24" s="167" t="s">
        <v>2092</v>
      </c>
      <c r="J24" s="452" t="s">
        <v>2092</v>
      </c>
      <c r="K24" s="196" t="s">
        <v>2092</v>
      </c>
      <c r="L24" s="196">
        <v>11.95</v>
      </c>
      <c r="M24" s="136" t="s">
        <v>2092</v>
      </c>
      <c r="N24" s="90">
        <v>0</v>
      </c>
      <c r="O24" s="286">
        <v>4</v>
      </c>
      <c r="P24" s="271">
        <f t="shared" si="11"/>
        <v>2.9874999999999998</v>
      </c>
      <c r="Q24" s="271">
        <f t="shared" si="4"/>
        <v>130.66923706090964</v>
      </c>
      <c r="R24" s="396">
        <v>0</v>
      </c>
      <c r="S24" s="396">
        <v>0</v>
      </c>
      <c r="T24" s="396">
        <v>0</v>
      </c>
      <c r="U24" s="396">
        <v>0</v>
      </c>
      <c r="V24" s="91">
        <f t="shared" si="1"/>
        <v>0</v>
      </c>
      <c r="W24" s="347" t="s">
        <v>2014</v>
      </c>
      <c r="X24" s="361" t="s">
        <v>2014</v>
      </c>
      <c r="Y24" s="376" t="s">
        <v>2014</v>
      </c>
      <c r="Z24" s="150" t="s">
        <v>2450</v>
      </c>
      <c r="AA24" s="220">
        <v>556</v>
      </c>
      <c r="AB24" s="223"/>
      <c r="AC24" s="225">
        <v>2</v>
      </c>
      <c r="AD24" s="225"/>
      <c r="AE24" s="226"/>
      <c r="AF24" s="223">
        <f>242+242</f>
        <v>484</v>
      </c>
      <c r="AG24" s="239" t="s">
        <v>2092</v>
      </c>
      <c r="AH24" s="80"/>
      <c r="AI24" s="80">
        <f>+IF(W24="y",1,0)</f>
        <v>1</v>
      </c>
      <c r="AJ24" s="80">
        <f t="shared" si="2"/>
        <v>1</v>
      </c>
      <c r="AK24" s="80">
        <f t="shared" si="9"/>
        <v>4</v>
      </c>
    </row>
    <row r="25" spans="1:37" ht="13.35" customHeight="1" thickBot="1" x14ac:dyDescent="0.3">
      <c r="A25" s="80"/>
      <c r="B25" s="80"/>
      <c r="C25" s="111"/>
      <c r="D25" s="110"/>
      <c r="E25" s="111"/>
      <c r="F25" s="112"/>
      <c r="G25" s="112"/>
      <c r="H25" s="110"/>
      <c r="I25" s="469"/>
      <c r="J25" s="160"/>
      <c r="K25" s="172"/>
      <c r="L25" s="197"/>
      <c r="M25" s="142" t="str">
        <f>+RIGHT(G25,4)</f>
        <v/>
      </c>
      <c r="N25" s="287"/>
      <c r="O25" s="289"/>
      <c r="P25" s="285"/>
      <c r="Q25" s="285"/>
      <c r="R25" s="143" t="str">
        <f>+IF(OR(I25="-",I25&lt;$M25),0,$M25)</f>
        <v/>
      </c>
      <c r="S25" s="143" t="str">
        <f>+IF(OR(J25="-",J25&lt;$M25),0,$M25)</f>
        <v/>
      </c>
      <c r="T25" s="143" t="str">
        <f>+IF(OR(K25="-",K25&lt;$M25),0,$M25)</f>
        <v/>
      </c>
      <c r="U25" s="143" t="str">
        <f>+IF(OR(L25="-",L25&lt;$M25),0,$M25)</f>
        <v/>
      </c>
      <c r="V25" s="117"/>
      <c r="W25" s="371"/>
      <c r="X25" s="375"/>
      <c r="Y25" s="285"/>
      <c r="Z25" s="109"/>
      <c r="AA25" s="231"/>
      <c r="AB25" s="217"/>
      <c r="AC25" s="218"/>
      <c r="AD25" s="218"/>
      <c r="AE25" s="219"/>
      <c r="AF25" s="217"/>
      <c r="AG25" s="232"/>
      <c r="AH25" s="80"/>
      <c r="AI25" s="80"/>
      <c r="AJ25" s="80"/>
      <c r="AK25" s="80"/>
    </row>
    <row r="26" spans="1:37" ht="13.35" customHeight="1" thickBot="1" x14ac:dyDescent="0.3">
      <c r="A26" s="80"/>
      <c r="B26" s="80"/>
      <c r="H26" s="178" t="s">
        <v>2427</v>
      </c>
      <c r="I26" s="118">
        <f>+SUM(I7:I25)</f>
        <v>156.20599999999996</v>
      </c>
      <c r="J26" s="194">
        <f>+SUM(J7:J25)</f>
        <v>185.07125234203787</v>
      </c>
      <c r="K26" s="118">
        <f>+SUM(K7:K25)</f>
        <v>160.47498066647557</v>
      </c>
      <c r="L26" s="198">
        <f>+SUM(L7:L25)</f>
        <v>141.26920491002028</v>
      </c>
      <c r="M26" s="118">
        <f>+SUM(M7:M25)</f>
        <v>310.3</v>
      </c>
      <c r="O26" s="666" t="s">
        <v>2519</v>
      </c>
      <c r="P26" s="667"/>
      <c r="Q26" s="668"/>
      <c r="R26" s="885">
        <f>+SUM(R7:R25)</f>
        <v>0</v>
      </c>
      <c r="S26" s="886">
        <f>+SUM(S7:S25)</f>
        <v>0</v>
      </c>
      <c r="T26" s="886">
        <f>+SUM(T7:T25)</f>
        <v>0</v>
      </c>
      <c r="U26" s="886">
        <f>+SUM(U7:U25)</f>
        <v>0</v>
      </c>
      <c r="V26" s="890">
        <f>+SUM(V7:V25)</f>
        <v>0</v>
      </c>
      <c r="W26" s="345"/>
      <c r="X26" s="345"/>
      <c r="Y26" s="345"/>
      <c r="Z26" s="730" t="s">
        <v>2470</v>
      </c>
      <c r="AA26" s="731"/>
      <c r="AB26" s="731"/>
      <c r="AC26" s="731"/>
      <c r="AD26" s="731"/>
      <c r="AE26" s="731"/>
      <c r="AF26" s="731"/>
      <c r="AG26" s="732"/>
      <c r="AH26" s="80"/>
      <c r="AI26" s="80">
        <f>+SUM(AI7:AI24)</f>
        <v>5</v>
      </c>
      <c r="AJ26" s="80">
        <f>+SUM(AJ7:AJ24)</f>
        <v>5</v>
      </c>
      <c r="AK26" s="80">
        <f>+SUM(AK7:AK24)</f>
        <v>15</v>
      </c>
    </row>
    <row r="27" spans="1:37" ht="13.35" customHeight="1" thickBot="1" x14ac:dyDescent="0.3">
      <c r="A27" s="80"/>
      <c r="B27" s="80"/>
      <c r="D27" s="63" t="s">
        <v>2160</v>
      </c>
      <c r="K27" s="63"/>
      <c r="O27" s="669"/>
      <c r="P27" s="670"/>
      <c r="Q27" s="671"/>
      <c r="Z27" s="733"/>
      <c r="AA27" s="734"/>
      <c r="AB27" s="734"/>
      <c r="AC27" s="734"/>
      <c r="AD27" s="734"/>
      <c r="AE27" s="734"/>
      <c r="AF27" s="734"/>
      <c r="AG27" s="735"/>
      <c r="AH27" s="80"/>
      <c r="AI27" s="80"/>
      <c r="AJ27" s="80"/>
      <c r="AK27" s="80"/>
    </row>
    <row r="28" spans="1:37" ht="13.35" customHeight="1" thickBot="1" x14ac:dyDescent="0.3">
      <c r="A28" s="80"/>
      <c r="B28" s="80"/>
      <c r="D28" s="145" t="s">
        <v>2207</v>
      </c>
      <c r="Z28" s="736" t="s">
        <v>2471</v>
      </c>
      <c r="AA28" s="737"/>
      <c r="AB28" s="737"/>
      <c r="AC28" s="737"/>
      <c r="AD28" s="737"/>
      <c r="AE28" s="737"/>
      <c r="AF28" s="737"/>
      <c r="AG28" s="738"/>
      <c r="AH28" s="80"/>
      <c r="AI28" s="80"/>
      <c r="AJ28" s="80"/>
      <c r="AK28" s="80"/>
    </row>
    <row r="29" spans="1:37" ht="13.35" customHeight="1" thickBot="1" x14ac:dyDescent="0.3">
      <c r="A29" s="80"/>
      <c r="B29" s="80"/>
      <c r="D29" s="145" t="s">
        <v>2296</v>
      </c>
      <c r="K29" s="120" t="s">
        <v>2162</v>
      </c>
      <c r="L29" s="121" t="s">
        <v>2163</v>
      </c>
      <c r="M29" s="122" t="s">
        <v>2164</v>
      </c>
      <c r="N29" s="657" t="s">
        <v>2001</v>
      </c>
      <c r="O29" s="658"/>
      <c r="P29" s="658"/>
      <c r="Q29" s="659"/>
      <c r="R29" s="277" t="s">
        <v>2015</v>
      </c>
      <c r="Z29" s="739"/>
      <c r="AA29" s="740"/>
      <c r="AB29" s="740"/>
      <c r="AC29" s="740"/>
      <c r="AD29" s="740"/>
      <c r="AE29" s="740"/>
      <c r="AF29" s="740"/>
      <c r="AG29" s="741"/>
    </row>
    <row r="30" spans="1:37" ht="13.35" customHeight="1" thickTop="1" thickBot="1" x14ac:dyDescent="0.3">
      <c r="A30" s="80"/>
      <c r="B30" s="80"/>
      <c r="D30" s="145" t="s">
        <v>2299</v>
      </c>
      <c r="K30" s="86" t="s">
        <v>2297</v>
      </c>
      <c r="L30" s="124">
        <v>25</v>
      </c>
      <c r="M30" s="87">
        <f>+M26+L30</f>
        <v>335.3</v>
      </c>
      <c r="N30" s="660" t="s">
        <v>2298</v>
      </c>
      <c r="O30" s="661"/>
      <c r="P30" s="661"/>
      <c r="Q30" s="662"/>
      <c r="R30" s="149">
        <v>2017</v>
      </c>
      <c r="Z30" s="742"/>
      <c r="AA30" s="743"/>
      <c r="AB30" s="743"/>
      <c r="AC30" s="743"/>
      <c r="AD30" s="743"/>
      <c r="AE30" s="743"/>
      <c r="AF30" s="743"/>
      <c r="AG30" s="744"/>
    </row>
    <row r="31" spans="1:37" ht="13.35" customHeight="1" thickBot="1" x14ac:dyDescent="0.3">
      <c r="A31" s="80"/>
      <c r="B31" s="80"/>
      <c r="K31" s="126"/>
      <c r="L31" s="114"/>
      <c r="M31" s="127"/>
      <c r="N31" s="663"/>
      <c r="O31" s="664"/>
      <c r="P31" s="664"/>
      <c r="Q31" s="665"/>
      <c r="R31" s="278"/>
    </row>
    <row r="32" spans="1:37" ht="13.35" customHeight="1" x14ac:dyDescent="0.25">
      <c r="A32" s="80"/>
      <c r="B32" s="80"/>
      <c r="M32" s="59"/>
    </row>
    <row r="33" spans="1:13" x14ac:dyDescent="0.25">
      <c r="A33" s="80"/>
      <c r="B33" s="80"/>
      <c r="M33" s="61" t="str">
        <f t="shared" ref="M33:M49" si="12">+RIGHT(G33,4)</f>
        <v/>
      </c>
    </row>
    <row r="34" spans="1:13" x14ac:dyDescent="0.25">
      <c r="A34" s="80"/>
      <c r="B34" s="80"/>
      <c r="M34" s="61" t="str">
        <f t="shared" si="12"/>
        <v/>
      </c>
    </row>
    <row r="35" spans="1:13" x14ac:dyDescent="0.25">
      <c r="A35" s="80"/>
      <c r="B35" s="80"/>
      <c r="M35" s="61" t="str">
        <f t="shared" si="12"/>
        <v/>
      </c>
    </row>
    <row r="36" spans="1:13" x14ac:dyDescent="0.25">
      <c r="A36" s="80"/>
      <c r="B36" s="80"/>
      <c r="M36" s="61" t="str">
        <f t="shared" si="12"/>
        <v/>
      </c>
    </row>
    <row r="37" spans="1:13" x14ac:dyDescent="0.25">
      <c r="A37" s="80"/>
      <c r="B37" s="80"/>
      <c r="M37" s="61" t="str">
        <f t="shared" si="12"/>
        <v/>
      </c>
    </row>
    <row r="38" spans="1:13" x14ac:dyDescent="0.25">
      <c r="M38" s="61" t="str">
        <f t="shared" si="12"/>
        <v/>
      </c>
    </row>
    <row r="39" spans="1:13" x14ac:dyDescent="0.25">
      <c r="M39" s="61" t="str">
        <f t="shared" si="12"/>
        <v/>
      </c>
    </row>
    <row r="40" spans="1:13" x14ac:dyDescent="0.25">
      <c r="M40" s="61" t="str">
        <f t="shared" si="12"/>
        <v/>
      </c>
    </row>
    <row r="41" spans="1:13" x14ac:dyDescent="0.25">
      <c r="M41" s="61" t="str">
        <f t="shared" si="12"/>
        <v/>
      </c>
    </row>
    <row r="45" spans="1:13" x14ac:dyDescent="0.25">
      <c r="M45" s="61" t="str">
        <f t="shared" si="12"/>
        <v/>
      </c>
    </row>
    <row r="46" spans="1:13" x14ac:dyDescent="0.25">
      <c r="M46" s="61" t="str">
        <f t="shared" si="12"/>
        <v/>
      </c>
    </row>
    <row r="47" spans="1:13" x14ac:dyDescent="0.25">
      <c r="M47" s="61" t="str">
        <f t="shared" si="12"/>
        <v/>
      </c>
    </row>
    <row r="48" spans="1:13" x14ac:dyDescent="0.25">
      <c r="M48" s="61" t="str">
        <f t="shared" si="12"/>
        <v/>
      </c>
    </row>
    <row r="49" spans="13:13" x14ac:dyDescent="0.25">
      <c r="M49" s="61" t="str">
        <f t="shared" si="12"/>
        <v/>
      </c>
    </row>
  </sheetData>
  <mergeCells count="80">
    <mergeCell ref="AI7:AI9"/>
    <mergeCell ref="AI10:AI11"/>
    <mergeCell ref="AI13:AI15"/>
    <mergeCell ref="AI18:AI19"/>
    <mergeCell ref="AK10:AK11"/>
    <mergeCell ref="W18:W19"/>
    <mergeCell ref="Z26:AG27"/>
    <mergeCell ref="Z28:AG30"/>
    <mergeCell ref="O3:Q4"/>
    <mergeCell ref="O5:O6"/>
    <mergeCell ref="P5:P6"/>
    <mergeCell ref="Q5:Q6"/>
    <mergeCell ref="O26:Q27"/>
    <mergeCell ref="O10:O11"/>
    <mergeCell ref="AG13:AG15"/>
    <mergeCell ref="Z18:Z19"/>
    <mergeCell ref="AA18:AA19"/>
    <mergeCell ref="AB18:AB19"/>
    <mergeCell ref="AC18:AC19"/>
    <mergeCell ref="AD18:AD19"/>
    <mergeCell ref="W3:Y4"/>
    <mergeCell ref="Z13:Z15"/>
    <mergeCell ref="AA13:AA15"/>
    <mergeCell ref="AB13:AB15"/>
    <mergeCell ref="AC13:AC15"/>
    <mergeCell ref="AD13:AD15"/>
    <mergeCell ref="AE18:AE19"/>
    <mergeCell ref="AF18:AF19"/>
    <mergeCell ref="AG18:AG19"/>
    <mergeCell ref="AE10:AE11"/>
    <mergeCell ref="AF10:AF11"/>
    <mergeCell ref="AG10:AG11"/>
    <mergeCell ref="AE13:AE15"/>
    <mergeCell ref="AF13:AF15"/>
    <mergeCell ref="AB10:AB11"/>
    <mergeCell ref="AC10:AC11"/>
    <mergeCell ref="AD10:AD11"/>
    <mergeCell ref="Z3:AG4"/>
    <mergeCell ref="AB5:AE5"/>
    <mergeCell ref="AG5:AG6"/>
    <mergeCell ref="Z7:Z9"/>
    <mergeCell ref="AA7:AA9"/>
    <mergeCell ref="AB7:AB9"/>
    <mergeCell ref="AC7:AC9"/>
    <mergeCell ref="AD7:AD9"/>
    <mergeCell ref="AE7:AE9"/>
    <mergeCell ref="AF7:AF9"/>
    <mergeCell ref="AG7:AG9"/>
    <mergeCell ref="Z10:Z11"/>
    <mergeCell ref="AA10:AA11"/>
    <mergeCell ref="N29:Q29"/>
    <mergeCell ref="N30:Q30"/>
    <mergeCell ref="N31:Q31"/>
    <mergeCell ref="R3:V4"/>
    <mergeCell ref="R10:R11"/>
    <mergeCell ref="S10:S11"/>
    <mergeCell ref="T10:T11"/>
    <mergeCell ref="U10:U11"/>
    <mergeCell ref="V10:V11"/>
    <mergeCell ref="P10:P11"/>
    <mergeCell ref="Q10:Q11"/>
    <mergeCell ref="X5:X6"/>
    <mergeCell ref="Y5:Y6"/>
    <mergeCell ref="W7:W9"/>
    <mergeCell ref="W10:W11"/>
    <mergeCell ref="W13:W15"/>
    <mergeCell ref="W5:W6"/>
    <mergeCell ref="M5:M6"/>
    <mergeCell ref="N5:N6"/>
    <mergeCell ref="I10:I11"/>
    <mergeCell ref="J10:J11"/>
    <mergeCell ref="K10:K11"/>
    <mergeCell ref="L10:L11"/>
    <mergeCell ref="M10:M11"/>
    <mergeCell ref="N10:N11"/>
    <mergeCell ref="C1:F1"/>
    <mergeCell ref="C3:D4"/>
    <mergeCell ref="E3:H4"/>
    <mergeCell ref="I3:L4"/>
    <mergeCell ref="M3:N4"/>
  </mergeCells>
  <conditionalFormatting sqref="N12:N24 N7:N10">
    <cfRule type="cellIs" dxfId="29" priority="21" stopIfTrue="1" operator="greaterThan">
      <formula>1.06</formula>
    </cfRule>
  </conditionalFormatting>
  <conditionalFormatting sqref="Q7:Q25">
    <cfRule type="cellIs" dxfId="28" priority="16" operator="greaterThan">
      <formula>260</formula>
    </cfRule>
  </conditionalFormatting>
  <conditionalFormatting sqref="W12:Y12">
    <cfRule type="cellIs" dxfId="27" priority="15" stopIfTrue="1" operator="between">
      <formula>1</formula>
      <formula>1.33</formula>
    </cfRule>
  </conditionalFormatting>
  <conditionalFormatting sqref="W16:Y17 W20:Y24">
    <cfRule type="cellIs" dxfId="26" priority="14" stopIfTrue="1" operator="between">
      <formula>1</formula>
      <formula>1.33</formula>
    </cfRule>
  </conditionalFormatting>
  <conditionalFormatting sqref="W16:Y17 W20:Y24">
    <cfRule type="cellIs" dxfId="25" priority="13" stopIfTrue="1" operator="between">
      <formula>1</formula>
      <formula>1.33</formula>
    </cfRule>
  </conditionalFormatting>
  <conditionalFormatting sqref="W7">
    <cfRule type="cellIs" dxfId="24" priority="12" stopIfTrue="1" operator="between">
      <formula>1</formula>
      <formula>1.33</formula>
    </cfRule>
  </conditionalFormatting>
  <conditionalFormatting sqref="W7">
    <cfRule type="cellIs" dxfId="23" priority="11" stopIfTrue="1" operator="between">
      <formula>1</formula>
      <formula>1.33</formula>
    </cfRule>
  </conditionalFormatting>
  <conditionalFormatting sqref="Y7">
    <cfRule type="cellIs" dxfId="22" priority="7" stopIfTrue="1" operator="between">
      <formula>1</formula>
      <formula>1.33</formula>
    </cfRule>
  </conditionalFormatting>
  <conditionalFormatting sqref="X7">
    <cfRule type="cellIs" dxfId="21" priority="10" stopIfTrue="1" operator="between">
      <formula>1</formula>
      <formula>1.33</formula>
    </cfRule>
  </conditionalFormatting>
  <conditionalFormatting sqref="X7">
    <cfRule type="cellIs" dxfId="20" priority="9" stopIfTrue="1" operator="between">
      <formula>1</formula>
      <formula>1.33</formula>
    </cfRule>
  </conditionalFormatting>
  <conditionalFormatting sqref="Y7">
    <cfRule type="cellIs" dxfId="19" priority="8" stopIfTrue="1" operator="between">
      <formula>1</formula>
      <formula>1.33</formula>
    </cfRule>
  </conditionalFormatting>
  <conditionalFormatting sqref="W13">
    <cfRule type="cellIs" dxfId="18" priority="6" stopIfTrue="1" operator="between">
      <formula>1</formula>
      <formula>1.33</formula>
    </cfRule>
  </conditionalFormatting>
  <conditionalFormatting sqref="W13">
    <cfRule type="cellIs" dxfId="17" priority="5" stopIfTrue="1" operator="between">
      <formula>1</formula>
      <formula>1.33</formula>
    </cfRule>
  </conditionalFormatting>
  <conditionalFormatting sqref="Y13">
    <cfRule type="cellIs" dxfId="16" priority="1" stopIfTrue="1" operator="between">
      <formula>1</formula>
      <formula>1.33</formula>
    </cfRule>
  </conditionalFormatting>
  <conditionalFormatting sqref="X13">
    <cfRule type="cellIs" dxfId="15" priority="4" stopIfTrue="1" operator="between">
      <formula>1</formula>
      <formula>1.33</formula>
    </cfRule>
  </conditionalFormatting>
  <conditionalFormatting sqref="X13">
    <cfRule type="cellIs" dxfId="14" priority="3" stopIfTrue="1" operator="between">
      <formula>1</formula>
      <formula>1.33</formula>
    </cfRule>
  </conditionalFormatting>
  <conditionalFormatting sqref="Y13">
    <cfRule type="cellIs" dxfId="13" priority="2" stopIfTrue="1" operator="between">
      <formula>1</formula>
      <formula>1.33</formula>
    </cfRule>
  </conditionalFormatting>
  <pageMargins left="0.7" right="0.7" top="0.75" bottom="0.75" header="0.3" footer="0.3"/>
  <pageSetup scale="39"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DD6A-6EA4-4E95-A44A-FBB1E92BD620}">
  <sheetPr>
    <pageSetUpPr fitToPage="1"/>
  </sheetPr>
  <dimension ref="A1:AW42"/>
  <sheetViews>
    <sheetView showGridLines="0" view="pageBreakPreview" topLeftCell="H1" zoomScale="66" zoomScaleNormal="70" zoomScaleSheetLayoutView="40" workbookViewId="0">
      <selection activeCell="R37" sqref="R37:V37"/>
    </sheetView>
  </sheetViews>
  <sheetFormatPr defaultColWidth="8.42578125" defaultRowHeight="12.75" x14ac:dyDescent="0.25"/>
  <cols>
    <col min="1" max="1" width="0.42578125" style="59" hidden="1" customWidth="1"/>
    <col min="2" max="2" width="2.42578125" style="59" customWidth="1"/>
    <col min="3" max="3" width="6.42578125" style="59" customWidth="1"/>
    <col min="4" max="4" width="18.42578125" style="59" customWidth="1"/>
    <col min="5" max="6" width="6.42578125" style="59" customWidth="1"/>
    <col min="7" max="7" width="18.42578125" style="59" customWidth="1"/>
    <col min="8" max="8" width="6.42578125" style="59" customWidth="1"/>
    <col min="9" max="12" width="12.7109375" style="59" customWidth="1"/>
    <col min="13" max="13" width="10.42578125" style="61" customWidth="1"/>
    <col min="14" max="22" width="10.42578125" style="59" customWidth="1"/>
    <col min="23" max="25" width="6.42578125" style="59" customWidth="1"/>
    <col min="26" max="27" width="8.42578125" style="59" customWidth="1"/>
    <col min="28" max="31" width="6.42578125" style="59" customWidth="1"/>
    <col min="32" max="32" width="16.42578125" style="59" customWidth="1"/>
    <col min="33" max="33" width="12.42578125" style="59" customWidth="1"/>
    <col min="34" max="16384" width="8.42578125" style="59"/>
  </cols>
  <sheetData>
    <row r="1" spans="1:49" ht="15.95" customHeight="1" x14ac:dyDescent="0.25">
      <c r="C1" s="646" t="s">
        <v>2300</v>
      </c>
      <c r="D1" s="646"/>
      <c r="E1" s="646"/>
      <c r="F1" s="646"/>
    </row>
    <row r="2" spans="1:49" ht="12.75" customHeight="1" thickBot="1" x14ac:dyDescent="0.3">
      <c r="C2" s="123"/>
      <c r="D2" s="123"/>
      <c r="E2" s="123"/>
      <c r="F2" s="123"/>
      <c r="G2" s="123"/>
      <c r="H2" s="123"/>
      <c r="I2" s="123"/>
      <c r="J2" s="123"/>
      <c r="K2" s="123"/>
    </row>
    <row r="3" spans="1:49" ht="12.75" customHeight="1" x14ac:dyDescent="0.25">
      <c r="C3" s="647" t="s">
        <v>2058</v>
      </c>
      <c r="D3" s="648"/>
      <c r="E3" s="647" t="s">
        <v>2059</v>
      </c>
      <c r="F3" s="651"/>
      <c r="G3" s="651"/>
      <c r="H3" s="648"/>
      <c r="I3" s="647" t="s">
        <v>2060</v>
      </c>
      <c r="J3" s="651"/>
      <c r="K3" s="651"/>
      <c r="L3" s="648"/>
      <c r="M3" s="651" t="s">
        <v>2061</v>
      </c>
      <c r="N3" s="651"/>
      <c r="O3" s="647" t="s">
        <v>4721</v>
      </c>
      <c r="P3" s="651"/>
      <c r="Q3" s="648"/>
      <c r="R3" s="881" t="s">
        <v>2062</v>
      </c>
      <c r="S3" s="882"/>
      <c r="T3" s="882"/>
      <c r="U3" s="882"/>
      <c r="V3" s="888"/>
      <c r="W3" s="722" t="s">
        <v>2494</v>
      </c>
      <c r="X3" s="723"/>
      <c r="Y3" s="724"/>
      <c r="Z3" s="684" t="s">
        <v>2438</v>
      </c>
      <c r="AA3" s="685"/>
      <c r="AB3" s="685"/>
      <c r="AC3" s="685"/>
      <c r="AD3" s="685"/>
      <c r="AE3" s="685"/>
      <c r="AF3" s="685"/>
      <c r="AG3" s="686"/>
    </row>
    <row r="4" spans="1:49" ht="12.75" customHeight="1" thickBot="1" x14ac:dyDescent="0.3">
      <c r="C4" s="649"/>
      <c r="D4" s="650"/>
      <c r="E4" s="649"/>
      <c r="F4" s="652"/>
      <c r="G4" s="652"/>
      <c r="H4" s="650"/>
      <c r="I4" s="649"/>
      <c r="J4" s="652"/>
      <c r="K4" s="652"/>
      <c r="L4" s="650"/>
      <c r="M4" s="652"/>
      <c r="N4" s="652"/>
      <c r="O4" s="649"/>
      <c r="P4" s="652"/>
      <c r="Q4" s="650"/>
      <c r="R4" s="883"/>
      <c r="S4" s="884"/>
      <c r="T4" s="884"/>
      <c r="U4" s="884"/>
      <c r="V4" s="889"/>
      <c r="W4" s="725"/>
      <c r="X4" s="726"/>
      <c r="Y4" s="727"/>
      <c r="Z4" s="687"/>
      <c r="AA4" s="688"/>
      <c r="AB4" s="688"/>
      <c r="AC4" s="688"/>
      <c r="AD4" s="688"/>
      <c r="AE4" s="688"/>
      <c r="AF4" s="688"/>
      <c r="AG4" s="689"/>
    </row>
    <row r="5" spans="1:49" ht="12.75" customHeight="1" x14ac:dyDescent="0.25">
      <c r="C5" s="64" t="s">
        <v>2063</v>
      </c>
      <c r="D5" s="65" t="s">
        <v>2064</v>
      </c>
      <c r="E5" s="66" t="s">
        <v>2065</v>
      </c>
      <c r="F5" s="67" t="s">
        <v>2066</v>
      </c>
      <c r="G5" s="67" t="s">
        <v>2066</v>
      </c>
      <c r="H5" s="68" t="s">
        <v>2067</v>
      </c>
      <c r="I5" s="70">
        <v>42736</v>
      </c>
      <c r="J5" s="71">
        <v>43107.708333333336</v>
      </c>
      <c r="K5" s="69">
        <v>43523.322916666664</v>
      </c>
      <c r="L5" s="71">
        <v>43847.756944444445</v>
      </c>
      <c r="M5" s="637" t="s">
        <v>2068</v>
      </c>
      <c r="N5" s="771" t="s">
        <v>2069</v>
      </c>
      <c r="O5" s="763" t="s">
        <v>2474</v>
      </c>
      <c r="P5" s="745" t="s">
        <v>2475</v>
      </c>
      <c r="Q5" s="765" t="s">
        <v>2476</v>
      </c>
      <c r="R5" s="190">
        <v>2017</v>
      </c>
      <c r="S5" s="191">
        <v>2018</v>
      </c>
      <c r="T5" s="190">
        <v>2019</v>
      </c>
      <c r="U5" s="192">
        <v>2020</v>
      </c>
      <c r="V5" s="192" t="s">
        <v>2430</v>
      </c>
      <c r="W5" s="716" t="s">
        <v>2496</v>
      </c>
      <c r="X5" s="714" t="s">
        <v>2495</v>
      </c>
      <c r="Y5" s="712" t="s">
        <v>2497</v>
      </c>
      <c r="Z5" s="210" t="s">
        <v>2458</v>
      </c>
      <c r="AA5" s="211" t="s">
        <v>2439</v>
      </c>
      <c r="AB5" s="690" t="s">
        <v>2440</v>
      </c>
      <c r="AC5" s="691"/>
      <c r="AD5" s="691"/>
      <c r="AE5" s="692"/>
      <c r="AF5" s="212" t="s">
        <v>2441</v>
      </c>
      <c r="AG5" s="693" t="s">
        <v>2442</v>
      </c>
      <c r="AH5" s="80"/>
      <c r="AI5" s="80"/>
      <c r="AJ5" s="80" t="s">
        <v>2494</v>
      </c>
      <c r="AK5" s="80"/>
    </row>
    <row r="6" spans="1:49" ht="12.75" customHeight="1" thickBot="1" x14ac:dyDescent="0.3">
      <c r="C6" s="72" t="s">
        <v>2070</v>
      </c>
      <c r="D6" s="73" t="s">
        <v>2071</v>
      </c>
      <c r="E6" s="72" t="s">
        <v>2072</v>
      </c>
      <c r="F6" s="74" t="s">
        <v>2073</v>
      </c>
      <c r="G6" s="74" t="s">
        <v>2074</v>
      </c>
      <c r="H6" s="75" t="s">
        <v>2072</v>
      </c>
      <c r="I6" s="454" t="s">
        <v>2075</v>
      </c>
      <c r="J6" s="76" t="s">
        <v>2169</v>
      </c>
      <c r="K6" s="454" t="s">
        <v>2077</v>
      </c>
      <c r="L6" s="76" t="s">
        <v>3659</v>
      </c>
      <c r="M6" s="638"/>
      <c r="N6" s="772"/>
      <c r="O6" s="764"/>
      <c r="P6" s="746"/>
      <c r="Q6" s="766"/>
      <c r="R6" s="77" t="s">
        <v>2078</v>
      </c>
      <c r="S6" s="78" t="s">
        <v>2078</v>
      </c>
      <c r="T6" s="77" t="s">
        <v>2078</v>
      </c>
      <c r="U6" s="79" t="s">
        <v>2078</v>
      </c>
      <c r="V6" s="79" t="s">
        <v>2078</v>
      </c>
      <c r="W6" s="717"/>
      <c r="X6" s="715"/>
      <c r="Y6" s="713"/>
      <c r="Z6" s="213" t="s">
        <v>2443</v>
      </c>
      <c r="AA6" s="214" t="s">
        <v>2444</v>
      </c>
      <c r="AB6" s="72" t="s">
        <v>2445</v>
      </c>
      <c r="AC6" s="215" t="s">
        <v>2446</v>
      </c>
      <c r="AD6" s="215" t="s">
        <v>2447</v>
      </c>
      <c r="AE6" s="75" t="s">
        <v>2448</v>
      </c>
      <c r="AF6" s="216" t="s">
        <v>2449</v>
      </c>
      <c r="AG6" s="694"/>
      <c r="AH6" s="80"/>
      <c r="AI6" s="80" t="s">
        <v>2500</v>
      </c>
      <c r="AJ6" s="80" t="s">
        <v>2498</v>
      </c>
      <c r="AK6" s="80" t="s">
        <v>2473</v>
      </c>
    </row>
    <row r="7" spans="1:49" ht="12.75" customHeight="1" thickTop="1" x14ac:dyDescent="0.25">
      <c r="A7" s="80">
        <v>1</v>
      </c>
      <c r="B7" s="80"/>
      <c r="C7" s="163" t="s">
        <v>2301</v>
      </c>
      <c r="D7" s="82" t="s">
        <v>2302</v>
      </c>
      <c r="E7" s="81">
        <v>69</v>
      </c>
      <c r="F7" s="83" t="s">
        <v>2097</v>
      </c>
      <c r="G7" s="83" t="s">
        <v>2122</v>
      </c>
      <c r="H7" s="168">
        <v>24.94</v>
      </c>
      <c r="I7" s="149">
        <v>11.4</v>
      </c>
      <c r="J7" s="457">
        <v>0.88321815258953207</v>
      </c>
      <c r="K7" s="457">
        <v>5.7684135171283879</v>
      </c>
      <c r="L7" s="87">
        <v>3.3230276259096807</v>
      </c>
      <c r="M7" s="132">
        <f>+VALUE(RIGHT(G7,4))</f>
        <v>11.2</v>
      </c>
      <c r="N7" s="90">
        <f t="shared" ref="N7:N35" si="0">MAX(I7:L7)/M7</f>
        <v>1.017857142857143</v>
      </c>
      <c r="O7" s="273">
        <v>1</v>
      </c>
      <c r="P7" s="271">
        <f t="shared" ref="P7:P35" si="1">+MAX(I7:L7)/O7</f>
        <v>11.4</v>
      </c>
      <c r="Q7" s="271">
        <f t="shared" ref="Q7:Q35" si="2">((P7*1000)/(H7*SQRT(3)))</f>
        <v>263.90509497841759</v>
      </c>
      <c r="R7" s="396">
        <f t="shared" ref="R7:R16" si="3">IF($Q7&gt;260,I7,IF(OR(I7="-",I7&lt;($M7*1.06)),0,I7))</f>
        <v>11.4</v>
      </c>
      <c r="S7" s="396">
        <f t="shared" ref="S7:S16" si="4">IF($Q7&gt;260,J7,IF(OR(J7="-",J7&lt;($M7*1.06)),0,J7))</f>
        <v>0.88321815258953207</v>
      </c>
      <c r="T7" s="396">
        <f t="shared" ref="T7:T15" si="5">IF($Q7&gt;260,K7,IF(OR(K7="-",K7&lt;($M7*1.06)),0,K7))</f>
        <v>5.7684135171283879</v>
      </c>
      <c r="U7" s="396">
        <f t="shared" ref="U7:U16" si="6">IF($Q7&gt;260,L7,IF(OR(L7="-",L7&lt;($M7*1.06)),0,L7))</f>
        <v>3.3230276259096807</v>
      </c>
      <c r="V7" s="91">
        <f>+MAX(R7:U7)</f>
        <v>11.4</v>
      </c>
      <c r="W7" s="335" t="s">
        <v>2014</v>
      </c>
      <c r="X7" s="338" t="s">
        <v>2014</v>
      </c>
      <c r="Y7" s="348" t="s">
        <v>2013</v>
      </c>
      <c r="Z7" s="106" t="s">
        <v>2024</v>
      </c>
      <c r="AA7" s="222" t="s">
        <v>2451</v>
      </c>
      <c r="AB7" s="235">
        <v>1</v>
      </c>
      <c r="AC7" s="235"/>
      <c r="AD7" s="235"/>
      <c r="AE7" s="236"/>
      <c r="AF7" s="237">
        <v>45</v>
      </c>
      <c r="AG7" s="224">
        <f>+MAX(I7:L7)/MIN(60,AF7)</f>
        <v>0.25333333333333335</v>
      </c>
      <c r="AH7" s="80"/>
      <c r="AI7" s="80">
        <f t="shared" ref="AI7:AJ14" si="7">+IF(W7="y",1,0)</f>
        <v>1</v>
      </c>
      <c r="AJ7" s="80">
        <f t="shared" si="7"/>
        <v>1</v>
      </c>
      <c r="AK7" s="80">
        <f t="shared" ref="AK7:AK35" si="8">+IF(Y7="y",O7,0)</f>
        <v>0</v>
      </c>
    </row>
    <row r="8" spans="1:49" ht="12.75" customHeight="1" x14ac:dyDescent="0.25">
      <c r="A8" s="80" t="e">
        <f>1+#REF!</f>
        <v>#REF!</v>
      </c>
      <c r="B8" s="80"/>
      <c r="C8" s="164" t="s">
        <v>2303</v>
      </c>
      <c r="D8" s="93" t="s">
        <v>2304</v>
      </c>
      <c r="E8" s="92">
        <v>69</v>
      </c>
      <c r="F8" s="94" t="s">
        <v>2093</v>
      </c>
      <c r="G8" s="94" t="s">
        <v>2122</v>
      </c>
      <c r="H8" s="100">
        <v>12.47</v>
      </c>
      <c r="I8" s="152">
        <v>5.14</v>
      </c>
      <c r="J8" s="457">
        <v>7.0383975947774404</v>
      </c>
      <c r="K8" s="457">
        <v>7.878235620985035</v>
      </c>
      <c r="L8" s="87">
        <v>10.16544195252043</v>
      </c>
      <c r="M8" s="136">
        <f>+VALUE(RIGHT(G8,4))</f>
        <v>11.2</v>
      </c>
      <c r="N8" s="90">
        <f t="shared" si="0"/>
        <v>0.9076287457607527</v>
      </c>
      <c r="O8" s="273">
        <v>3</v>
      </c>
      <c r="P8" s="271">
        <f t="shared" si="1"/>
        <v>3.3884806508401435</v>
      </c>
      <c r="Q8" s="271">
        <f t="shared" si="2"/>
        <v>156.88373824429794</v>
      </c>
      <c r="R8" s="396">
        <f t="shared" si="3"/>
        <v>0</v>
      </c>
      <c r="S8" s="396">
        <f t="shared" si="4"/>
        <v>0</v>
      </c>
      <c r="T8" s="396">
        <f t="shared" si="5"/>
        <v>0</v>
      </c>
      <c r="U8" s="396">
        <f t="shared" si="6"/>
        <v>0</v>
      </c>
      <c r="V8" s="91">
        <f t="shared" ref="V8:V35" si="9">+MAX(R8:U8)</f>
        <v>0</v>
      </c>
      <c r="W8" s="335" t="s">
        <v>2014</v>
      </c>
      <c r="X8" s="338" t="s">
        <v>2014</v>
      </c>
      <c r="Y8" s="348" t="s">
        <v>2014</v>
      </c>
      <c r="Z8" s="92" t="s">
        <v>2450</v>
      </c>
      <c r="AA8" s="222">
        <v>556</v>
      </c>
      <c r="AB8" s="250">
        <v>2</v>
      </c>
      <c r="AC8" s="251"/>
      <c r="AD8" s="251"/>
      <c r="AE8" s="226"/>
      <c r="AF8" s="223">
        <f>101+34+34</f>
        <v>169</v>
      </c>
      <c r="AG8" s="239" t="s">
        <v>2092</v>
      </c>
      <c r="AH8" s="80"/>
      <c r="AI8" s="80">
        <f t="shared" si="7"/>
        <v>1</v>
      </c>
      <c r="AJ8" s="80">
        <f t="shared" si="7"/>
        <v>1</v>
      </c>
      <c r="AK8" s="80">
        <f t="shared" si="8"/>
        <v>3</v>
      </c>
    </row>
    <row r="9" spans="1:49" ht="12.75" customHeight="1" x14ac:dyDescent="0.25">
      <c r="A9" s="80" t="e">
        <f t="shared" ref="A9:A34" si="10">1+A8</f>
        <v>#REF!</v>
      </c>
      <c r="B9" s="80"/>
      <c r="C9" s="164" t="s">
        <v>2305</v>
      </c>
      <c r="D9" s="93" t="s">
        <v>2306</v>
      </c>
      <c r="E9" s="92">
        <v>69</v>
      </c>
      <c r="F9" s="94" t="s">
        <v>2097</v>
      </c>
      <c r="G9" s="94" t="s">
        <v>2275</v>
      </c>
      <c r="H9" s="100">
        <v>13.8</v>
      </c>
      <c r="I9" s="460">
        <v>3.18</v>
      </c>
      <c r="J9" s="457">
        <v>3.9415295579249872</v>
      </c>
      <c r="K9" s="457">
        <v>3.7676044138317688</v>
      </c>
      <c r="L9" s="87">
        <v>3.2428544486766144</v>
      </c>
      <c r="M9" s="136">
        <f>+VALUE(RIGHT(G9,2))</f>
        <v>10</v>
      </c>
      <c r="N9" s="90">
        <f t="shared" si="0"/>
        <v>0.3941529557924987</v>
      </c>
      <c r="O9" s="273">
        <v>1</v>
      </c>
      <c r="P9" s="271">
        <f t="shared" si="1"/>
        <v>3.9415295579249872</v>
      </c>
      <c r="Q9" s="271">
        <f t="shared" si="2"/>
        <v>164.90167762948246</v>
      </c>
      <c r="R9" s="396">
        <f t="shared" si="3"/>
        <v>0</v>
      </c>
      <c r="S9" s="396">
        <f t="shared" si="4"/>
        <v>0</v>
      </c>
      <c r="T9" s="396">
        <f t="shared" si="5"/>
        <v>0</v>
      </c>
      <c r="U9" s="396">
        <f t="shared" si="6"/>
        <v>0</v>
      </c>
      <c r="V9" s="91">
        <f t="shared" si="9"/>
        <v>0</v>
      </c>
      <c r="W9" s="349" t="s">
        <v>2014</v>
      </c>
      <c r="X9" s="354" t="s">
        <v>2014</v>
      </c>
      <c r="Y9" s="368" t="s">
        <v>2014</v>
      </c>
      <c r="Z9" s="92" t="s">
        <v>2450</v>
      </c>
      <c r="AA9" s="222" t="s">
        <v>2464</v>
      </c>
      <c r="AB9" s="250">
        <v>3</v>
      </c>
      <c r="AC9" s="251"/>
      <c r="AD9" s="251"/>
      <c r="AE9" s="226"/>
      <c r="AF9" s="223">
        <f>101+34+34</f>
        <v>169</v>
      </c>
      <c r="AG9" s="239" t="s">
        <v>2092</v>
      </c>
      <c r="AH9" s="80"/>
      <c r="AI9" s="80">
        <f t="shared" si="7"/>
        <v>1</v>
      </c>
      <c r="AJ9" s="80">
        <f t="shared" si="7"/>
        <v>1</v>
      </c>
      <c r="AK9" s="80">
        <f t="shared" si="8"/>
        <v>1</v>
      </c>
    </row>
    <row r="10" spans="1:49" ht="12.75" customHeight="1" x14ac:dyDescent="0.25">
      <c r="A10" s="80"/>
      <c r="B10" s="80"/>
      <c r="C10" s="164" t="s">
        <v>2307</v>
      </c>
      <c r="D10" s="93" t="s">
        <v>2308</v>
      </c>
      <c r="E10" s="92">
        <v>69</v>
      </c>
      <c r="F10" s="94" t="s">
        <v>2090</v>
      </c>
      <c r="G10" s="94">
        <v>5</v>
      </c>
      <c r="H10" s="100">
        <v>6.9</v>
      </c>
      <c r="I10" s="460" t="s">
        <v>2092</v>
      </c>
      <c r="J10" s="457">
        <v>0.25160176283636937</v>
      </c>
      <c r="K10" s="457">
        <v>0.37266766946260571</v>
      </c>
      <c r="L10" s="87">
        <v>0.32738991924589483</v>
      </c>
      <c r="M10" s="136">
        <f>+VALUE(RIGHT(G10,2))</f>
        <v>5</v>
      </c>
      <c r="N10" s="90">
        <f t="shared" si="0"/>
        <v>7.4533533892521139E-2</v>
      </c>
      <c r="O10" s="273">
        <v>1</v>
      </c>
      <c r="P10" s="271">
        <f t="shared" si="1"/>
        <v>0.37266766946260571</v>
      </c>
      <c r="Q10" s="271">
        <f t="shared" si="2"/>
        <v>31.182576707609549</v>
      </c>
      <c r="R10" s="396">
        <f t="shared" si="3"/>
        <v>0</v>
      </c>
      <c r="S10" s="396">
        <f t="shared" si="4"/>
        <v>0</v>
      </c>
      <c r="T10" s="396">
        <f t="shared" si="5"/>
        <v>0</v>
      </c>
      <c r="U10" s="396">
        <f t="shared" si="6"/>
        <v>0</v>
      </c>
      <c r="V10" s="91">
        <f t="shared" si="9"/>
        <v>0</v>
      </c>
      <c r="W10" s="349" t="s">
        <v>2013</v>
      </c>
      <c r="X10" s="354" t="s">
        <v>2013</v>
      </c>
      <c r="Y10" s="368" t="s">
        <v>2013</v>
      </c>
      <c r="Z10" s="92" t="s">
        <v>2450</v>
      </c>
      <c r="AA10" s="222" t="s">
        <v>2453</v>
      </c>
      <c r="AB10" s="250">
        <v>2</v>
      </c>
      <c r="AC10" s="251"/>
      <c r="AD10" s="251"/>
      <c r="AE10" s="226"/>
      <c r="AF10" s="223">
        <f>34+34</f>
        <v>68</v>
      </c>
      <c r="AG10" s="239" t="s">
        <v>2092</v>
      </c>
      <c r="AH10" s="80"/>
      <c r="AI10" s="80">
        <f t="shared" si="7"/>
        <v>0</v>
      </c>
      <c r="AJ10" s="80">
        <f t="shared" si="7"/>
        <v>0</v>
      </c>
      <c r="AK10" s="80">
        <f t="shared" si="8"/>
        <v>0</v>
      </c>
    </row>
    <row r="11" spans="1:49" ht="12.75" customHeight="1" x14ac:dyDescent="0.25">
      <c r="A11" s="80" t="e">
        <f>1+#REF!</f>
        <v>#REF!</v>
      </c>
      <c r="B11" s="80"/>
      <c r="C11" s="164" t="s">
        <v>2309</v>
      </c>
      <c r="D11" s="93" t="s">
        <v>2310</v>
      </c>
      <c r="E11" s="92">
        <v>69</v>
      </c>
      <c r="F11" s="94" t="s">
        <v>2097</v>
      </c>
      <c r="G11" s="94" t="s">
        <v>2122</v>
      </c>
      <c r="H11" s="100">
        <v>12.47</v>
      </c>
      <c r="I11" s="152">
        <v>7.84</v>
      </c>
      <c r="J11" s="457">
        <v>7.3413225846963641</v>
      </c>
      <c r="K11" s="457">
        <v>7.0024175733373815</v>
      </c>
      <c r="L11" s="87">
        <v>6.3320238733296348</v>
      </c>
      <c r="M11" s="136">
        <f>+VALUE(RIGHT(G11,4))</f>
        <v>11.2</v>
      </c>
      <c r="N11" s="90">
        <f t="shared" si="0"/>
        <v>0.70000000000000007</v>
      </c>
      <c r="O11" s="273">
        <v>2</v>
      </c>
      <c r="P11" s="271">
        <f t="shared" si="1"/>
        <v>3.92</v>
      </c>
      <c r="Q11" s="271">
        <f t="shared" si="2"/>
        <v>181.49262672199944</v>
      </c>
      <c r="R11" s="396">
        <f t="shared" si="3"/>
        <v>0</v>
      </c>
      <c r="S11" s="396">
        <f t="shared" si="4"/>
        <v>0</v>
      </c>
      <c r="T11" s="396">
        <f t="shared" si="5"/>
        <v>0</v>
      </c>
      <c r="U11" s="396">
        <f t="shared" si="6"/>
        <v>0</v>
      </c>
      <c r="V11" s="91">
        <f t="shared" si="9"/>
        <v>0</v>
      </c>
      <c r="W11" s="349" t="s">
        <v>2014</v>
      </c>
      <c r="X11" s="354" t="s">
        <v>2014</v>
      </c>
      <c r="Y11" s="368" t="s">
        <v>2014</v>
      </c>
      <c r="Z11" s="92" t="s">
        <v>2450</v>
      </c>
      <c r="AA11" s="222" t="s">
        <v>2453</v>
      </c>
      <c r="AB11" s="250">
        <v>1</v>
      </c>
      <c r="AC11" s="251"/>
      <c r="AD11" s="251"/>
      <c r="AE11" s="226"/>
      <c r="AF11" s="223">
        <v>34</v>
      </c>
      <c r="AG11" s="264">
        <f>+(MAX(I11:L11)+MAX(I34:L34))/MIN(60,AF11)</f>
        <v>0.628235294117647</v>
      </c>
      <c r="AH11" s="80"/>
      <c r="AI11" s="80">
        <f t="shared" si="7"/>
        <v>1</v>
      </c>
      <c r="AJ11" s="80">
        <f t="shared" si="7"/>
        <v>1</v>
      </c>
      <c r="AK11" s="80">
        <f t="shared" si="8"/>
        <v>2</v>
      </c>
    </row>
    <row r="12" spans="1:49" ht="12.75" customHeight="1" x14ac:dyDescent="0.25">
      <c r="A12" s="80" t="e">
        <f>1+#REF!</f>
        <v>#REF!</v>
      </c>
      <c r="B12" s="80"/>
      <c r="C12" s="164" t="s">
        <v>2311</v>
      </c>
      <c r="D12" s="93" t="s">
        <v>2312</v>
      </c>
      <c r="E12" s="92">
        <v>69</v>
      </c>
      <c r="F12" s="94" t="s">
        <v>2097</v>
      </c>
      <c r="G12" s="94" t="s">
        <v>2101</v>
      </c>
      <c r="H12" s="151">
        <v>26.4</v>
      </c>
      <c r="I12" s="152">
        <v>9.73</v>
      </c>
      <c r="J12" s="457">
        <v>9.6504996390393405</v>
      </c>
      <c r="K12" s="457">
        <v>7.5938379750423399</v>
      </c>
      <c r="L12" s="87">
        <v>7.0269587920572558</v>
      </c>
      <c r="M12" s="136">
        <f>+VALUE(RIGHT(G12,4))</f>
        <v>12.5</v>
      </c>
      <c r="N12" s="90">
        <f t="shared" si="0"/>
        <v>0.77839999999999998</v>
      </c>
      <c r="O12" s="273">
        <v>3</v>
      </c>
      <c r="P12" s="271">
        <f t="shared" si="1"/>
        <v>3.2433333333333336</v>
      </c>
      <c r="Q12" s="271">
        <f t="shared" si="2"/>
        <v>70.929521707260861</v>
      </c>
      <c r="R12" s="396">
        <f t="shared" si="3"/>
        <v>0</v>
      </c>
      <c r="S12" s="396">
        <f t="shared" si="4"/>
        <v>0</v>
      </c>
      <c r="T12" s="396">
        <f t="shared" si="5"/>
        <v>0</v>
      </c>
      <c r="U12" s="396">
        <f t="shared" si="6"/>
        <v>0</v>
      </c>
      <c r="V12" s="91">
        <f t="shared" si="9"/>
        <v>0</v>
      </c>
      <c r="W12" s="349" t="s">
        <v>2013</v>
      </c>
      <c r="X12" s="354" t="s">
        <v>2013</v>
      </c>
      <c r="Y12" s="368" t="s">
        <v>2013</v>
      </c>
      <c r="Z12" s="92" t="s">
        <v>2024</v>
      </c>
      <c r="AA12" s="222" t="s">
        <v>2454</v>
      </c>
      <c r="AB12" s="250">
        <v>1</v>
      </c>
      <c r="AC12" s="251"/>
      <c r="AD12" s="251"/>
      <c r="AE12" s="226"/>
      <c r="AF12" s="223">
        <v>29</v>
      </c>
      <c r="AG12" s="224">
        <f>+MAX(I12:L12)/MIN(60,AF12)</f>
        <v>0.33551724137931038</v>
      </c>
      <c r="AH12" s="80"/>
      <c r="AI12" s="80">
        <f t="shared" si="7"/>
        <v>0</v>
      </c>
      <c r="AJ12" s="80">
        <f t="shared" si="7"/>
        <v>0</v>
      </c>
      <c r="AK12" s="80">
        <f t="shared" si="8"/>
        <v>0</v>
      </c>
    </row>
    <row r="13" spans="1:49" ht="12.75" customHeight="1" x14ac:dyDescent="0.25">
      <c r="A13" s="80" t="e">
        <f>1+#REF!</f>
        <v>#REF!</v>
      </c>
      <c r="B13" s="80"/>
      <c r="C13" s="164" t="s">
        <v>2313</v>
      </c>
      <c r="D13" s="93" t="s">
        <v>2314</v>
      </c>
      <c r="E13" s="92">
        <v>69</v>
      </c>
      <c r="F13" s="94" t="s">
        <v>2102</v>
      </c>
      <c r="G13" s="169" t="s">
        <v>2221</v>
      </c>
      <c r="H13" s="100">
        <v>12.47</v>
      </c>
      <c r="I13" s="152">
        <v>4.8</v>
      </c>
      <c r="J13" s="457">
        <v>4.8</v>
      </c>
      <c r="K13" s="457">
        <v>4.7998510134847088</v>
      </c>
      <c r="L13" s="87">
        <v>5.4175942051321</v>
      </c>
      <c r="M13" s="136">
        <f>+VALUE(RIGHT(G13,3))</f>
        <v>5.6</v>
      </c>
      <c r="N13" s="90">
        <f t="shared" si="0"/>
        <v>0.96742753663073222</v>
      </c>
      <c r="O13" s="273">
        <v>1</v>
      </c>
      <c r="P13" s="271">
        <f t="shared" si="1"/>
        <v>5.4175942051321</v>
      </c>
      <c r="Q13" s="271">
        <f t="shared" si="2"/>
        <v>250.82994969472131</v>
      </c>
      <c r="R13" s="396">
        <f t="shared" si="3"/>
        <v>0</v>
      </c>
      <c r="S13" s="396">
        <f t="shared" si="4"/>
        <v>0</v>
      </c>
      <c r="T13" s="396">
        <f t="shared" si="5"/>
        <v>0</v>
      </c>
      <c r="U13" s="396">
        <f t="shared" si="6"/>
        <v>0</v>
      </c>
      <c r="V13" s="91">
        <f t="shared" si="9"/>
        <v>0</v>
      </c>
      <c r="W13" s="349" t="s">
        <v>2014</v>
      </c>
      <c r="X13" s="354" t="s">
        <v>2014</v>
      </c>
      <c r="Y13" s="368" t="s">
        <v>2014</v>
      </c>
      <c r="Z13" s="92" t="s">
        <v>2450</v>
      </c>
      <c r="AA13" s="222">
        <v>336</v>
      </c>
      <c r="AB13" s="250">
        <v>2</v>
      </c>
      <c r="AC13" s="251"/>
      <c r="AD13" s="251"/>
      <c r="AE13" s="226"/>
      <c r="AF13" s="223">
        <f>60+60</f>
        <v>120</v>
      </c>
      <c r="AG13" s="239" t="s">
        <v>2092</v>
      </c>
      <c r="AH13" s="80"/>
      <c r="AI13" s="80">
        <f t="shared" si="7"/>
        <v>1</v>
      </c>
      <c r="AJ13" s="80">
        <f t="shared" si="7"/>
        <v>1</v>
      </c>
      <c r="AK13" s="80">
        <f t="shared" si="8"/>
        <v>1</v>
      </c>
    </row>
    <row r="14" spans="1:49" ht="12.75" customHeight="1" x14ac:dyDescent="0.25">
      <c r="A14" s="80" t="e">
        <f t="shared" si="10"/>
        <v>#REF!</v>
      </c>
      <c r="B14" s="80"/>
      <c r="C14" s="164" t="s">
        <v>2315</v>
      </c>
      <c r="D14" s="93" t="s">
        <v>2316</v>
      </c>
      <c r="E14" s="92">
        <v>69</v>
      </c>
      <c r="F14" s="94" t="s">
        <v>2097</v>
      </c>
      <c r="G14" s="94" t="s">
        <v>2317</v>
      </c>
      <c r="H14" s="100">
        <v>13.2</v>
      </c>
      <c r="I14" s="152">
        <v>6.56</v>
      </c>
      <c r="J14" s="457">
        <v>8.2857344980471641</v>
      </c>
      <c r="K14" s="457">
        <v>7.6577713966612597</v>
      </c>
      <c r="L14" s="87">
        <v>9.3155678559194204</v>
      </c>
      <c r="M14" s="136">
        <f>+VALUE(RIGHT(G14,4))</f>
        <v>12.5</v>
      </c>
      <c r="N14" s="90">
        <f t="shared" si="0"/>
        <v>0.74524542847355368</v>
      </c>
      <c r="O14" s="273">
        <v>3</v>
      </c>
      <c r="P14" s="271">
        <f t="shared" si="1"/>
        <v>3.1051892853064733</v>
      </c>
      <c r="Q14" s="271">
        <f t="shared" si="2"/>
        <v>135.81680831488137</v>
      </c>
      <c r="R14" s="396">
        <f t="shared" si="3"/>
        <v>0</v>
      </c>
      <c r="S14" s="396">
        <f t="shared" si="4"/>
        <v>0</v>
      </c>
      <c r="T14" s="396">
        <f t="shared" si="5"/>
        <v>0</v>
      </c>
      <c r="U14" s="396">
        <f t="shared" si="6"/>
        <v>0</v>
      </c>
      <c r="V14" s="91">
        <f t="shared" si="9"/>
        <v>0</v>
      </c>
      <c r="W14" s="643" t="s">
        <v>2013</v>
      </c>
      <c r="X14" s="338" t="s">
        <v>2013</v>
      </c>
      <c r="Y14" s="348" t="s">
        <v>2014</v>
      </c>
      <c r="Z14" s="695" t="s">
        <v>2024</v>
      </c>
      <c r="AA14" s="707">
        <v>336</v>
      </c>
      <c r="AB14" s="701">
        <v>1</v>
      </c>
      <c r="AC14" s="704"/>
      <c r="AD14" s="704"/>
      <c r="AE14" s="707"/>
      <c r="AF14" s="802">
        <v>60</v>
      </c>
      <c r="AG14" s="817">
        <f>+(MAX(I14:L14)+MAX(I15:L15)+MAX(I16:L16))/MIN(60,AF14)</f>
        <v>0.51972190488653847</v>
      </c>
      <c r="AH14" s="80"/>
      <c r="AI14" s="750">
        <f t="shared" si="7"/>
        <v>0</v>
      </c>
      <c r="AJ14" s="80">
        <f t="shared" si="7"/>
        <v>0</v>
      </c>
      <c r="AK14" s="80">
        <f t="shared" si="8"/>
        <v>3</v>
      </c>
    </row>
    <row r="15" spans="1:49" ht="12.75" customHeight="1" x14ac:dyDescent="0.25">
      <c r="A15" s="80" t="e">
        <f t="shared" si="10"/>
        <v>#REF!</v>
      </c>
      <c r="B15" s="80"/>
      <c r="C15" s="164" t="s">
        <v>2315</v>
      </c>
      <c r="D15" s="93" t="s">
        <v>2316</v>
      </c>
      <c r="E15" s="92">
        <v>69</v>
      </c>
      <c r="F15" s="94" t="s">
        <v>2102</v>
      </c>
      <c r="G15" s="94" t="s">
        <v>2197</v>
      </c>
      <c r="H15" s="100">
        <v>13.2</v>
      </c>
      <c r="I15" s="152">
        <v>9.6999999999999993</v>
      </c>
      <c r="J15" s="457">
        <v>8.2857344980471641</v>
      </c>
      <c r="K15" s="457">
        <v>8.7745297253410275</v>
      </c>
      <c r="L15" s="87">
        <v>9.7205925453072215</v>
      </c>
      <c r="M15" s="136">
        <f>+VALUE(RIGHT(G15,2))</f>
        <v>14</v>
      </c>
      <c r="N15" s="90">
        <f t="shared" si="0"/>
        <v>0.69432803895051587</v>
      </c>
      <c r="O15" s="273">
        <v>3</v>
      </c>
      <c r="P15" s="271">
        <f t="shared" si="1"/>
        <v>3.2401975151024072</v>
      </c>
      <c r="Q15" s="271">
        <f t="shared" si="2"/>
        <v>141.72188693726753</v>
      </c>
      <c r="R15" s="396">
        <f t="shared" si="3"/>
        <v>0</v>
      </c>
      <c r="S15" s="396">
        <f t="shared" si="4"/>
        <v>0</v>
      </c>
      <c r="T15" s="396">
        <f t="shared" si="5"/>
        <v>0</v>
      </c>
      <c r="U15" s="396">
        <f t="shared" si="6"/>
        <v>0</v>
      </c>
      <c r="V15" s="91">
        <f t="shared" si="9"/>
        <v>0</v>
      </c>
      <c r="W15" s="643"/>
      <c r="X15" s="338" t="s">
        <v>2013</v>
      </c>
      <c r="Y15" s="348" t="s">
        <v>2014</v>
      </c>
      <c r="Z15" s="697"/>
      <c r="AA15" s="709"/>
      <c r="AB15" s="703"/>
      <c r="AC15" s="706"/>
      <c r="AD15" s="706"/>
      <c r="AE15" s="709"/>
      <c r="AF15" s="803"/>
      <c r="AG15" s="787"/>
      <c r="AH15" s="80"/>
      <c r="AI15" s="750"/>
      <c r="AJ15" s="80">
        <f t="shared" ref="AJ15:AJ35" si="11">+IF(X15="y",1,0)</f>
        <v>0</v>
      </c>
      <c r="AK15" s="80">
        <f t="shared" si="8"/>
        <v>3</v>
      </c>
    </row>
    <row r="16" spans="1:49" ht="12.75" customHeight="1" x14ac:dyDescent="0.25">
      <c r="A16" s="80" t="e">
        <f>1+#REF!</f>
        <v>#REF!</v>
      </c>
      <c r="B16" s="80"/>
      <c r="C16" s="164" t="s">
        <v>2318</v>
      </c>
      <c r="D16" s="93" t="s">
        <v>2319</v>
      </c>
      <c r="E16" s="92">
        <v>69</v>
      </c>
      <c r="F16" s="94" t="s">
        <v>2090</v>
      </c>
      <c r="G16" s="94" t="s">
        <v>2122</v>
      </c>
      <c r="H16" s="100">
        <v>12.47</v>
      </c>
      <c r="I16" s="152">
        <v>6</v>
      </c>
      <c r="J16" s="457">
        <v>7.296653926613498</v>
      </c>
      <c r="K16" s="491">
        <v>12.147153891965671</v>
      </c>
      <c r="L16" s="87">
        <v>6.2789812656236128</v>
      </c>
      <c r="M16" s="136">
        <f>+VALUE(RIGHT(G16,4))</f>
        <v>11.2</v>
      </c>
      <c r="N16" s="90">
        <f t="shared" si="0"/>
        <v>1.0845673117826493</v>
      </c>
      <c r="O16" s="273">
        <v>3</v>
      </c>
      <c r="P16" s="271">
        <f t="shared" si="1"/>
        <v>4.0490512973218902</v>
      </c>
      <c r="Q16" s="271">
        <f t="shared" si="2"/>
        <v>187.4675907354769</v>
      </c>
      <c r="R16" s="396">
        <f t="shared" si="3"/>
        <v>0</v>
      </c>
      <c r="S16" s="396">
        <f t="shared" si="4"/>
        <v>0</v>
      </c>
      <c r="T16" s="200">
        <v>0</v>
      </c>
      <c r="U16" s="396">
        <f t="shared" si="6"/>
        <v>0</v>
      </c>
      <c r="V16" s="91">
        <f t="shared" si="9"/>
        <v>0</v>
      </c>
      <c r="W16" s="349" t="s">
        <v>2013</v>
      </c>
      <c r="X16" s="354" t="s">
        <v>2013</v>
      </c>
      <c r="Y16" s="368" t="s">
        <v>2013</v>
      </c>
      <c r="Z16" s="92" t="s">
        <v>2024</v>
      </c>
      <c r="AA16" s="222" t="s">
        <v>2451</v>
      </c>
      <c r="AB16" s="250">
        <v>1</v>
      </c>
      <c r="AC16" s="251"/>
      <c r="AD16" s="251"/>
      <c r="AE16" s="226"/>
      <c r="AF16" s="223">
        <v>60</v>
      </c>
      <c r="AG16" s="224">
        <f>+MAX(I16:L16)/MIN(60,AF16)</f>
        <v>0.2024525648660945</v>
      </c>
      <c r="AH16" s="80"/>
      <c r="AI16" s="80">
        <f>+IF(W16="y",1,0)</f>
        <v>0</v>
      </c>
      <c r="AJ16" s="80">
        <f t="shared" si="11"/>
        <v>0</v>
      </c>
      <c r="AK16" s="80">
        <f t="shared" si="8"/>
        <v>0</v>
      </c>
      <c r="AM16" s="199" t="s">
        <v>2478</v>
      </c>
      <c r="AN16" s="290"/>
      <c r="AO16" s="290"/>
      <c r="AP16" s="290"/>
      <c r="AQ16" s="290"/>
      <c r="AR16" s="290"/>
      <c r="AS16" s="290"/>
      <c r="AT16" s="290"/>
      <c r="AU16" s="290"/>
      <c r="AV16" s="290"/>
      <c r="AW16" s="290"/>
    </row>
    <row r="17" spans="1:49" ht="12.75" customHeight="1" x14ac:dyDescent="0.25">
      <c r="A17" s="80" t="e">
        <f t="shared" si="10"/>
        <v>#REF!</v>
      </c>
      <c r="B17" s="80"/>
      <c r="C17" s="164" t="s">
        <v>2320</v>
      </c>
      <c r="D17" s="93" t="s">
        <v>2321</v>
      </c>
      <c r="E17" s="92">
        <v>69</v>
      </c>
      <c r="F17" s="94" t="s">
        <v>2097</v>
      </c>
      <c r="G17" s="94" t="s">
        <v>2098</v>
      </c>
      <c r="H17" s="151">
        <v>26.4</v>
      </c>
      <c r="I17" s="152">
        <v>21.62</v>
      </c>
      <c r="J17" s="457">
        <v>20.324726423554942</v>
      </c>
      <c r="K17" s="457">
        <v>22.652761610621486</v>
      </c>
      <c r="L17" s="87">
        <v>21.946786112522098</v>
      </c>
      <c r="M17" s="136">
        <f>+VALUE(RIGHT(G17,2))</f>
        <v>25</v>
      </c>
      <c r="N17" s="90">
        <f t="shared" si="0"/>
        <v>0.90611046442485943</v>
      </c>
      <c r="O17" s="273">
        <v>2</v>
      </c>
      <c r="P17" s="271">
        <f t="shared" si="1"/>
        <v>11.326380805310743</v>
      </c>
      <c r="Q17" s="271">
        <f t="shared" si="2"/>
        <v>247.7003411700897</v>
      </c>
      <c r="R17" s="321">
        <f>+I17</f>
        <v>21.62</v>
      </c>
      <c r="S17" s="321">
        <f>+J17</f>
        <v>20.324726423554942</v>
      </c>
      <c r="T17" s="321">
        <f>+K17</f>
        <v>22.652761610621486</v>
      </c>
      <c r="U17" s="321">
        <f>+L17</f>
        <v>21.946786112522098</v>
      </c>
      <c r="V17" s="321">
        <f t="shared" si="9"/>
        <v>22.652761610621486</v>
      </c>
      <c r="W17" s="349" t="s">
        <v>2014</v>
      </c>
      <c r="X17" s="354" t="s">
        <v>2013</v>
      </c>
      <c r="Y17" s="368" t="s">
        <v>2013</v>
      </c>
      <c r="Z17" s="92" t="s">
        <v>2024</v>
      </c>
      <c r="AA17" s="222" t="s">
        <v>2466</v>
      </c>
      <c r="AB17" s="250">
        <v>1</v>
      </c>
      <c r="AC17" s="251"/>
      <c r="AD17" s="251"/>
      <c r="AE17" s="226"/>
      <c r="AF17" s="223">
        <v>24</v>
      </c>
      <c r="AG17" s="268">
        <f>+MAX(I17:L17)/MIN(60,AF17)</f>
        <v>0.94386506710922857</v>
      </c>
      <c r="AH17" s="80"/>
      <c r="AI17" s="80">
        <f>+IF(W17="y",1,0)</f>
        <v>1</v>
      </c>
      <c r="AJ17" s="80">
        <f t="shared" si="11"/>
        <v>0</v>
      </c>
      <c r="AK17" s="80">
        <f t="shared" si="8"/>
        <v>0</v>
      </c>
      <c r="AL17" s="382"/>
      <c r="AM17" s="296" t="s">
        <v>2481</v>
      </c>
      <c r="AN17" s="296"/>
      <c r="AO17" s="296"/>
      <c r="AP17" s="296"/>
      <c r="AQ17" s="296"/>
      <c r="AR17" s="296"/>
      <c r="AS17" s="296"/>
      <c r="AT17" s="296"/>
      <c r="AU17" s="296"/>
      <c r="AV17" s="296"/>
      <c r="AW17" s="296"/>
    </row>
    <row r="18" spans="1:49" ht="12.75" customHeight="1" x14ac:dyDescent="0.25">
      <c r="A18" s="80" t="e">
        <f t="shared" si="10"/>
        <v>#REF!</v>
      </c>
      <c r="B18" s="80"/>
      <c r="C18" s="164" t="s">
        <v>2322</v>
      </c>
      <c r="D18" s="93" t="s">
        <v>2323</v>
      </c>
      <c r="E18" s="92">
        <v>69</v>
      </c>
      <c r="F18" s="94" t="s">
        <v>2097</v>
      </c>
      <c r="G18" s="94" t="s">
        <v>2228</v>
      </c>
      <c r="H18" s="100">
        <v>13.2</v>
      </c>
      <c r="I18" s="152">
        <v>4.8</v>
      </c>
      <c r="J18" s="457">
        <v>5.7615853848560645</v>
      </c>
      <c r="K18" s="457">
        <v>3.4374631768560135</v>
      </c>
      <c r="L18" s="87">
        <v>4.0428600395137204</v>
      </c>
      <c r="M18" s="136">
        <f>+VALUE(RIGHT(G18,4))</f>
        <v>10</v>
      </c>
      <c r="N18" s="90">
        <f t="shared" si="0"/>
        <v>0.5761585384856065</v>
      </c>
      <c r="O18" s="273">
        <v>1</v>
      </c>
      <c r="P18" s="271">
        <f t="shared" si="1"/>
        <v>5.7615853848560645</v>
      </c>
      <c r="Q18" s="271">
        <f t="shared" si="2"/>
        <v>252.00400552315628</v>
      </c>
      <c r="R18" s="396">
        <f>IF($Q18&gt;260,I18,IF(OR(I18="-",I18&lt;($M18*1.06)),0,I18))</f>
        <v>0</v>
      </c>
      <c r="S18" s="396">
        <f>IF($Q18&gt;260,J18,IF(OR(J18="-",J18&lt;($M18*1.06)),0,J18))</f>
        <v>0</v>
      </c>
      <c r="T18" s="396">
        <f>IF($Q18&gt;260,K18,IF(OR(K18="-",K18&lt;($M18*1.06)),0,K18))</f>
        <v>0</v>
      </c>
      <c r="U18" s="396">
        <f>IF($Q18&gt;260,L18,IF(OR(L18="-",L18&lt;($M18*1.06)),0,L18))</f>
        <v>0</v>
      </c>
      <c r="V18" s="91">
        <f t="shared" si="9"/>
        <v>0</v>
      </c>
      <c r="W18" s="349" t="s">
        <v>2014</v>
      </c>
      <c r="X18" s="354" t="s">
        <v>2013</v>
      </c>
      <c r="Y18" s="368" t="s">
        <v>2013</v>
      </c>
      <c r="Z18" s="92" t="s">
        <v>2450</v>
      </c>
      <c r="AA18" s="222" t="s">
        <v>2467</v>
      </c>
      <c r="AB18" s="250">
        <v>2</v>
      </c>
      <c r="AC18" s="251">
        <v>2</v>
      </c>
      <c r="AD18" s="251"/>
      <c r="AE18" s="226"/>
      <c r="AF18" s="223">
        <f>101+45+242+242</f>
        <v>630</v>
      </c>
      <c r="AG18" s="239" t="s">
        <v>2092</v>
      </c>
      <c r="AH18" s="80"/>
      <c r="AI18" s="80">
        <f>+IF(W18="y",1,0)</f>
        <v>1</v>
      </c>
      <c r="AJ18" s="80">
        <f t="shared" si="11"/>
        <v>0</v>
      </c>
      <c r="AK18" s="80">
        <f t="shared" si="8"/>
        <v>0</v>
      </c>
      <c r="AL18" s="382"/>
    </row>
    <row r="19" spans="1:49" ht="12.75" customHeight="1" x14ac:dyDescent="0.25">
      <c r="A19" s="80" t="e">
        <f t="shared" si="10"/>
        <v>#REF!</v>
      </c>
      <c r="B19" s="80"/>
      <c r="C19" s="164" t="s">
        <v>2324</v>
      </c>
      <c r="D19" s="93" t="s">
        <v>2325</v>
      </c>
      <c r="E19" s="92">
        <v>69</v>
      </c>
      <c r="F19" s="94" t="s">
        <v>2097</v>
      </c>
      <c r="G19" s="94" t="s">
        <v>2326</v>
      </c>
      <c r="H19" s="100">
        <v>4.16</v>
      </c>
      <c r="I19" s="154" t="s">
        <v>2092</v>
      </c>
      <c r="J19" s="465" t="s">
        <v>2092</v>
      </c>
      <c r="K19" s="465" t="s">
        <v>2092</v>
      </c>
      <c r="L19" s="299">
        <v>3.5937879175036338</v>
      </c>
      <c r="M19" s="136">
        <f>+VALUE(RIGHT(G19,4))</f>
        <v>7.47</v>
      </c>
      <c r="N19" s="90">
        <f t="shared" si="0"/>
        <v>0.48109610676086129</v>
      </c>
      <c r="O19" s="273">
        <v>3</v>
      </c>
      <c r="P19" s="271">
        <f t="shared" si="1"/>
        <v>1.1979293058345446</v>
      </c>
      <c r="Q19" s="490">
        <f t="shared" si="2"/>
        <v>166.25596326772015</v>
      </c>
      <c r="R19" s="104">
        <v>0</v>
      </c>
      <c r="S19" s="104">
        <v>0</v>
      </c>
      <c r="T19" s="104">
        <v>0</v>
      </c>
      <c r="U19" s="104">
        <v>0</v>
      </c>
      <c r="V19" s="104">
        <v>0</v>
      </c>
      <c r="W19" s="349" t="s">
        <v>2013</v>
      </c>
      <c r="X19" s="354" t="s">
        <v>2013</v>
      </c>
      <c r="Y19" s="368" t="s">
        <v>2013</v>
      </c>
      <c r="Z19" s="92" t="s">
        <v>2024</v>
      </c>
      <c r="AA19" s="222" t="s">
        <v>2451</v>
      </c>
      <c r="AB19" s="250">
        <v>1</v>
      </c>
      <c r="AC19" s="251"/>
      <c r="AD19" s="251"/>
      <c r="AE19" s="226"/>
      <c r="AF19" s="223">
        <v>45</v>
      </c>
      <c r="AG19" s="224">
        <f>+MAX(I19:L19)/MIN(60,AF19)</f>
        <v>7.9861953722302967E-2</v>
      </c>
      <c r="AH19" s="80"/>
      <c r="AI19" s="80">
        <f>+IF(W19="y",1,0)</f>
        <v>0</v>
      </c>
      <c r="AJ19" s="80">
        <f t="shared" si="11"/>
        <v>0</v>
      </c>
      <c r="AK19" s="80">
        <f t="shared" si="8"/>
        <v>0</v>
      </c>
      <c r="AL19" s="382"/>
      <c r="AM19" s="382" t="s">
        <v>2477</v>
      </c>
      <c r="AN19" s="382"/>
      <c r="AO19" s="382"/>
      <c r="AP19" s="382"/>
      <c r="AQ19" s="382"/>
      <c r="AR19" s="382"/>
      <c r="AS19" s="382"/>
      <c r="AT19" s="382"/>
      <c r="AU19" s="382"/>
      <c r="AV19" s="382"/>
    </row>
    <row r="20" spans="1:49" ht="12.75" customHeight="1" x14ac:dyDescent="0.25">
      <c r="A20" s="80" t="e">
        <f t="shared" si="10"/>
        <v>#REF!</v>
      </c>
      <c r="B20" s="80"/>
      <c r="C20" s="164" t="s">
        <v>2327</v>
      </c>
      <c r="D20" s="93" t="s">
        <v>2328</v>
      </c>
      <c r="E20" s="92">
        <v>69</v>
      </c>
      <c r="F20" s="94" t="s">
        <v>2097</v>
      </c>
      <c r="G20" s="94" t="s">
        <v>2204</v>
      </c>
      <c r="H20" s="100">
        <v>13.2</v>
      </c>
      <c r="I20" s="152">
        <v>5.14</v>
      </c>
      <c r="J20" s="457">
        <v>6.3571428731333564</v>
      </c>
      <c r="K20" s="457">
        <v>8.1960981423987675</v>
      </c>
      <c r="L20" s="87">
        <v>8.350271925964325</v>
      </c>
      <c r="M20" s="136">
        <f>+VALUE(RIGHT(G20,2))</f>
        <v>14</v>
      </c>
      <c r="N20" s="90">
        <f t="shared" si="0"/>
        <v>0.59644799471173748</v>
      </c>
      <c r="O20" s="273">
        <v>2</v>
      </c>
      <c r="P20" s="271">
        <f t="shared" si="1"/>
        <v>4.1751359629821625</v>
      </c>
      <c r="Q20" s="271">
        <f t="shared" si="2"/>
        <v>182.61483879780602</v>
      </c>
      <c r="R20" s="396">
        <f t="shared" ref="R20:R35" si="12">IF($Q20&gt;260,I20,IF(OR(I20="-",I20&lt;($M20*1.06)),0,I20))</f>
        <v>0</v>
      </c>
      <c r="S20" s="396">
        <f t="shared" ref="S20:S35" si="13">IF($Q20&gt;260,J20,IF(OR(J20="-",J20&lt;($M20*1.06)),0,J20))</f>
        <v>0</v>
      </c>
      <c r="T20" s="396">
        <f t="shared" ref="T20:T35" si="14">IF($Q20&gt;260,K20,IF(OR(K20="-",K20&lt;($M20*1.06)),0,K20))</f>
        <v>0</v>
      </c>
      <c r="U20" s="396">
        <f t="shared" ref="U20:U35" si="15">IF($Q20&gt;260,L20,IF(OR(L20="-",L20&lt;($M20*1.06)),0,L20))</f>
        <v>0</v>
      </c>
      <c r="V20" s="91">
        <f t="shared" si="9"/>
        <v>0</v>
      </c>
      <c r="W20" s="643" t="s">
        <v>2013</v>
      </c>
      <c r="X20" s="338" t="s">
        <v>2014</v>
      </c>
      <c r="Y20" s="348" t="s">
        <v>2014</v>
      </c>
      <c r="Z20" s="695" t="s">
        <v>2024</v>
      </c>
      <c r="AA20" s="770" t="s">
        <v>2451</v>
      </c>
      <c r="AB20" s="701">
        <v>2</v>
      </c>
      <c r="AC20" s="704"/>
      <c r="AD20" s="704"/>
      <c r="AE20" s="707"/>
      <c r="AF20" s="802">
        <v>45</v>
      </c>
      <c r="AG20" s="817">
        <f>+(MAX(I20:L20)+MAX(I21:L21))/MIN(60,AF20)</f>
        <v>0.46535284110658975</v>
      </c>
      <c r="AH20" s="80"/>
      <c r="AI20" s="750">
        <f>+IF(W20="y",1,0)</f>
        <v>0</v>
      </c>
      <c r="AJ20" s="80">
        <f t="shared" si="11"/>
        <v>1</v>
      </c>
      <c r="AK20" s="80">
        <f t="shared" si="8"/>
        <v>2</v>
      </c>
    </row>
    <row r="21" spans="1:49" ht="12.75" customHeight="1" x14ac:dyDescent="0.25">
      <c r="A21" s="80"/>
      <c r="B21" s="80"/>
      <c r="C21" s="164" t="s">
        <v>2327</v>
      </c>
      <c r="D21" s="93" t="s">
        <v>2328</v>
      </c>
      <c r="E21" s="92">
        <v>69</v>
      </c>
      <c r="F21" s="94" t="s">
        <v>2102</v>
      </c>
      <c r="G21" s="94" t="s">
        <v>2122</v>
      </c>
      <c r="H21" s="100">
        <v>12.47</v>
      </c>
      <c r="I21" s="152">
        <v>10.18</v>
      </c>
      <c r="J21" s="457">
        <v>12.590605923832214</v>
      </c>
      <c r="K21" s="457">
        <v>10.654927585118397</v>
      </c>
      <c r="L21" s="87">
        <v>6.3419786779475888</v>
      </c>
      <c r="M21" s="136">
        <f>+VALUE(RIGHT(G21,4))</f>
        <v>11.2</v>
      </c>
      <c r="N21" s="90">
        <f t="shared" si="0"/>
        <v>1.1241612431993049</v>
      </c>
      <c r="O21" s="273">
        <v>2</v>
      </c>
      <c r="P21" s="271">
        <f t="shared" si="1"/>
        <v>6.2953029619161072</v>
      </c>
      <c r="Q21" s="271">
        <f t="shared" si="2"/>
        <v>291.46710983901465</v>
      </c>
      <c r="R21" s="396">
        <f t="shared" si="12"/>
        <v>10.18</v>
      </c>
      <c r="S21" s="396">
        <f t="shared" si="13"/>
        <v>12.590605923832214</v>
      </c>
      <c r="T21" s="396">
        <f t="shared" si="14"/>
        <v>10.654927585118397</v>
      </c>
      <c r="U21" s="396">
        <f t="shared" si="15"/>
        <v>6.3419786779475888</v>
      </c>
      <c r="V21" s="91">
        <f t="shared" si="9"/>
        <v>12.590605923832214</v>
      </c>
      <c r="W21" s="643"/>
      <c r="X21" s="338" t="s">
        <v>2014</v>
      </c>
      <c r="Y21" s="348" t="s">
        <v>2014</v>
      </c>
      <c r="Z21" s="697"/>
      <c r="AA21" s="709"/>
      <c r="AB21" s="703"/>
      <c r="AC21" s="706"/>
      <c r="AD21" s="706"/>
      <c r="AE21" s="709"/>
      <c r="AF21" s="803"/>
      <c r="AG21" s="787"/>
      <c r="AH21" s="80"/>
      <c r="AI21" s="750"/>
      <c r="AJ21" s="80">
        <f t="shared" si="11"/>
        <v>1</v>
      </c>
      <c r="AK21" s="80">
        <f t="shared" si="8"/>
        <v>2</v>
      </c>
    </row>
    <row r="22" spans="1:49" ht="12.75" customHeight="1" x14ac:dyDescent="0.25">
      <c r="A22" s="80" t="e">
        <f>1+A20</f>
        <v>#REF!</v>
      </c>
      <c r="B22" s="80"/>
      <c r="C22" s="164" t="s">
        <v>2329</v>
      </c>
      <c r="D22" s="93" t="s">
        <v>2330</v>
      </c>
      <c r="E22" s="92">
        <v>69</v>
      </c>
      <c r="F22" s="94" t="s">
        <v>2097</v>
      </c>
      <c r="G22" s="94" t="s">
        <v>2331</v>
      </c>
      <c r="H22" s="100">
        <v>13.2</v>
      </c>
      <c r="I22" s="152">
        <v>15.39</v>
      </c>
      <c r="J22" s="457">
        <v>12.967386291553728</v>
      </c>
      <c r="K22" s="457">
        <v>14.505815470534744</v>
      </c>
      <c r="L22" s="87">
        <v>12.930053102267546</v>
      </c>
      <c r="M22" s="136">
        <f>+VALUE(RIGHT(G22,2))</f>
        <v>25</v>
      </c>
      <c r="N22" s="90">
        <f t="shared" si="0"/>
        <v>0.61560000000000004</v>
      </c>
      <c r="O22" s="273">
        <v>3</v>
      </c>
      <c r="P22" s="271">
        <f t="shared" si="1"/>
        <v>5.13</v>
      </c>
      <c r="Q22" s="271">
        <f t="shared" si="2"/>
        <v>224.37930916233188</v>
      </c>
      <c r="R22" s="396">
        <f t="shared" si="12"/>
        <v>0</v>
      </c>
      <c r="S22" s="396">
        <f t="shared" si="13"/>
        <v>0</v>
      </c>
      <c r="T22" s="396">
        <f t="shared" si="14"/>
        <v>0</v>
      </c>
      <c r="U22" s="396">
        <f t="shared" si="15"/>
        <v>0</v>
      </c>
      <c r="V22" s="91">
        <f t="shared" si="9"/>
        <v>0</v>
      </c>
      <c r="W22" s="349" t="s">
        <v>2013</v>
      </c>
      <c r="X22" s="354" t="s">
        <v>2013</v>
      </c>
      <c r="Y22" s="368" t="s">
        <v>2013</v>
      </c>
      <c r="Z22" s="92" t="s">
        <v>2024</v>
      </c>
      <c r="AA22" s="222">
        <v>336</v>
      </c>
      <c r="AB22" s="250">
        <v>1</v>
      </c>
      <c r="AC22" s="251"/>
      <c r="AD22" s="251"/>
      <c r="AE22" s="226"/>
      <c r="AF22" s="223">
        <v>45</v>
      </c>
      <c r="AG22" s="224">
        <f>+MAX(I22:L22)/MIN(60,AF22)</f>
        <v>0.34200000000000003</v>
      </c>
      <c r="AH22" s="80"/>
      <c r="AI22" s="80">
        <f t="shared" ref="AI22:AI28" si="16">+IF(W22="y",1,0)</f>
        <v>0</v>
      </c>
      <c r="AJ22" s="80">
        <f t="shared" si="11"/>
        <v>0</v>
      </c>
      <c r="AK22" s="80">
        <f t="shared" si="8"/>
        <v>0</v>
      </c>
    </row>
    <row r="23" spans="1:49" ht="12.75" customHeight="1" x14ac:dyDescent="0.25">
      <c r="A23" s="80" t="e">
        <f t="shared" si="10"/>
        <v>#REF!</v>
      </c>
      <c r="B23" s="80"/>
      <c r="C23" s="164" t="s">
        <v>2332</v>
      </c>
      <c r="D23" s="93" t="s">
        <v>2333</v>
      </c>
      <c r="E23" s="92">
        <v>69</v>
      </c>
      <c r="F23" s="94" t="s">
        <v>2097</v>
      </c>
      <c r="G23" s="94" t="s">
        <v>2197</v>
      </c>
      <c r="H23" s="100">
        <v>13.2</v>
      </c>
      <c r="I23" s="152">
        <v>8.9600000000000009</v>
      </c>
      <c r="J23" s="457">
        <v>7.2941547889989726</v>
      </c>
      <c r="K23" s="457">
        <v>9.5293678273585911</v>
      </c>
      <c r="L23" s="87">
        <v>7.9862092690476016</v>
      </c>
      <c r="M23" s="136">
        <f>+VALUE(RIGHT(G23,2))</f>
        <v>14</v>
      </c>
      <c r="N23" s="90">
        <f t="shared" si="0"/>
        <v>0.68066913052561362</v>
      </c>
      <c r="O23" s="273">
        <v>3</v>
      </c>
      <c r="P23" s="271">
        <f t="shared" si="1"/>
        <v>3.1764559424528636</v>
      </c>
      <c r="Q23" s="271">
        <f t="shared" si="2"/>
        <v>138.93391617001117</v>
      </c>
      <c r="R23" s="396">
        <f t="shared" si="12"/>
        <v>0</v>
      </c>
      <c r="S23" s="396">
        <f t="shared" si="13"/>
        <v>0</v>
      </c>
      <c r="T23" s="396">
        <f t="shared" si="14"/>
        <v>0</v>
      </c>
      <c r="U23" s="396">
        <f t="shared" si="15"/>
        <v>0</v>
      </c>
      <c r="V23" s="91">
        <f t="shared" si="9"/>
        <v>0</v>
      </c>
      <c r="W23" s="349" t="s">
        <v>2013</v>
      </c>
      <c r="X23" s="354" t="s">
        <v>2013</v>
      </c>
      <c r="Y23" s="368" t="s">
        <v>2013</v>
      </c>
      <c r="Z23" s="92" t="s">
        <v>2024</v>
      </c>
      <c r="AA23" s="222" t="s">
        <v>2451</v>
      </c>
      <c r="AB23" s="250">
        <v>1</v>
      </c>
      <c r="AC23" s="251"/>
      <c r="AD23" s="251"/>
      <c r="AE23" s="226"/>
      <c r="AF23" s="223">
        <v>45</v>
      </c>
      <c r="AG23" s="224">
        <f>+MAX(I23:L23)/MIN(60,AF23)</f>
        <v>0.21176372949685757</v>
      </c>
      <c r="AH23" s="80"/>
      <c r="AI23" s="80">
        <f t="shared" si="16"/>
        <v>0</v>
      </c>
      <c r="AJ23" s="80">
        <f t="shared" si="11"/>
        <v>0</v>
      </c>
      <c r="AK23" s="80">
        <f t="shared" si="8"/>
        <v>0</v>
      </c>
    </row>
    <row r="24" spans="1:49" ht="12.75" customHeight="1" x14ac:dyDescent="0.25">
      <c r="A24" s="80" t="e">
        <f t="shared" si="10"/>
        <v>#REF!</v>
      </c>
      <c r="B24" s="80"/>
      <c r="C24" s="164" t="s">
        <v>2334</v>
      </c>
      <c r="D24" s="93" t="s">
        <v>2335</v>
      </c>
      <c r="E24" s="92">
        <v>69</v>
      </c>
      <c r="F24" s="94" t="s">
        <v>2090</v>
      </c>
      <c r="G24" s="94" t="s">
        <v>2122</v>
      </c>
      <c r="H24" s="100">
        <v>12.47</v>
      </c>
      <c r="I24" s="152" t="s">
        <v>2092</v>
      </c>
      <c r="J24" s="457">
        <v>13.937980270529932</v>
      </c>
      <c r="K24" s="457">
        <v>14.061266513087068</v>
      </c>
      <c r="L24" s="87">
        <v>11.186135891698623</v>
      </c>
      <c r="M24" s="136">
        <f>+VALUE(RIGHT(G24,4))</f>
        <v>11.2</v>
      </c>
      <c r="N24" s="90">
        <f t="shared" si="0"/>
        <v>1.255470224382774</v>
      </c>
      <c r="O24" s="273">
        <v>3</v>
      </c>
      <c r="P24" s="271">
        <f t="shared" si="1"/>
        <v>4.687088837695689</v>
      </c>
      <c r="Q24" s="271">
        <f t="shared" si="2"/>
        <v>217.00817980427396</v>
      </c>
      <c r="R24" s="396">
        <f t="shared" si="12"/>
        <v>0</v>
      </c>
      <c r="S24" s="396">
        <f t="shared" si="13"/>
        <v>13.937980270529932</v>
      </c>
      <c r="T24" s="396">
        <f t="shared" si="14"/>
        <v>14.061266513087068</v>
      </c>
      <c r="U24" s="396">
        <f t="shared" si="15"/>
        <v>0</v>
      </c>
      <c r="V24" s="91">
        <f t="shared" si="9"/>
        <v>14.061266513087068</v>
      </c>
      <c r="W24" s="349" t="s">
        <v>2014</v>
      </c>
      <c r="X24" s="354" t="s">
        <v>2014</v>
      </c>
      <c r="Y24" s="368" t="s">
        <v>2013</v>
      </c>
      <c r="Z24" s="92" t="s">
        <v>2024</v>
      </c>
      <c r="AA24" s="222">
        <v>336</v>
      </c>
      <c r="AB24" s="250">
        <v>1</v>
      </c>
      <c r="AC24" s="251"/>
      <c r="AD24" s="251"/>
      <c r="AE24" s="226"/>
      <c r="AF24" s="223">
        <v>60</v>
      </c>
      <c r="AG24" s="224">
        <f>+MAX(I24:L24)/MIN(60,AF24)</f>
        <v>0.23435444188478446</v>
      </c>
      <c r="AH24" s="80"/>
      <c r="AI24" s="80">
        <f t="shared" si="16"/>
        <v>1</v>
      </c>
      <c r="AJ24" s="80">
        <f t="shared" si="11"/>
        <v>1</v>
      </c>
      <c r="AK24" s="80">
        <f t="shared" si="8"/>
        <v>0</v>
      </c>
    </row>
    <row r="25" spans="1:49" ht="12.75" customHeight="1" x14ac:dyDescent="0.25">
      <c r="A25" s="80" t="e">
        <f t="shared" si="10"/>
        <v>#REF!</v>
      </c>
      <c r="B25" s="80"/>
      <c r="C25" s="164" t="s">
        <v>2336</v>
      </c>
      <c r="D25" s="93" t="s">
        <v>2337</v>
      </c>
      <c r="E25" s="92">
        <v>69</v>
      </c>
      <c r="F25" s="94" t="s">
        <v>2097</v>
      </c>
      <c r="G25" s="94" t="s">
        <v>2338</v>
      </c>
      <c r="H25" s="100">
        <v>12.48</v>
      </c>
      <c r="I25" s="152">
        <v>8.68</v>
      </c>
      <c r="J25" s="457">
        <v>7.578412834539396</v>
      </c>
      <c r="K25" s="457">
        <v>7.8316188421626398</v>
      </c>
      <c r="L25" s="87">
        <v>7.8051899129697109</v>
      </c>
      <c r="M25" s="136">
        <f>+VALUE(RIGHT(G25,3))</f>
        <v>8.4</v>
      </c>
      <c r="N25" s="90">
        <f t="shared" si="0"/>
        <v>1.0333333333333332</v>
      </c>
      <c r="O25" s="273">
        <v>2</v>
      </c>
      <c r="P25" s="271">
        <f t="shared" si="1"/>
        <v>4.34</v>
      </c>
      <c r="Q25" s="271">
        <f t="shared" si="2"/>
        <v>200.77725707395638</v>
      </c>
      <c r="R25" s="396">
        <f t="shared" si="12"/>
        <v>0</v>
      </c>
      <c r="S25" s="396">
        <f t="shared" si="13"/>
        <v>0</v>
      </c>
      <c r="T25" s="396">
        <f t="shared" si="14"/>
        <v>0</v>
      </c>
      <c r="U25" s="396">
        <f t="shared" si="15"/>
        <v>0</v>
      </c>
      <c r="V25" s="91">
        <f t="shared" si="9"/>
        <v>0</v>
      </c>
      <c r="W25" s="349" t="s">
        <v>2013</v>
      </c>
      <c r="X25" s="354" t="s">
        <v>2013</v>
      </c>
      <c r="Y25" s="368" t="s">
        <v>2013</v>
      </c>
      <c r="Z25" s="92" t="s">
        <v>2024</v>
      </c>
      <c r="AA25" s="222">
        <v>336</v>
      </c>
      <c r="AB25" s="250">
        <v>1</v>
      </c>
      <c r="AC25" s="251"/>
      <c r="AD25" s="251"/>
      <c r="AE25" s="226"/>
      <c r="AF25" s="223">
        <v>60</v>
      </c>
      <c r="AG25" s="224">
        <f>+MAX(I25:L25)/MIN(60,AF25)</f>
        <v>0.14466666666666667</v>
      </c>
      <c r="AH25" s="80"/>
      <c r="AI25" s="80">
        <f t="shared" si="16"/>
        <v>0</v>
      </c>
      <c r="AJ25" s="80">
        <f t="shared" si="11"/>
        <v>0</v>
      </c>
      <c r="AK25" s="80">
        <f t="shared" si="8"/>
        <v>0</v>
      </c>
    </row>
    <row r="26" spans="1:49" ht="12.75" customHeight="1" x14ac:dyDescent="0.25">
      <c r="A26" s="80" t="e">
        <f t="shared" si="10"/>
        <v>#REF!</v>
      </c>
      <c r="B26" s="80"/>
      <c r="C26" s="164" t="s">
        <v>2339</v>
      </c>
      <c r="D26" s="93" t="s">
        <v>2340</v>
      </c>
      <c r="E26" s="92">
        <v>69</v>
      </c>
      <c r="F26" s="94" t="s">
        <v>2097</v>
      </c>
      <c r="G26" s="94" t="s">
        <v>2184</v>
      </c>
      <c r="H26" s="100">
        <v>12.47</v>
      </c>
      <c r="I26" s="152" t="s">
        <v>2092</v>
      </c>
      <c r="J26" s="457">
        <v>2.0460458124353025</v>
      </c>
      <c r="K26" s="457">
        <v>0.93233557644793319</v>
      </c>
      <c r="L26" s="87">
        <v>1.7526624056069711</v>
      </c>
      <c r="M26" s="136">
        <f>+VALUE(RIGHT(G26,4))</f>
        <v>4.4800000000000004</v>
      </c>
      <c r="N26" s="90">
        <f t="shared" si="0"/>
        <v>0.45670665456145143</v>
      </c>
      <c r="O26" s="273">
        <v>2</v>
      </c>
      <c r="P26" s="271">
        <f t="shared" si="1"/>
        <v>1.0230229062176512</v>
      </c>
      <c r="Q26" s="271">
        <f t="shared" si="2"/>
        <v>47.365080215871231</v>
      </c>
      <c r="R26" s="396">
        <f t="shared" si="12"/>
        <v>0</v>
      </c>
      <c r="S26" s="396">
        <f t="shared" si="13"/>
        <v>0</v>
      </c>
      <c r="T26" s="396">
        <f t="shared" si="14"/>
        <v>0</v>
      </c>
      <c r="U26" s="396">
        <f t="shared" si="15"/>
        <v>0</v>
      </c>
      <c r="V26" s="91">
        <f t="shared" si="9"/>
        <v>0</v>
      </c>
      <c r="W26" s="349" t="s">
        <v>2013</v>
      </c>
      <c r="X26" s="354" t="s">
        <v>2013</v>
      </c>
      <c r="Y26" s="368" t="s">
        <v>2013</v>
      </c>
      <c r="Z26" s="92" t="s">
        <v>2024</v>
      </c>
      <c r="AA26" s="222">
        <v>2</v>
      </c>
      <c r="AB26" s="250">
        <v>1</v>
      </c>
      <c r="AC26" s="251"/>
      <c r="AD26" s="251"/>
      <c r="AE26" s="226"/>
      <c r="AF26" s="223">
        <v>24</v>
      </c>
      <c r="AG26" s="224">
        <f>+MAX(I26:L26)/MIN(60,AF26)</f>
        <v>8.5251908851470937E-2</v>
      </c>
      <c r="AH26" s="80"/>
      <c r="AI26" s="80">
        <f t="shared" si="16"/>
        <v>0</v>
      </c>
      <c r="AJ26" s="80">
        <f t="shared" si="11"/>
        <v>0</v>
      </c>
      <c r="AK26" s="80">
        <f t="shared" si="8"/>
        <v>0</v>
      </c>
    </row>
    <row r="27" spans="1:49" ht="12.75" customHeight="1" x14ac:dyDescent="0.25">
      <c r="A27" s="80" t="e">
        <f t="shared" si="10"/>
        <v>#REF!</v>
      </c>
      <c r="B27" s="80"/>
      <c r="C27" s="164" t="s">
        <v>2341</v>
      </c>
      <c r="D27" s="93" t="s">
        <v>2342</v>
      </c>
      <c r="E27" s="92">
        <v>69</v>
      </c>
      <c r="F27" s="94" t="s">
        <v>2090</v>
      </c>
      <c r="G27" s="94">
        <v>1</v>
      </c>
      <c r="H27" s="100">
        <v>12.5</v>
      </c>
      <c r="I27" s="152" t="s">
        <v>2092</v>
      </c>
      <c r="J27" s="457">
        <v>0.54342643452358874</v>
      </c>
      <c r="K27" s="457">
        <v>1.3975037604847713</v>
      </c>
      <c r="L27" s="87">
        <v>1.3586681648704637</v>
      </c>
      <c r="M27" s="136">
        <f>+VALUE(RIGHT(G27,1))</f>
        <v>1</v>
      </c>
      <c r="N27" s="90">
        <f t="shared" si="0"/>
        <v>1.3975037604847713</v>
      </c>
      <c r="O27" s="273">
        <v>1</v>
      </c>
      <c r="P27" s="271">
        <f t="shared" si="1"/>
        <v>1.3975037604847713</v>
      </c>
      <c r="Q27" s="271">
        <f t="shared" si="2"/>
        <v>64.547933784751763</v>
      </c>
      <c r="R27" s="396">
        <f t="shared" si="12"/>
        <v>0</v>
      </c>
      <c r="S27" s="396">
        <f t="shared" si="13"/>
        <v>0</v>
      </c>
      <c r="T27" s="396">
        <f t="shared" si="14"/>
        <v>1.3975037604847713</v>
      </c>
      <c r="U27" s="396">
        <f t="shared" si="15"/>
        <v>1.3586681648704637</v>
      </c>
      <c r="V27" s="91">
        <f t="shared" si="9"/>
        <v>1.3975037604847713</v>
      </c>
      <c r="W27" s="349" t="s">
        <v>2013</v>
      </c>
      <c r="X27" s="354" t="s">
        <v>2013</v>
      </c>
      <c r="Y27" s="368" t="s">
        <v>2013</v>
      </c>
      <c r="Z27" s="92" t="s">
        <v>2450</v>
      </c>
      <c r="AA27" s="222" t="s">
        <v>2451</v>
      </c>
      <c r="AB27" s="250">
        <v>2</v>
      </c>
      <c r="AC27" s="251"/>
      <c r="AD27" s="251"/>
      <c r="AE27" s="226"/>
      <c r="AF27" s="223">
        <f>34+34</f>
        <v>68</v>
      </c>
      <c r="AG27" s="239" t="s">
        <v>2092</v>
      </c>
      <c r="AH27" s="80"/>
      <c r="AI27" s="80">
        <f t="shared" si="16"/>
        <v>0</v>
      </c>
      <c r="AJ27" s="80">
        <f t="shared" si="11"/>
        <v>0</v>
      </c>
      <c r="AK27" s="80">
        <f t="shared" si="8"/>
        <v>0</v>
      </c>
    </row>
    <row r="28" spans="1:49" ht="12" customHeight="1" x14ac:dyDescent="0.25">
      <c r="A28" s="80" t="e">
        <f t="shared" si="10"/>
        <v>#REF!</v>
      </c>
      <c r="B28" s="80"/>
      <c r="C28" s="163" t="s">
        <v>2343</v>
      </c>
      <c r="D28" s="82" t="s">
        <v>2344</v>
      </c>
      <c r="E28" s="81">
        <v>69</v>
      </c>
      <c r="F28" s="83" t="s">
        <v>2090</v>
      </c>
      <c r="G28" s="83" t="s">
        <v>2122</v>
      </c>
      <c r="H28" s="84">
        <v>12.48</v>
      </c>
      <c r="I28" s="149">
        <v>12.95</v>
      </c>
      <c r="J28" s="463">
        <v>11</v>
      </c>
      <c r="K28" s="463">
        <v>12.620212141405693</v>
      </c>
      <c r="L28" s="85">
        <v>11.98323666196611</v>
      </c>
      <c r="M28" s="136">
        <f>+VALUE(RIGHT(G28,4))</f>
        <v>11.2</v>
      </c>
      <c r="N28" s="90">
        <f t="shared" si="0"/>
        <v>1.15625</v>
      </c>
      <c r="O28" s="273">
        <v>3</v>
      </c>
      <c r="P28" s="271">
        <f t="shared" si="1"/>
        <v>4.3166666666666664</v>
      </c>
      <c r="Q28" s="271">
        <f t="shared" si="2"/>
        <v>199.69780945527918</v>
      </c>
      <c r="R28" s="396">
        <f t="shared" si="12"/>
        <v>12.95</v>
      </c>
      <c r="S28" s="396">
        <f t="shared" si="13"/>
        <v>0</v>
      </c>
      <c r="T28" s="396">
        <f t="shared" si="14"/>
        <v>12.620212141405693</v>
      </c>
      <c r="U28" s="396">
        <f t="shared" si="15"/>
        <v>11.98323666196611</v>
      </c>
      <c r="V28" s="91">
        <f t="shared" si="9"/>
        <v>12.95</v>
      </c>
      <c r="W28" s="643" t="s">
        <v>2014</v>
      </c>
      <c r="X28" s="338" t="s">
        <v>2013</v>
      </c>
      <c r="Y28" s="348" t="s">
        <v>2014</v>
      </c>
      <c r="Z28" s="695" t="s">
        <v>2024</v>
      </c>
      <c r="AA28" s="770" t="s">
        <v>2451</v>
      </c>
      <c r="AB28" s="701">
        <v>1</v>
      </c>
      <c r="AC28" s="704"/>
      <c r="AD28" s="704"/>
      <c r="AE28" s="707"/>
      <c r="AF28" s="802">
        <v>45</v>
      </c>
      <c r="AG28" s="817">
        <f>+(MAX(I28:L28)+MAX(I29:L29))/MIN(60,AF28)</f>
        <v>0.3737218747981032</v>
      </c>
      <c r="AH28" s="80"/>
      <c r="AI28" s="750">
        <f t="shared" si="16"/>
        <v>1</v>
      </c>
      <c r="AJ28" s="80">
        <f t="shared" si="11"/>
        <v>0</v>
      </c>
      <c r="AK28" s="80">
        <f t="shared" si="8"/>
        <v>3</v>
      </c>
    </row>
    <row r="29" spans="1:49" ht="12.75" customHeight="1" x14ac:dyDescent="0.25">
      <c r="A29" s="80" t="e">
        <f t="shared" si="10"/>
        <v>#REF!</v>
      </c>
      <c r="B29" s="80"/>
      <c r="C29" s="164" t="s">
        <v>2343</v>
      </c>
      <c r="D29" s="93" t="s">
        <v>2344</v>
      </c>
      <c r="E29" s="92">
        <v>69</v>
      </c>
      <c r="F29" s="94" t="s">
        <v>2102</v>
      </c>
      <c r="G29" s="94" t="s">
        <v>2432</v>
      </c>
      <c r="H29" s="151">
        <v>26.4</v>
      </c>
      <c r="I29" s="152">
        <v>3.2</v>
      </c>
      <c r="J29" s="463">
        <v>3.2</v>
      </c>
      <c r="K29" s="463">
        <v>3.8674843659146472</v>
      </c>
      <c r="L29" s="85">
        <v>2.8434798858902628</v>
      </c>
      <c r="M29" s="136">
        <f>+VALUE(RIGHT(G29,3))</f>
        <v>6.7</v>
      </c>
      <c r="N29" s="90">
        <f t="shared" si="0"/>
        <v>0.57723647252457422</v>
      </c>
      <c r="O29" s="273">
        <v>1</v>
      </c>
      <c r="P29" s="271">
        <f t="shared" si="1"/>
        <v>3.8674843659146472</v>
      </c>
      <c r="Q29" s="271">
        <f t="shared" si="2"/>
        <v>84.579285596495879</v>
      </c>
      <c r="R29" s="396">
        <f t="shared" si="12"/>
        <v>0</v>
      </c>
      <c r="S29" s="396">
        <f t="shared" si="13"/>
        <v>0</v>
      </c>
      <c r="T29" s="396">
        <f t="shared" si="14"/>
        <v>0</v>
      </c>
      <c r="U29" s="396">
        <f t="shared" si="15"/>
        <v>0</v>
      </c>
      <c r="V29" s="91">
        <f t="shared" si="9"/>
        <v>0</v>
      </c>
      <c r="W29" s="643"/>
      <c r="X29" s="338" t="s">
        <v>2013</v>
      </c>
      <c r="Y29" s="348" t="s">
        <v>2014</v>
      </c>
      <c r="Z29" s="697"/>
      <c r="AA29" s="709"/>
      <c r="AB29" s="703"/>
      <c r="AC29" s="706"/>
      <c r="AD29" s="706"/>
      <c r="AE29" s="709"/>
      <c r="AF29" s="803"/>
      <c r="AG29" s="787"/>
      <c r="AH29" s="80"/>
      <c r="AI29" s="750"/>
      <c r="AJ29" s="80">
        <f t="shared" si="11"/>
        <v>0</v>
      </c>
      <c r="AK29" s="80">
        <f t="shared" si="8"/>
        <v>1</v>
      </c>
    </row>
    <row r="30" spans="1:49" ht="12.75" customHeight="1" x14ac:dyDescent="0.25">
      <c r="A30" s="80" t="e">
        <f t="shared" si="10"/>
        <v>#REF!</v>
      </c>
      <c r="B30" s="80"/>
      <c r="C30" s="164" t="s">
        <v>2345</v>
      </c>
      <c r="D30" s="93" t="s">
        <v>2346</v>
      </c>
      <c r="E30" s="92">
        <v>69</v>
      </c>
      <c r="F30" s="94" t="s">
        <v>2090</v>
      </c>
      <c r="G30" s="94" t="s">
        <v>2094</v>
      </c>
      <c r="H30" s="151">
        <v>26.4</v>
      </c>
      <c r="I30" s="152">
        <v>28.6</v>
      </c>
      <c r="J30" s="463">
        <v>33.588951546465104</v>
      </c>
      <c r="K30" s="463">
        <v>23.28924194388463</v>
      </c>
      <c r="L30" s="85">
        <v>31.276506123530279</v>
      </c>
      <c r="M30" s="136">
        <f>+VALUE(RIGHT(G30,2))</f>
        <v>28</v>
      </c>
      <c r="N30" s="90">
        <f t="shared" si="0"/>
        <v>1.1996054123737536</v>
      </c>
      <c r="O30" s="273">
        <v>3</v>
      </c>
      <c r="P30" s="271">
        <f t="shared" si="1"/>
        <v>11.196317182155035</v>
      </c>
      <c r="Q30" s="271">
        <f t="shared" si="2"/>
        <v>244.85593708521372</v>
      </c>
      <c r="R30" s="396">
        <f t="shared" si="12"/>
        <v>0</v>
      </c>
      <c r="S30" s="396">
        <f t="shared" si="13"/>
        <v>33.588951546465104</v>
      </c>
      <c r="T30" s="396">
        <f t="shared" si="14"/>
        <v>0</v>
      </c>
      <c r="U30" s="396">
        <f t="shared" si="15"/>
        <v>31.276506123530279</v>
      </c>
      <c r="V30" s="91">
        <f t="shared" si="9"/>
        <v>33.588951546465104</v>
      </c>
      <c r="W30" s="349" t="s">
        <v>2014</v>
      </c>
      <c r="X30" s="354" t="s">
        <v>2014</v>
      </c>
      <c r="Y30" s="368" t="s">
        <v>2014</v>
      </c>
      <c r="Z30" s="92" t="s">
        <v>2450</v>
      </c>
      <c r="AA30" s="222" t="s">
        <v>2465</v>
      </c>
      <c r="AB30" s="250">
        <v>3</v>
      </c>
      <c r="AC30" s="251"/>
      <c r="AD30" s="251"/>
      <c r="AE30" s="226"/>
      <c r="AF30" s="223">
        <f>60+45+60</f>
        <v>165</v>
      </c>
      <c r="AG30" s="239" t="s">
        <v>2092</v>
      </c>
      <c r="AH30" s="80"/>
      <c r="AI30" s="80">
        <f>+IF(W30="y",1,0)</f>
        <v>1</v>
      </c>
      <c r="AJ30" s="80">
        <f t="shared" si="11"/>
        <v>1</v>
      </c>
      <c r="AK30" s="80">
        <f t="shared" si="8"/>
        <v>3</v>
      </c>
    </row>
    <row r="31" spans="1:49" ht="12.75" customHeight="1" x14ac:dyDescent="0.25">
      <c r="A31" s="80"/>
      <c r="B31" s="80"/>
      <c r="C31" s="164" t="s">
        <v>2347</v>
      </c>
      <c r="D31" s="93" t="s">
        <v>2348</v>
      </c>
      <c r="E31" s="92">
        <v>138</v>
      </c>
      <c r="F31" s="94" t="s">
        <v>2090</v>
      </c>
      <c r="G31" s="99" t="s">
        <v>2349</v>
      </c>
      <c r="H31" s="100">
        <v>26.4</v>
      </c>
      <c r="I31" s="152" t="s">
        <v>2092</v>
      </c>
      <c r="J31" s="463">
        <v>31.1</v>
      </c>
      <c r="K31" s="463">
        <v>36.751478062614353</v>
      </c>
      <c r="L31" s="85">
        <v>38.691281874355155</v>
      </c>
      <c r="M31" s="136">
        <f>+VALUE(RIGHT(G31,4))</f>
        <v>46.7</v>
      </c>
      <c r="N31" s="90">
        <f t="shared" si="0"/>
        <v>0.82850710651724091</v>
      </c>
      <c r="O31" s="273">
        <v>3</v>
      </c>
      <c r="P31" s="271">
        <f t="shared" si="1"/>
        <v>12.897093958118385</v>
      </c>
      <c r="Q31" s="271">
        <f t="shared" si="2"/>
        <v>282.05078289710406</v>
      </c>
      <c r="R31" s="396" t="str">
        <f t="shared" si="12"/>
        <v>-</v>
      </c>
      <c r="S31" s="396">
        <f t="shared" si="13"/>
        <v>31.1</v>
      </c>
      <c r="T31" s="396">
        <f t="shared" si="14"/>
        <v>36.751478062614353</v>
      </c>
      <c r="U31" s="396">
        <f t="shared" si="15"/>
        <v>38.691281874355155</v>
      </c>
      <c r="V31" s="91">
        <f t="shared" si="9"/>
        <v>38.691281874355155</v>
      </c>
      <c r="W31" s="643" t="s">
        <v>2014</v>
      </c>
      <c r="X31" s="338" t="s">
        <v>2014</v>
      </c>
      <c r="Y31" s="348" t="s">
        <v>2014</v>
      </c>
      <c r="Z31" s="695" t="s">
        <v>2450</v>
      </c>
      <c r="AA31" s="707">
        <v>556</v>
      </c>
      <c r="AB31" s="701"/>
      <c r="AC31" s="704">
        <v>2</v>
      </c>
      <c r="AD31" s="704"/>
      <c r="AE31" s="707"/>
      <c r="AF31" s="802">
        <f>184+184</f>
        <v>368</v>
      </c>
      <c r="AG31" s="816" t="s">
        <v>2092</v>
      </c>
      <c r="AH31" s="80"/>
      <c r="AI31" s="750">
        <f>+IF(W31="y",1,0)</f>
        <v>1</v>
      </c>
      <c r="AJ31" s="80">
        <f t="shared" si="11"/>
        <v>1</v>
      </c>
      <c r="AK31" s="80">
        <f t="shared" si="8"/>
        <v>3</v>
      </c>
    </row>
    <row r="32" spans="1:49" ht="12.75" customHeight="1" x14ac:dyDescent="0.25">
      <c r="A32" s="80" t="e">
        <f>1+A30</f>
        <v>#REF!</v>
      </c>
      <c r="B32" s="80"/>
      <c r="C32" s="164" t="s">
        <v>2347</v>
      </c>
      <c r="D32" s="93" t="s">
        <v>2348</v>
      </c>
      <c r="E32" s="92">
        <v>138</v>
      </c>
      <c r="F32" s="94" t="s">
        <v>2083</v>
      </c>
      <c r="G32" s="99" t="s">
        <v>2159</v>
      </c>
      <c r="H32" s="100">
        <v>26.4</v>
      </c>
      <c r="I32" s="152" t="s">
        <v>2092</v>
      </c>
      <c r="J32" s="463">
        <v>18.37</v>
      </c>
      <c r="K32" s="463">
        <v>17.997773888472249</v>
      </c>
      <c r="L32" s="85">
        <v>17.592850219841488</v>
      </c>
      <c r="M32" s="136">
        <f>+VALUE(RIGHT(G32,4))</f>
        <v>42</v>
      </c>
      <c r="N32" s="90">
        <f t="shared" si="0"/>
        <v>0.43738095238095243</v>
      </c>
      <c r="O32" s="273">
        <v>2</v>
      </c>
      <c r="P32" s="271">
        <f t="shared" si="1"/>
        <v>9.1850000000000005</v>
      </c>
      <c r="Q32" s="271">
        <f t="shared" si="2"/>
        <v>200.86978115555732</v>
      </c>
      <c r="R32" s="396">
        <f t="shared" si="12"/>
        <v>0</v>
      </c>
      <c r="S32" s="396">
        <f t="shared" si="13"/>
        <v>0</v>
      </c>
      <c r="T32" s="396">
        <f t="shared" si="14"/>
        <v>0</v>
      </c>
      <c r="U32" s="396">
        <f t="shared" si="15"/>
        <v>0</v>
      </c>
      <c r="V32" s="91">
        <f t="shared" si="9"/>
        <v>0</v>
      </c>
      <c r="W32" s="643"/>
      <c r="X32" s="338" t="s">
        <v>2014</v>
      </c>
      <c r="Y32" s="348" t="s">
        <v>2014</v>
      </c>
      <c r="Z32" s="697"/>
      <c r="AA32" s="709"/>
      <c r="AB32" s="703"/>
      <c r="AC32" s="706"/>
      <c r="AD32" s="706"/>
      <c r="AE32" s="709"/>
      <c r="AF32" s="803"/>
      <c r="AG32" s="711"/>
      <c r="AH32" s="80"/>
      <c r="AI32" s="750"/>
      <c r="AJ32" s="80">
        <f t="shared" si="11"/>
        <v>1</v>
      </c>
      <c r="AK32" s="80">
        <f t="shared" si="8"/>
        <v>2</v>
      </c>
    </row>
    <row r="33" spans="1:37" ht="12.75" customHeight="1" x14ac:dyDescent="0.25">
      <c r="A33" s="80" t="e">
        <f t="shared" si="10"/>
        <v>#REF!</v>
      </c>
      <c r="B33" s="80"/>
      <c r="C33" s="164" t="s">
        <v>2350</v>
      </c>
      <c r="D33" s="93" t="s">
        <v>2351</v>
      </c>
      <c r="E33" s="92">
        <v>69</v>
      </c>
      <c r="F33" s="94" t="s">
        <v>2097</v>
      </c>
      <c r="G33" s="94" t="s">
        <v>2122</v>
      </c>
      <c r="H33" s="100">
        <v>12.47</v>
      </c>
      <c r="I33" s="152" t="s">
        <v>2092</v>
      </c>
      <c r="J33" s="463">
        <v>14.576486553195824</v>
      </c>
      <c r="K33" s="463">
        <v>14.251480791013474</v>
      </c>
      <c r="L33" s="85">
        <v>13.235293609025767</v>
      </c>
      <c r="M33" s="136">
        <f>+VALUE(RIGHT(G33,4))</f>
        <v>11.2</v>
      </c>
      <c r="N33" s="90">
        <f t="shared" si="0"/>
        <v>1.3014720136781988</v>
      </c>
      <c r="O33" s="273">
        <v>3</v>
      </c>
      <c r="P33" s="271">
        <f t="shared" si="1"/>
        <v>4.8588288510652751</v>
      </c>
      <c r="Q33" s="271">
        <f t="shared" si="2"/>
        <v>224.95959463583452</v>
      </c>
      <c r="R33" s="396">
        <f t="shared" si="12"/>
        <v>0</v>
      </c>
      <c r="S33" s="396">
        <f t="shared" si="13"/>
        <v>14.576486553195824</v>
      </c>
      <c r="T33" s="396">
        <f t="shared" si="14"/>
        <v>14.251480791013474</v>
      </c>
      <c r="U33" s="396">
        <f t="shared" si="15"/>
        <v>13.235293609025767</v>
      </c>
      <c r="V33" s="91">
        <f t="shared" si="9"/>
        <v>14.576486553195824</v>
      </c>
      <c r="W33" s="349" t="s">
        <v>2013</v>
      </c>
      <c r="X33" s="354" t="s">
        <v>2013</v>
      </c>
      <c r="Y33" s="368" t="s">
        <v>2013</v>
      </c>
      <c r="Z33" s="92" t="s">
        <v>2024</v>
      </c>
      <c r="AA33" s="222">
        <v>336</v>
      </c>
      <c r="AB33" s="250">
        <v>1</v>
      </c>
      <c r="AC33" s="251"/>
      <c r="AD33" s="251"/>
      <c r="AE33" s="226"/>
      <c r="AF33" s="223">
        <v>60</v>
      </c>
      <c r="AG33" s="224">
        <f>+MAX(I33:L33)/MIN(60,AF33)</f>
        <v>0.24294144255326375</v>
      </c>
      <c r="AH33" s="80"/>
      <c r="AI33" s="80">
        <f>+IF(W33="y",1,0)</f>
        <v>0</v>
      </c>
      <c r="AJ33" s="80">
        <f t="shared" si="11"/>
        <v>0</v>
      </c>
      <c r="AK33" s="80">
        <f t="shared" si="8"/>
        <v>0</v>
      </c>
    </row>
    <row r="34" spans="1:37" ht="12.75" customHeight="1" x14ac:dyDescent="0.25">
      <c r="A34" s="80" t="e">
        <f t="shared" si="10"/>
        <v>#REF!</v>
      </c>
      <c r="B34" s="80"/>
      <c r="C34" s="166" t="s">
        <v>2352</v>
      </c>
      <c r="D34" s="107" t="s">
        <v>2353</v>
      </c>
      <c r="E34" s="106">
        <v>69</v>
      </c>
      <c r="F34" s="108" t="s">
        <v>2097</v>
      </c>
      <c r="G34" s="108" t="s">
        <v>2101</v>
      </c>
      <c r="H34" s="170">
        <v>13.2</v>
      </c>
      <c r="I34" s="159">
        <v>13.52</v>
      </c>
      <c r="J34" s="463">
        <v>11.014207615584491</v>
      </c>
      <c r="K34" s="463">
        <v>13.452544593787794</v>
      </c>
      <c r="L34" s="85">
        <v>13.064048342669473</v>
      </c>
      <c r="M34" s="136">
        <f>+VALUE(RIGHT(G34,4))</f>
        <v>12.5</v>
      </c>
      <c r="N34" s="90">
        <f t="shared" si="0"/>
        <v>1.0815999999999999</v>
      </c>
      <c r="O34" s="288">
        <v>4</v>
      </c>
      <c r="P34" s="271">
        <f t="shared" si="1"/>
        <v>3.38</v>
      </c>
      <c r="Q34" s="271">
        <f t="shared" si="2"/>
        <v>147.83665983794964</v>
      </c>
      <c r="R34" s="396">
        <f t="shared" si="12"/>
        <v>13.52</v>
      </c>
      <c r="S34" s="396">
        <f t="shared" si="13"/>
        <v>0</v>
      </c>
      <c r="T34" s="396">
        <f t="shared" si="14"/>
        <v>13.452544593787794</v>
      </c>
      <c r="U34" s="396">
        <f t="shared" si="15"/>
        <v>0</v>
      </c>
      <c r="V34" s="91">
        <f t="shared" si="9"/>
        <v>13.52</v>
      </c>
      <c r="W34" s="349" t="s">
        <v>2014</v>
      </c>
      <c r="X34" s="354" t="s">
        <v>2013</v>
      </c>
      <c r="Y34" s="368" t="s">
        <v>2013</v>
      </c>
      <c r="Z34" s="92" t="s">
        <v>2024</v>
      </c>
      <c r="AA34" s="222" t="s">
        <v>2464</v>
      </c>
      <c r="AB34" s="250">
        <v>1</v>
      </c>
      <c r="AC34" s="251"/>
      <c r="AD34" s="251"/>
      <c r="AE34" s="226"/>
      <c r="AF34" s="223">
        <v>34</v>
      </c>
      <c r="AG34" s="224">
        <f>+MAX(I34:L34)/MIN(60,AF34)</f>
        <v>0.39764705882352941</v>
      </c>
      <c r="AH34" s="80"/>
      <c r="AI34" s="80">
        <f>+IF(W34="y",1,0)</f>
        <v>1</v>
      </c>
      <c r="AJ34" s="80">
        <f t="shared" si="11"/>
        <v>0</v>
      </c>
      <c r="AK34" s="80">
        <f t="shared" si="8"/>
        <v>0</v>
      </c>
    </row>
    <row r="35" spans="1:37" x14ac:dyDescent="0.25">
      <c r="C35" s="164" t="s">
        <v>2354</v>
      </c>
      <c r="D35" s="171" t="s">
        <v>2355</v>
      </c>
      <c r="E35" s="92">
        <v>138</v>
      </c>
      <c r="F35" s="94" t="s">
        <v>2081</v>
      </c>
      <c r="G35" s="94" t="s">
        <v>2187</v>
      </c>
      <c r="H35" s="100">
        <v>13.2</v>
      </c>
      <c r="I35" s="152">
        <v>15.95</v>
      </c>
      <c r="J35" s="95">
        <v>15.915727337297909</v>
      </c>
      <c r="K35" s="95">
        <v>16.675671346946174</v>
      </c>
      <c r="L35" s="95">
        <v>16.397221592384554</v>
      </c>
      <c r="M35" s="136">
        <f>+VALUE(RIGHT(G35,4))</f>
        <v>25</v>
      </c>
      <c r="N35" s="90">
        <f t="shared" si="0"/>
        <v>0.66702685387784699</v>
      </c>
      <c r="O35" s="286">
        <v>4</v>
      </c>
      <c r="P35" s="271">
        <f t="shared" si="1"/>
        <v>4.1689178367365436</v>
      </c>
      <c r="Q35" s="271">
        <f t="shared" si="2"/>
        <v>182.3428663082785</v>
      </c>
      <c r="R35" s="396">
        <f t="shared" si="12"/>
        <v>0</v>
      </c>
      <c r="S35" s="396">
        <f t="shared" si="13"/>
        <v>0</v>
      </c>
      <c r="T35" s="396">
        <f t="shared" si="14"/>
        <v>0</v>
      </c>
      <c r="U35" s="396">
        <f t="shared" si="15"/>
        <v>0</v>
      </c>
      <c r="V35" s="91">
        <f t="shared" si="9"/>
        <v>0</v>
      </c>
      <c r="W35" s="347" t="s">
        <v>2014</v>
      </c>
      <c r="X35" s="361" t="s">
        <v>2014</v>
      </c>
      <c r="Y35" s="377" t="s">
        <v>2014</v>
      </c>
      <c r="Z35" s="92" t="s">
        <v>2024</v>
      </c>
      <c r="AA35" s="222">
        <v>556</v>
      </c>
      <c r="AB35" s="250">
        <v>1</v>
      </c>
      <c r="AC35" s="251"/>
      <c r="AD35" s="251"/>
      <c r="AE35" s="226"/>
      <c r="AF35" s="223">
        <v>165</v>
      </c>
      <c r="AG35" s="224">
        <f>+MAX(I35:L35)/MIN(60,AF35)</f>
        <v>0.27792785578243623</v>
      </c>
      <c r="AH35" s="80"/>
      <c r="AI35" s="80">
        <f>+IF(W35="y",1,0)</f>
        <v>1</v>
      </c>
      <c r="AJ35" s="80">
        <f t="shared" si="11"/>
        <v>1</v>
      </c>
      <c r="AK35" s="80">
        <f t="shared" si="8"/>
        <v>4</v>
      </c>
    </row>
    <row r="36" spans="1:37" ht="13.5" thickBot="1" x14ac:dyDescent="0.3">
      <c r="A36" s="80"/>
      <c r="B36" s="80"/>
      <c r="C36" s="111"/>
      <c r="D36" s="110"/>
      <c r="E36" s="111"/>
      <c r="F36" s="112"/>
      <c r="G36" s="112"/>
      <c r="H36" s="110"/>
      <c r="I36" s="160"/>
      <c r="J36" s="172"/>
      <c r="K36" s="172"/>
      <c r="L36" s="172"/>
      <c r="M36" s="142" t="str">
        <f>+RIGHT(G36,4)</f>
        <v/>
      </c>
      <c r="N36" s="173"/>
      <c r="O36" s="252"/>
      <c r="P36" s="252"/>
      <c r="Q36" s="252"/>
      <c r="R36" s="143" t="str">
        <f>+IF(OR(I36="-",I36&lt;$M36),0,$M36)</f>
        <v/>
      </c>
      <c r="S36" s="143" t="str">
        <f>+IF(OR(J36="-",J36&lt;$M36),0,$M36)</f>
        <v/>
      </c>
      <c r="T36" s="143" t="str">
        <f>+IF(OR(K36="-",K36&lt;$M36),0,$M36)</f>
        <v/>
      </c>
      <c r="U36" s="143" t="str">
        <f>+IF(OR(L36="-",L36&lt;$M36),0,$M36)</f>
        <v/>
      </c>
      <c r="V36" s="117"/>
      <c r="W36" s="380"/>
      <c r="X36" s="381"/>
      <c r="Y36" s="252"/>
      <c r="Z36" s="227"/>
      <c r="AA36" s="255"/>
      <c r="AB36" s="257"/>
      <c r="AC36" s="258"/>
      <c r="AD36" s="258"/>
      <c r="AE36" s="230"/>
      <c r="AF36" s="228"/>
      <c r="AG36" s="259"/>
      <c r="AH36" s="80"/>
      <c r="AI36" s="80"/>
      <c r="AJ36" s="80"/>
      <c r="AK36" s="80"/>
    </row>
    <row r="37" spans="1:37" ht="12.95" customHeight="1" thickBot="1" x14ac:dyDescent="0.3">
      <c r="A37" s="80"/>
      <c r="B37" s="80"/>
      <c r="H37" s="178" t="s">
        <v>2427</v>
      </c>
      <c r="I37" s="118">
        <f>+SUM(I7:I36)</f>
        <v>213.33999999999997</v>
      </c>
      <c r="J37" s="118">
        <f>+SUM(J7:J36)</f>
        <v>285.94153230507266</v>
      </c>
      <c r="K37" s="118">
        <f>+SUM(K7:K36)</f>
        <v>297.86752843634957</v>
      </c>
      <c r="L37" s="118">
        <f>+SUM(L7:L36)</f>
        <v>293.52895421329725</v>
      </c>
      <c r="M37" s="118">
        <f>+SUM(M7:M36)</f>
        <v>419.44999999999993</v>
      </c>
      <c r="O37" s="666" t="s">
        <v>2519</v>
      </c>
      <c r="P37" s="667"/>
      <c r="Q37" s="668"/>
      <c r="R37" s="885">
        <f>+SUM(R7:R36)</f>
        <v>69.67</v>
      </c>
      <c r="S37" s="886">
        <f>+SUM(S7:S36)</f>
        <v>127.00196887016753</v>
      </c>
      <c r="T37" s="886">
        <f>+SUM(T7:T36)</f>
        <v>131.61058857526143</v>
      </c>
      <c r="U37" s="886">
        <f>+SUM(U7:U36)</f>
        <v>128.15677885012715</v>
      </c>
      <c r="V37" s="890">
        <f>+SUM(V7:V36)</f>
        <v>175.42885778204163</v>
      </c>
      <c r="W37" s="345"/>
      <c r="X37" s="345"/>
      <c r="Y37" s="345"/>
      <c r="Z37" s="730" t="s">
        <v>2470</v>
      </c>
      <c r="AA37" s="731"/>
      <c r="AB37" s="731"/>
      <c r="AC37" s="731"/>
      <c r="AD37" s="731"/>
      <c r="AE37" s="731"/>
      <c r="AF37" s="731"/>
      <c r="AG37" s="732"/>
      <c r="AH37" s="80"/>
      <c r="AI37" s="80">
        <f>+SUM(AI7:AI35)</f>
        <v>13</v>
      </c>
      <c r="AJ37" s="80">
        <f>+SUM(AJ7:AJ35)</f>
        <v>12</v>
      </c>
      <c r="AK37" s="80">
        <f>+SUM(AK7:AK35)</f>
        <v>33</v>
      </c>
    </row>
    <row r="38" spans="1:37" ht="13.5" thickBot="1" x14ac:dyDescent="0.3">
      <c r="D38" s="63" t="s">
        <v>2160</v>
      </c>
      <c r="J38" s="63"/>
      <c r="L38" s="63"/>
      <c r="O38" s="669"/>
      <c r="P38" s="670"/>
      <c r="Q38" s="671"/>
      <c r="Z38" s="733"/>
      <c r="AA38" s="734"/>
      <c r="AB38" s="734"/>
      <c r="AC38" s="734"/>
      <c r="AD38" s="734"/>
      <c r="AE38" s="734"/>
      <c r="AF38" s="734"/>
      <c r="AG38" s="735"/>
      <c r="AH38" s="80"/>
      <c r="AI38" s="80"/>
      <c r="AJ38" s="80"/>
      <c r="AK38" s="80"/>
    </row>
    <row r="39" spans="1:37" ht="12.75" customHeight="1" thickBot="1" x14ac:dyDescent="0.3">
      <c r="D39" s="145" t="s">
        <v>2356</v>
      </c>
      <c r="Z39" s="736" t="s">
        <v>2471</v>
      </c>
      <c r="AA39" s="737"/>
      <c r="AB39" s="737"/>
      <c r="AC39" s="737"/>
      <c r="AD39" s="737"/>
      <c r="AE39" s="737"/>
      <c r="AF39" s="737"/>
      <c r="AG39" s="738"/>
      <c r="AH39" s="80"/>
      <c r="AI39" s="80"/>
      <c r="AJ39" s="80"/>
      <c r="AK39" s="80"/>
    </row>
    <row r="40" spans="1:37" ht="13.5" thickBot="1" x14ac:dyDescent="0.3">
      <c r="D40" s="145" t="s">
        <v>2357</v>
      </c>
      <c r="K40" s="120" t="s">
        <v>2162</v>
      </c>
      <c r="L40" s="121" t="s">
        <v>2163</v>
      </c>
      <c r="M40" s="122" t="s">
        <v>2164</v>
      </c>
      <c r="N40" s="657" t="s">
        <v>2001</v>
      </c>
      <c r="O40" s="658"/>
      <c r="P40" s="658"/>
      <c r="Q40" s="659"/>
      <c r="R40" s="277" t="s">
        <v>2015</v>
      </c>
      <c r="Z40" s="739"/>
      <c r="AA40" s="740"/>
      <c r="AB40" s="740"/>
      <c r="AC40" s="740"/>
      <c r="AD40" s="740"/>
      <c r="AE40" s="740"/>
      <c r="AF40" s="740"/>
      <c r="AG40" s="741"/>
    </row>
    <row r="41" spans="1:37" ht="14.25" thickTop="1" thickBot="1" x14ac:dyDescent="0.3">
      <c r="D41" s="145" t="s">
        <v>2359</v>
      </c>
      <c r="K41" s="86" t="s">
        <v>2166</v>
      </c>
      <c r="L41" s="124">
        <v>46.7</v>
      </c>
      <c r="M41" s="87">
        <f>+M37+3.67</f>
        <v>423.11999999999995</v>
      </c>
      <c r="N41" s="660" t="s">
        <v>2358</v>
      </c>
      <c r="O41" s="661"/>
      <c r="P41" s="661"/>
      <c r="Q41" s="662"/>
      <c r="R41" s="149">
        <v>2019</v>
      </c>
      <c r="Z41" s="742"/>
      <c r="AA41" s="743"/>
      <c r="AB41" s="743"/>
      <c r="AC41" s="743"/>
      <c r="AD41" s="743"/>
      <c r="AE41" s="743"/>
      <c r="AF41" s="743"/>
      <c r="AG41" s="744"/>
    </row>
    <row r="42" spans="1:37" ht="13.5" thickBot="1" x14ac:dyDescent="0.3">
      <c r="D42" s="145" t="s">
        <v>2360</v>
      </c>
      <c r="K42" s="201" t="s">
        <v>2433</v>
      </c>
      <c r="L42" s="202">
        <v>3</v>
      </c>
      <c r="M42" s="118">
        <v>426.12</v>
      </c>
      <c r="N42" s="663" t="s">
        <v>2434</v>
      </c>
      <c r="O42" s="664"/>
      <c r="P42" s="664"/>
      <c r="Q42" s="665"/>
      <c r="R42" s="252">
        <v>2019</v>
      </c>
    </row>
  </sheetData>
  <mergeCells count="65">
    <mergeCell ref="AI14:AI15"/>
    <mergeCell ref="AI20:AI21"/>
    <mergeCell ref="AI28:AI29"/>
    <mergeCell ref="AI31:AI32"/>
    <mergeCell ref="W28:W29"/>
    <mergeCell ref="W31:W32"/>
    <mergeCell ref="AE20:AE21"/>
    <mergeCell ref="AF20:AF21"/>
    <mergeCell ref="AG20:AG21"/>
    <mergeCell ref="AG31:AG32"/>
    <mergeCell ref="Z28:Z29"/>
    <mergeCell ref="AA28:AA29"/>
    <mergeCell ref="AB28:AB29"/>
    <mergeCell ref="AC28:AC29"/>
    <mergeCell ref="AD28:AD29"/>
    <mergeCell ref="AE28:AE29"/>
    <mergeCell ref="W5:W6"/>
    <mergeCell ref="X5:X6"/>
    <mergeCell ref="Y5:Y6"/>
    <mergeCell ref="W14:W15"/>
    <mergeCell ref="W20:W21"/>
    <mergeCell ref="Z37:AG38"/>
    <mergeCell ref="Z39:AG41"/>
    <mergeCell ref="O3:Q4"/>
    <mergeCell ref="O5:O6"/>
    <mergeCell ref="P5:P6"/>
    <mergeCell ref="Q5:Q6"/>
    <mergeCell ref="O37:Q38"/>
    <mergeCell ref="AF28:AF29"/>
    <mergeCell ref="AG28:AG29"/>
    <mergeCell ref="Z31:Z32"/>
    <mergeCell ref="AA31:AA32"/>
    <mergeCell ref="AB31:AB32"/>
    <mergeCell ref="AC31:AC32"/>
    <mergeCell ref="AD31:AD32"/>
    <mergeCell ref="AE31:AE32"/>
    <mergeCell ref="AF31:AF32"/>
    <mergeCell ref="Z20:Z21"/>
    <mergeCell ref="AA20:AA21"/>
    <mergeCell ref="AB20:AB21"/>
    <mergeCell ref="AC20:AC21"/>
    <mergeCell ref="AD20:AD21"/>
    <mergeCell ref="Z3:AG4"/>
    <mergeCell ref="AB5:AE5"/>
    <mergeCell ref="AG5:AG6"/>
    <mergeCell ref="Z14:Z15"/>
    <mergeCell ref="AA14:AA15"/>
    <mergeCell ref="AB14:AB15"/>
    <mergeCell ref="AC14:AC15"/>
    <mergeCell ref="AD14:AD15"/>
    <mergeCell ref="AE14:AE15"/>
    <mergeCell ref="AF14:AF15"/>
    <mergeCell ref="AG14:AG15"/>
    <mergeCell ref="M5:M6"/>
    <mergeCell ref="N5:N6"/>
    <mergeCell ref="N40:Q40"/>
    <mergeCell ref="N41:Q41"/>
    <mergeCell ref="N42:Q42"/>
    <mergeCell ref="W3:Y4"/>
    <mergeCell ref="R3:V4"/>
    <mergeCell ref="C1:F1"/>
    <mergeCell ref="C3:D4"/>
    <mergeCell ref="E3:H4"/>
    <mergeCell ref="I3:L4"/>
    <mergeCell ref="M3:N4"/>
  </mergeCells>
  <conditionalFormatting sqref="N36">
    <cfRule type="cellIs" dxfId="12" priority="6" operator="greaterThan">
      <formula>100</formula>
    </cfRule>
  </conditionalFormatting>
  <conditionalFormatting sqref="N7:N35">
    <cfRule type="cellIs" dxfId="11" priority="5" operator="greaterThan">
      <formula>1.06</formula>
    </cfRule>
  </conditionalFormatting>
  <conditionalFormatting sqref="Q7:Q35">
    <cfRule type="cellIs" dxfId="10" priority="4" operator="greaterThan">
      <formula>260</formula>
    </cfRule>
  </conditionalFormatting>
  <conditionalFormatting sqref="W9:Y11 W13:Y13 W16:Y19 W22:Y27 W30:Y30 W33:Y35">
    <cfRule type="cellIs" dxfId="9" priority="3" stopIfTrue="1" operator="between">
      <formula>1</formula>
      <formula>1.33</formula>
    </cfRule>
  </conditionalFormatting>
  <conditionalFormatting sqref="W13:Y13 W16:Y19 W22:Y27 W30:Y30 W33:Y35">
    <cfRule type="cellIs" dxfId="8" priority="2" stopIfTrue="1" operator="between">
      <formula>1</formula>
      <formula>1.33</formula>
    </cfRule>
  </conditionalFormatting>
  <conditionalFormatting sqref="W12:Y12">
    <cfRule type="cellIs" dxfId="7" priority="1" stopIfTrue="1" operator="between">
      <formula>1</formula>
      <formula>1.33</formula>
    </cfRule>
  </conditionalFormatting>
  <pageMargins left="0.7" right="0.7" top="0.75" bottom="0.75" header="0.3" footer="0.3"/>
  <pageSetup scale="39" orientation="landscape" r:id="rId1"/>
  <ignoredErrors>
    <ignoredError sqref="S17" formula="1"/>
  </ignoredError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91CFD-82BD-4E59-9DB7-7CA311409D2E}">
  <sheetPr>
    <pageSetUpPr fitToPage="1"/>
  </sheetPr>
  <dimension ref="A1:AS46"/>
  <sheetViews>
    <sheetView showGridLines="0" tabSelected="1" view="pageBreakPreview" topLeftCell="B1" zoomScale="55" zoomScaleNormal="70" zoomScaleSheetLayoutView="110" workbookViewId="0">
      <selection activeCell="R38" sqref="R38:V38"/>
    </sheetView>
  </sheetViews>
  <sheetFormatPr defaultColWidth="8.42578125" defaultRowHeight="12.75" x14ac:dyDescent="0.25"/>
  <cols>
    <col min="1" max="1" width="0.42578125" style="59" hidden="1" customWidth="1"/>
    <col min="2" max="2" width="2.42578125" style="59" customWidth="1"/>
    <col min="3" max="3" width="6.42578125" style="59" customWidth="1"/>
    <col min="4" max="4" width="18.42578125" style="59" customWidth="1"/>
    <col min="5" max="6" width="6.42578125" style="59" customWidth="1"/>
    <col min="7" max="7" width="18.42578125" style="59" customWidth="1"/>
    <col min="8" max="8" width="6.42578125" style="59" customWidth="1"/>
    <col min="9" max="12" width="12.7109375" style="59" customWidth="1"/>
    <col min="13" max="13" width="10.42578125" style="61" customWidth="1"/>
    <col min="14" max="22" width="10.42578125" style="59" customWidth="1"/>
    <col min="23" max="25" width="6.42578125" style="59" customWidth="1"/>
    <col min="26" max="27" width="8.42578125" style="59" customWidth="1"/>
    <col min="28" max="31" width="6.42578125" style="59" customWidth="1"/>
    <col min="32" max="32" width="16.42578125" style="59" customWidth="1"/>
    <col min="33" max="33" width="12.42578125" style="59" customWidth="1"/>
    <col min="34" max="16384" width="8.42578125" style="59"/>
  </cols>
  <sheetData>
    <row r="1" spans="1:40" ht="15.75" customHeight="1" x14ac:dyDescent="0.25">
      <c r="C1" s="646" t="s">
        <v>2361</v>
      </c>
      <c r="D1" s="646"/>
      <c r="E1" s="646"/>
      <c r="F1" s="646"/>
    </row>
    <row r="2" spans="1:40" s="145" customFormat="1" ht="12.75" customHeight="1" thickBot="1" x14ac:dyDescent="0.3">
      <c r="C2" s="123"/>
      <c r="D2" s="123"/>
      <c r="E2" s="123"/>
      <c r="F2" s="123"/>
      <c r="G2" s="123"/>
      <c r="H2" s="123"/>
      <c r="I2" s="123"/>
      <c r="J2" s="123"/>
      <c r="K2" s="123"/>
      <c r="M2" s="61"/>
    </row>
    <row r="3" spans="1:40" s="145" customFormat="1" ht="12.75" customHeight="1" x14ac:dyDescent="0.25">
      <c r="C3" s="647" t="s">
        <v>2058</v>
      </c>
      <c r="D3" s="648"/>
      <c r="E3" s="647" t="s">
        <v>2059</v>
      </c>
      <c r="F3" s="651"/>
      <c r="G3" s="651"/>
      <c r="H3" s="648"/>
      <c r="I3" s="647" t="s">
        <v>2060</v>
      </c>
      <c r="J3" s="651"/>
      <c r="K3" s="651"/>
      <c r="L3" s="648"/>
      <c r="M3" s="651" t="s">
        <v>2061</v>
      </c>
      <c r="N3" s="651"/>
      <c r="O3" s="647" t="s">
        <v>4721</v>
      </c>
      <c r="P3" s="651"/>
      <c r="Q3" s="648"/>
      <c r="R3" s="881" t="s">
        <v>2062</v>
      </c>
      <c r="S3" s="882"/>
      <c r="T3" s="882"/>
      <c r="U3" s="882"/>
      <c r="V3" s="888"/>
      <c r="W3" s="822" t="s">
        <v>2494</v>
      </c>
      <c r="X3" s="823"/>
      <c r="Y3" s="824"/>
      <c r="Z3" s="684" t="s">
        <v>2438</v>
      </c>
      <c r="AA3" s="685"/>
      <c r="AB3" s="685"/>
      <c r="AC3" s="685"/>
      <c r="AD3" s="685"/>
      <c r="AE3" s="685"/>
      <c r="AF3" s="685"/>
      <c r="AG3" s="686"/>
    </row>
    <row r="4" spans="1:40" s="145" customFormat="1" ht="12.75" customHeight="1" thickBot="1" x14ac:dyDescent="0.3">
      <c r="C4" s="649"/>
      <c r="D4" s="650"/>
      <c r="E4" s="649"/>
      <c r="F4" s="652"/>
      <c r="G4" s="652"/>
      <c r="H4" s="650"/>
      <c r="I4" s="649"/>
      <c r="J4" s="652"/>
      <c r="K4" s="652"/>
      <c r="L4" s="650"/>
      <c r="M4" s="652"/>
      <c r="N4" s="652"/>
      <c r="O4" s="649"/>
      <c r="P4" s="652"/>
      <c r="Q4" s="650"/>
      <c r="R4" s="883"/>
      <c r="S4" s="884"/>
      <c r="T4" s="884"/>
      <c r="U4" s="884"/>
      <c r="V4" s="889"/>
      <c r="W4" s="825"/>
      <c r="X4" s="826"/>
      <c r="Y4" s="827"/>
      <c r="Z4" s="687"/>
      <c r="AA4" s="688"/>
      <c r="AB4" s="688"/>
      <c r="AC4" s="688"/>
      <c r="AD4" s="688"/>
      <c r="AE4" s="688"/>
      <c r="AF4" s="688"/>
      <c r="AG4" s="689"/>
    </row>
    <row r="5" spans="1:40" s="145" customFormat="1" ht="12.75" customHeight="1" x14ac:dyDescent="0.25">
      <c r="C5" s="64" t="s">
        <v>2063</v>
      </c>
      <c r="D5" s="65" t="s">
        <v>2064</v>
      </c>
      <c r="E5" s="66" t="s">
        <v>2065</v>
      </c>
      <c r="F5" s="67" t="s">
        <v>2066</v>
      </c>
      <c r="G5" s="67" t="s">
        <v>2066</v>
      </c>
      <c r="H5" s="68" t="s">
        <v>2067</v>
      </c>
      <c r="I5" s="70">
        <v>42736</v>
      </c>
      <c r="J5" s="71">
        <v>43107.708333333336</v>
      </c>
      <c r="K5" s="69">
        <v>43523.322916666664</v>
      </c>
      <c r="L5" s="71">
        <v>43847.756944444445</v>
      </c>
      <c r="M5" s="637" t="s">
        <v>2068</v>
      </c>
      <c r="N5" s="639" t="s">
        <v>2069</v>
      </c>
      <c r="O5" s="745" t="s">
        <v>2474</v>
      </c>
      <c r="P5" s="745" t="s">
        <v>2475</v>
      </c>
      <c r="Q5" s="765" t="s">
        <v>2476</v>
      </c>
      <c r="R5" s="190">
        <v>2017</v>
      </c>
      <c r="S5" s="191">
        <v>2018</v>
      </c>
      <c r="T5" s="190">
        <v>2019</v>
      </c>
      <c r="U5" s="192">
        <v>2020</v>
      </c>
      <c r="V5" s="192" t="s">
        <v>2430</v>
      </c>
      <c r="W5" s="828" t="s">
        <v>2496</v>
      </c>
      <c r="X5" s="830" t="s">
        <v>2495</v>
      </c>
      <c r="Y5" s="832" t="s">
        <v>2497</v>
      </c>
      <c r="Z5" s="210" t="s">
        <v>2458</v>
      </c>
      <c r="AA5" s="211" t="s">
        <v>2439</v>
      </c>
      <c r="AB5" s="690" t="s">
        <v>2440</v>
      </c>
      <c r="AC5" s="691"/>
      <c r="AD5" s="691"/>
      <c r="AE5" s="692"/>
      <c r="AF5" s="212" t="s">
        <v>2441</v>
      </c>
      <c r="AG5" s="693" t="s">
        <v>2442</v>
      </c>
      <c r="AH5" s="80"/>
      <c r="AI5" s="80"/>
      <c r="AJ5" s="80" t="s">
        <v>2494</v>
      </c>
      <c r="AK5" s="80"/>
    </row>
    <row r="6" spans="1:40" s="145" customFormat="1" ht="12.75" customHeight="1" thickBot="1" x14ac:dyDescent="0.3">
      <c r="C6" s="72" t="s">
        <v>2070</v>
      </c>
      <c r="D6" s="337" t="s">
        <v>2071</v>
      </c>
      <c r="E6" s="72" t="s">
        <v>2072</v>
      </c>
      <c r="F6" s="334" t="s">
        <v>2073</v>
      </c>
      <c r="G6" s="334" t="s">
        <v>2074</v>
      </c>
      <c r="H6" s="341" t="s">
        <v>2072</v>
      </c>
      <c r="I6" s="454" t="s">
        <v>2075</v>
      </c>
      <c r="J6" s="76" t="s">
        <v>2169</v>
      </c>
      <c r="K6" s="454" t="s">
        <v>2077</v>
      </c>
      <c r="L6" s="76" t="s">
        <v>3659</v>
      </c>
      <c r="M6" s="638"/>
      <c r="N6" s="640"/>
      <c r="O6" s="746"/>
      <c r="P6" s="746"/>
      <c r="Q6" s="766"/>
      <c r="R6" s="77" t="s">
        <v>2078</v>
      </c>
      <c r="S6" s="78" t="s">
        <v>2078</v>
      </c>
      <c r="T6" s="77" t="s">
        <v>2078</v>
      </c>
      <c r="U6" s="79" t="s">
        <v>2078</v>
      </c>
      <c r="V6" s="79" t="s">
        <v>2078</v>
      </c>
      <c r="W6" s="829"/>
      <c r="X6" s="831"/>
      <c r="Y6" s="833"/>
      <c r="Z6" s="213" t="s">
        <v>2443</v>
      </c>
      <c r="AA6" s="214" t="s">
        <v>2444</v>
      </c>
      <c r="AB6" s="72" t="s">
        <v>2445</v>
      </c>
      <c r="AC6" s="215" t="s">
        <v>2446</v>
      </c>
      <c r="AD6" s="215" t="s">
        <v>2447</v>
      </c>
      <c r="AE6" s="341" t="s">
        <v>2448</v>
      </c>
      <c r="AF6" s="216" t="s">
        <v>2449</v>
      </c>
      <c r="AG6" s="694"/>
      <c r="AH6" s="80"/>
      <c r="AI6" s="80" t="s">
        <v>2500</v>
      </c>
      <c r="AJ6" s="80" t="s">
        <v>2498</v>
      </c>
      <c r="AK6" s="80" t="s">
        <v>2473</v>
      </c>
    </row>
    <row r="7" spans="1:40" s="145" customFormat="1" ht="12.75" customHeight="1" thickTop="1" x14ac:dyDescent="0.25">
      <c r="A7" s="145" t="e">
        <f>1+#REF!</f>
        <v>#REF!</v>
      </c>
      <c r="C7" s="164" t="s">
        <v>2362</v>
      </c>
      <c r="D7" s="93" t="s">
        <v>2363</v>
      </c>
      <c r="E7" s="92">
        <v>69</v>
      </c>
      <c r="F7" s="94" t="s">
        <v>2097</v>
      </c>
      <c r="G7" s="94" t="s">
        <v>2101</v>
      </c>
      <c r="H7" s="151">
        <v>13.2</v>
      </c>
      <c r="I7" s="96" t="s">
        <v>2092</v>
      </c>
      <c r="J7" s="463">
        <v>13.135940283892188</v>
      </c>
      <c r="K7" s="463">
        <v>10.1775976551291</v>
      </c>
      <c r="L7" s="343">
        <v>9.4708640917149403</v>
      </c>
      <c r="M7" s="344">
        <f>+VALUE(RIGHT(G7,4))</f>
        <v>12.5</v>
      </c>
      <c r="N7" s="339">
        <f t="shared" ref="N7:N26" si="0">MAX(I7:L7)/M7</f>
        <v>1.0508752227113751</v>
      </c>
      <c r="O7" s="325">
        <v>2</v>
      </c>
      <c r="P7" s="324">
        <f t="shared" ref="P7:P19" si="1">+MAX(I7:L7)/O7</f>
        <v>6.5679701419460939</v>
      </c>
      <c r="Q7" s="324">
        <f t="shared" ref="Q7:Q26" si="2">((P7*1000)/(H7*SQRT(3)))</f>
        <v>287.27419162742439</v>
      </c>
      <c r="R7" s="396" t="str">
        <f t="shared" ref="R7:R20" si="3">IF($Q7&gt;260,I7,IF(OR(I7="-",I7&lt;($M7*1.06)),0,I7))</f>
        <v>-</v>
      </c>
      <c r="S7" s="396">
        <f t="shared" ref="S7:S19" si="4">IF($Q7&gt;260,J7,IF(OR(J7="-",J7&lt;($M7*1.06)),0,J7))</f>
        <v>13.135940283892188</v>
      </c>
      <c r="T7" s="396">
        <f t="shared" ref="T7:T19" si="5">IF($Q7&gt;260,K7,IF(OR(K7="-",K7&lt;($M7*1.06)),0,K7))</f>
        <v>10.1775976551291</v>
      </c>
      <c r="U7" s="396">
        <f t="shared" ref="U7:U19" si="6">IF($Q7&gt;260,L7,IF(OR(L7="-",L7&lt;($M7*1.06)),0,L7))</f>
        <v>9.4708640917149403</v>
      </c>
      <c r="V7" s="333">
        <f>+MAX(R7:U7)</f>
        <v>13.135940283892188</v>
      </c>
      <c r="W7" s="350" t="s">
        <v>2013</v>
      </c>
      <c r="X7" s="384" t="s">
        <v>2013</v>
      </c>
      <c r="Y7" s="385" t="s">
        <v>2013</v>
      </c>
      <c r="Z7" s="327" t="s">
        <v>2024</v>
      </c>
      <c r="AA7" s="336" t="s">
        <v>2451</v>
      </c>
      <c r="AB7" s="331">
        <v>1</v>
      </c>
      <c r="AC7" s="331"/>
      <c r="AD7" s="331"/>
      <c r="AE7" s="332"/>
      <c r="AF7" s="340">
        <v>45</v>
      </c>
      <c r="AG7" s="268">
        <f>+(MAX(I7:L7)+MAX(I30:L30))/MIN(60,AF7)</f>
        <v>0.80707433670187234</v>
      </c>
      <c r="AH7" s="80"/>
      <c r="AI7" s="80">
        <f t="shared" ref="AI7:AI20" si="7">+IF(W7="y",1,0)</f>
        <v>0</v>
      </c>
      <c r="AJ7" s="80">
        <f t="shared" ref="AJ7:AJ20" si="8">+IF(X7="y",1,0)</f>
        <v>0</v>
      </c>
      <c r="AK7" s="80">
        <f t="shared" ref="AK7:AK26" si="9">+IF(Y7="y",O7,0)</f>
        <v>0</v>
      </c>
      <c r="AL7" s="270" t="s">
        <v>2472</v>
      </c>
      <c r="AM7" s="270"/>
      <c r="AN7" s="270"/>
    </row>
    <row r="8" spans="1:40" s="145" customFormat="1" ht="12.75" customHeight="1" x14ac:dyDescent="0.25">
      <c r="A8" s="145" t="e">
        <f t="shared" ref="A8:A27" si="10">1+A7</f>
        <v>#REF!</v>
      </c>
      <c r="C8" s="164" t="s">
        <v>2364</v>
      </c>
      <c r="D8" s="93" t="s">
        <v>2365</v>
      </c>
      <c r="E8" s="92">
        <v>69</v>
      </c>
      <c r="F8" s="94" t="s">
        <v>2097</v>
      </c>
      <c r="G8" s="94" t="s">
        <v>2221</v>
      </c>
      <c r="H8" s="155">
        <v>12.48</v>
      </c>
      <c r="I8" s="96">
        <v>6.51</v>
      </c>
      <c r="J8" s="463">
        <v>5.6253858606276452</v>
      </c>
      <c r="K8" s="463">
        <v>6.5428077033270329</v>
      </c>
      <c r="L8" s="343">
        <v>6.5134542116308767</v>
      </c>
      <c r="M8" s="338">
        <f>+VALUE(RIGHT(G8,3))</f>
        <v>5.6</v>
      </c>
      <c r="N8" s="339">
        <f t="shared" si="0"/>
        <v>1.1683585184512559</v>
      </c>
      <c r="O8" s="325">
        <v>2</v>
      </c>
      <c r="P8" s="324">
        <f t="shared" si="1"/>
        <v>3.2714038516635164</v>
      </c>
      <c r="Q8" s="324">
        <f t="shared" si="2"/>
        <v>151.34181846040943</v>
      </c>
      <c r="R8" s="396">
        <f t="shared" si="3"/>
        <v>6.51</v>
      </c>
      <c r="S8" s="396">
        <f t="shared" si="4"/>
        <v>0</v>
      </c>
      <c r="T8" s="396">
        <f t="shared" si="5"/>
        <v>6.5428077033270329</v>
      </c>
      <c r="U8" s="396">
        <f t="shared" si="6"/>
        <v>6.5134542116308767</v>
      </c>
      <c r="V8" s="333">
        <f t="shared" ref="V8:V35" si="11">+MAX(R8:U8)</f>
        <v>6.5428077033270329</v>
      </c>
      <c r="W8" s="350" t="s">
        <v>2013</v>
      </c>
      <c r="X8" s="386" t="s">
        <v>2013</v>
      </c>
      <c r="Y8" s="385" t="s">
        <v>2013</v>
      </c>
      <c r="Z8" s="92" t="s">
        <v>2024</v>
      </c>
      <c r="AA8" s="222">
        <v>336</v>
      </c>
      <c r="AB8" s="250">
        <v>1</v>
      </c>
      <c r="AC8" s="251"/>
      <c r="AD8" s="251"/>
      <c r="AE8" s="226"/>
      <c r="AF8" s="223">
        <v>60</v>
      </c>
      <c r="AG8" s="264">
        <f>+(MAX(I8:L8)+MAX(I9:L9)+MAX(I10:L10)+MAX(I11:L11))/MIN(60,AF8)</f>
        <v>0.47580890117098867</v>
      </c>
      <c r="AH8" s="80"/>
      <c r="AI8" s="80">
        <f t="shared" si="7"/>
        <v>0</v>
      </c>
      <c r="AJ8" s="80">
        <f t="shared" si="8"/>
        <v>0</v>
      </c>
      <c r="AK8" s="80">
        <f t="shared" si="9"/>
        <v>0</v>
      </c>
    </row>
    <row r="9" spans="1:40" s="145" customFormat="1" ht="12.75" customHeight="1" x14ac:dyDescent="0.25">
      <c r="A9" s="145" t="e">
        <f t="shared" si="10"/>
        <v>#REF!</v>
      </c>
      <c r="C9" s="164" t="s">
        <v>2366</v>
      </c>
      <c r="D9" s="93" t="s">
        <v>2367</v>
      </c>
      <c r="E9" s="92">
        <v>69</v>
      </c>
      <c r="F9" s="94" t="s">
        <v>2097</v>
      </c>
      <c r="G9" s="94" t="s">
        <v>2184</v>
      </c>
      <c r="H9" s="155">
        <v>12.47</v>
      </c>
      <c r="I9" s="96">
        <v>3.65</v>
      </c>
      <c r="J9" s="463">
        <v>3.4916188100447454</v>
      </c>
      <c r="K9" s="463">
        <v>3.6747276141973741</v>
      </c>
      <c r="L9" s="343">
        <v>3.1703417714436757</v>
      </c>
      <c r="M9" s="338">
        <f>+VALUE(RIGHT(G9,4))</f>
        <v>4.4800000000000004</v>
      </c>
      <c r="N9" s="339">
        <f t="shared" si="0"/>
        <v>0.82025169959762811</v>
      </c>
      <c r="O9" s="325">
        <v>2</v>
      </c>
      <c r="P9" s="324">
        <f t="shared" si="1"/>
        <v>1.8373638070986871</v>
      </c>
      <c r="Q9" s="324">
        <f t="shared" si="2"/>
        <v>85.068363161804555</v>
      </c>
      <c r="R9" s="396">
        <f t="shared" si="3"/>
        <v>0</v>
      </c>
      <c r="S9" s="396">
        <f t="shared" si="4"/>
        <v>0</v>
      </c>
      <c r="T9" s="396">
        <f t="shared" si="5"/>
        <v>0</v>
      </c>
      <c r="U9" s="396">
        <f t="shared" si="6"/>
        <v>0</v>
      </c>
      <c r="V9" s="333">
        <f t="shared" si="11"/>
        <v>0</v>
      </c>
      <c r="W9" s="350" t="s">
        <v>2013</v>
      </c>
      <c r="X9" s="386" t="s">
        <v>2013</v>
      </c>
      <c r="Y9" s="385" t="s">
        <v>2013</v>
      </c>
      <c r="Z9" s="92" t="s">
        <v>2024</v>
      </c>
      <c r="AA9" s="222">
        <v>336</v>
      </c>
      <c r="AB9" s="250">
        <v>1</v>
      </c>
      <c r="AC9" s="251"/>
      <c r="AD9" s="251"/>
      <c r="AE9" s="226"/>
      <c r="AF9" s="223">
        <v>60</v>
      </c>
      <c r="AG9" s="264">
        <f>+(MAX(I9:L9)+MAX(I10:L10)+MAX(I11:L11))/MIN(60,AF9)</f>
        <v>0.36676210611553817</v>
      </c>
      <c r="AH9" s="80"/>
      <c r="AI9" s="80">
        <f t="shared" si="7"/>
        <v>0</v>
      </c>
      <c r="AJ9" s="80">
        <f t="shared" si="8"/>
        <v>0</v>
      </c>
      <c r="AK9" s="80">
        <f t="shared" si="9"/>
        <v>0</v>
      </c>
    </row>
    <row r="10" spans="1:40" s="145" customFormat="1" ht="12.75" customHeight="1" x14ac:dyDescent="0.25">
      <c r="A10" s="145" t="e">
        <f t="shared" si="10"/>
        <v>#REF!</v>
      </c>
      <c r="C10" s="164" t="s">
        <v>2368</v>
      </c>
      <c r="D10" s="93" t="s">
        <v>2369</v>
      </c>
      <c r="E10" s="92">
        <v>69</v>
      </c>
      <c r="F10" s="94" t="s">
        <v>2097</v>
      </c>
      <c r="G10" s="94" t="s">
        <v>2221</v>
      </c>
      <c r="H10" s="155">
        <v>12.48</v>
      </c>
      <c r="I10" s="96" t="s">
        <v>2092</v>
      </c>
      <c r="J10" s="463">
        <v>3.2976399872644819</v>
      </c>
      <c r="K10" s="463">
        <v>2.6888250835590548</v>
      </c>
      <c r="L10" s="343">
        <v>2.9371013686399179</v>
      </c>
      <c r="M10" s="338">
        <f>+VALUE(RIGHT(G10,3))</f>
        <v>5.6</v>
      </c>
      <c r="N10" s="339">
        <f t="shared" si="0"/>
        <v>0.58886428344008612</v>
      </c>
      <c r="O10" s="325">
        <v>2</v>
      </c>
      <c r="P10" s="324">
        <f t="shared" si="1"/>
        <v>1.648819993632241</v>
      </c>
      <c r="Q10" s="324">
        <f t="shared" si="2"/>
        <v>76.277777818013732</v>
      </c>
      <c r="R10" s="396">
        <f t="shared" si="3"/>
        <v>0</v>
      </c>
      <c r="S10" s="396">
        <f t="shared" si="4"/>
        <v>0</v>
      </c>
      <c r="T10" s="396">
        <f t="shared" si="5"/>
        <v>0</v>
      </c>
      <c r="U10" s="396">
        <f t="shared" si="6"/>
        <v>0</v>
      </c>
      <c r="V10" s="333">
        <f t="shared" si="11"/>
        <v>0</v>
      </c>
      <c r="W10" s="350" t="s">
        <v>2013</v>
      </c>
      <c r="X10" s="386" t="s">
        <v>2013</v>
      </c>
      <c r="Y10" s="385" t="s">
        <v>2013</v>
      </c>
      <c r="Z10" s="92" t="s">
        <v>2024</v>
      </c>
      <c r="AA10" s="222">
        <v>336</v>
      </c>
      <c r="AB10" s="250">
        <v>1</v>
      </c>
      <c r="AC10" s="251"/>
      <c r="AD10" s="251"/>
      <c r="AE10" s="226"/>
      <c r="AF10" s="223">
        <v>60</v>
      </c>
      <c r="AG10" s="264">
        <f>+(MAX(I10:L10)+MAX(I11:L11))/MIN(60,AF10)</f>
        <v>0.30551664587891525</v>
      </c>
      <c r="AH10" s="80"/>
      <c r="AI10" s="80">
        <f t="shared" si="7"/>
        <v>0</v>
      </c>
      <c r="AJ10" s="80">
        <f t="shared" si="8"/>
        <v>0</v>
      </c>
      <c r="AK10" s="80">
        <f t="shared" si="9"/>
        <v>0</v>
      </c>
    </row>
    <row r="11" spans="1:40" s="145" customFormat="1" ht="12.75" customHeight="1" x14ac:dyDescent="0.25">
      <c r="A11" s="145" t="e">
        <f t="shared" si="10"/>
        <v>#REF!</v>
      </c>
      <c r="C11" s="164" t="s">
        <v>2370</v>
      </c>
      <c r="D11" s="93" t="s">
        <v>2371</v>
      </c>
      <c r="E11" s="92">
        <v>69</v>
      </c>
      <c r="F11" s="94" t="s">
        <v>2097</v>
      </c>
      <c r="G11" s="94" t="s">
        <v>2197</v>
      </c>
      <c r="H11" s="151">
        <v>13.2</v>
      </c>
      <c r="I11" s="96">
        <v>14.85</v>
      </c>
      <c r="J11" s="463">
        <v>15.033358765470433</v>
      </c>
      <c r="K11" s="463">
        <v>12.906360401083464</v>
      </c>
      <c r="L11" s="343">
        <v>12.75911388670929</v>
      </c>
      <c r="M11" s="338">
        <f>+VALUE(RIGHT(G11,2))</f>
        <v>14</v>
      </c>
      <c r="N11" s="339">
        <f t="shared" si="0"/>
        <v>1.0738113403907452</v>
      </c>
      <c r="O11" s="325">
        <v>3</v>
      </c>
      <c r="P11" s="324">
        <f t="shared" si="1"/>
        <v>5.0111195884901445</v>
      </c>
      <c r="Q11" s="324">
        <f t="shared" si="2"/>
        <v>219.17963964819637</v>
      </c>
      <c r="R11" s="396">
        <f t="shared" si="3"/>
        <v>14.85</v>
      </c>
      <c r="S11" s="396">
        <f t="shared" si="4"/>
        <v>15.033358765470433</v>
      </c>
      <c r="T11" s="396">
        <f t="shared" si="5"/>
        <v>0</v>
      </c>
      <c r="U11" s="396">
        <f t="shared" si="6"/>
        <v>0</v>
      </c>
      <c r="V11" s="333">
        <f t="shared" si="11"/>
        <v>15.033358765470433</v>
      </c>
      <c r="W11" s="350" t="s">
        <v>2013</v>
      </c>
      <c r="X11" s="386" t="s">
        <v>2014</v>
      </c>
      <c r="Y11" s="385" t="s">
        <v>2014</v>
      </c>
      <c r="Z11" s="92" t="s">
        <v>2024</v>
      </c>
      <c r="AA11" s="222" t="s">
        <v>2451</v>
      </c>
      <c r="AB11" s="250">
        <v>1</v>
      </c>
      <c r="AC11" s="251"/>
      <c r="AD11" s="251"/>
      <c r="AE11" s="226"/>
      <c r="AF11" s="223">
        <v>45</v>
      </c>
      <c r="AG11" s="224">
        <f>+MAX(I11:L11)/MIN(60,AF11)</f>
        <v>0.33407463923267627</v>
      </c>
      <c r="AH11" s="80"/>
      <c r="AI11" s="80">
        <f t="shared" si="7"/>
        <v>0</v>
      </c>
      <c r="AJ11" s="80">
        <f t="shared" si="8"/>
        <v>1</v>
      </c>
      <c r="AK11" s="80">
        <f t="shared" si="9"/>
        <v>3</v>
      </c>
    </row>
    <row r="12" spans="1:40" s="145" customFormat="1" ht="12.75" customHeight="1" x14ac:dyDescent="0.25">
      <c r="A12" s="145" t="e">
        <f t="shared" si="10"/>
        <v>#REF!</v>
      </c>
      <c r="C12" s="164" t="s">
        <v>2372</v>
      </c>
      <c r="D12" s="93" t="s">
        <v>2373</v>
      </c>
      <c r="E12" s="92">
        <v>69</v>
      </c>
      <c r="F12" s="94" t="s">
        <v>2090</v>
      </c>
      <c r="G12" s="94" t="s">
        <v>2374</v>
      </c>
      <c r="H12" s="155">
        <v>12.47</v>
      </c>
      <c r="I12" s="96" t="s">
        <v>2092</v>
      </c>
      <c r="J12" s="463">
        <v>4.7403788563009694</v>
      </c>
      <c r="K12" s="463">
        <v>3.8178741873133299</v>
      </c>
      <c r="L12" s="343">
        <v>3.2875092455154089</v>
      </c>
      <c r="M12" s="338">
        <f>+VALUE(RIGHT(G12,3))</f>
        <v>5.6</v>
      </c>
      <c r="N12" s="339">
        <f t="shared" si="0"/>
        <v>0.84649622433945892</v>
      </c>
      <c r="O12" s="325">
        <v>2</v>
      </c>
      <c r="P12" s="324">
        <f t="shared" si="1"/>
        <v>2.3701894281504847</v>
      </c>
      <c r="Q12" s="324">
        <f t="shared" si="2"/>
        <v>109.73773090401664</v>
      </c>
      <c r="R12" s="396">
        <f t="shared" si="3"/>
        <v>0</v>
      </c>
      <c r="S12" s="396">
        <f t="shared" si="4"/>
        <v>0</v>
      </c>
      <c r="T12" s="396">
        <f t="shared" si="5"/>
        <v>0</v>
      </c>
      <c r="U12" s="396">
        <f t="shared" si="6"/>
        <v>0</v>
      </c>
      <c r="V12" s="333">
        <f t="shared" si="11"/>
        <v>0</v>
      </c>
      <c r="W12" s="350" t="s">
        <v>2013</v>
      </c>
      <c r="X12" s="386" t="s">
        <v>2013</v>
      </c>
      <c r="Y12" s="385" t="s">
        <v>2013</v>
      </c>
      <c r="Z12" s="92" t="s">
        <v>2024</v>
      </c>
      <c r="AA12" s="222" t="s">
        <v>2451</v>
      </c>
      <c r="AB12" s="250">
        <v>1</v>
      </c>
      <c r="AC12" s="251"/>
      <c r="AD12" s="251"/>
      <c r="AE12" s="226"/>
      <c r="AF12" s="223">
        <v>45</v>
      </c>
      <c r="AG12" s="264">
        <f>+(MAX(I11:L11)+MAX(I12:L12))/MIN(60,AF12)</f>
        <v>0.43941639159492007</v>
      </c>
      <c r="AH12" s="80"/>
      <c r="AI12" s="80">
        <f t="shared" si="7"/>
        <v>0</v>
      </c>
      <c r="AJ12" s="80">
        <f t="shared" si="8"/>
        <v>0</v>
      </c>
      <c r="AK12" s="80">
        <f t="shared" si="9"/>
        <v>0</v>
      </c>
    </row>
    <row r="13" spans="1:40" s="145" customFormat="1" ht="12.75" customHeight="1" x14ac:dyDescent="0.25">
      <c r="A13" s="145" t="e">
        <f t="shared" si="10"/>
        <v>#REF!</v>
      </c>
      <c r="C13" s="164" t="s">
        <v>2375</v>
      </c>
      <c r="D13" s="93" t="s">
        <v>2376</v>
      </c>
      <c r="E13" s="92">
        <v>69</v>
      </c>
      <c r="F13" s="94" t="s">
        <v>2090</v>
      </c>
      <c r="G13" s="94" t="s">
        <v>2122</v>
      </c>
      <c r="H13" s="155">
        <v>12.47</v>
      </c>
      <c r="I13" s="101" t="s">
        <v>2092</v>
      </c>
      <c r="J13" s="463">
        <v>8.7747438403868987</v>
      </c>
      <c r="K13" s="463">
        <v>11.106543090366053</v>
      </c>
      <c r="L13" s="343">
        <v>8.3682053522210431</v>
      </c>
      <c r="M13" s="338">
        <f>+VALUE(RIGHT(G13,4))</f>
        <v>11.2</v>
      </c>
      <c r="N13" s="339">
        <f t="shared" si="0"/>
        <v>0.99165563306839766</v>
      </c>
      <c r="O13" s="325">
        <v>3</v>
      </c>
      <c r="P13" s="324">
        <f t="shared" si="1"/>
        <v>3.7021810301220177</v>
      </c>
      <c r="Q13" s="324">
        <f t="shared" si="2"/>
        <v>171.40779585642926</v>
      </c>
      <c r="R13" s="396">
        <f t="shared" si="3"/>
        <v>0</v>
      </c>
      <c r="S13" s="396">
        <f t="shared" si="4"/>
        <v>0</v>
      </c>
      <c r="T13" s="396">
        <f t="shared" si="5"/>
        <v>0</v>
      </c>
      <c r="U13" s="396">
        <f t="shared" si="6"/>
        <v>0</v>
      </c>
      <c r="V13" s="333">
        <f t="shared" si="11"/>
        <v>0</v>
      </c>
      <c r="W13" s="350" t="s">
        <v>2013</v>
      </c>
      <c r="X13" s="386" t="s">
        <v>2013</v>
      </c>
      <c r="Y13" s="385" t="s">
        <v>2013</v>
      </c>
      <c r="Z13" s="92" t="s">
        <v>2024</v>
      </c>
      <c r="AA13" s="222" t="s">
        <v>2451</v>
      </c>
      <c r="AB13" s="250">
        <v>1</v>
      </c>
      <c r="AC13" s="251"/>
      <c r="AD13" s="251"/>
      <c r="AE13" s="226"/>
      <c r="AF13" s="223">
        <v>45</v>
      </c>
      <c r="AG13" s="224">
        <f>+MAX(I13:L13)/MIN(60,AF13)</f>
        <v>0.24681206867480118</v>
      </c>
      <c r="AH13" s="80"/>
      <c r="AI13" s="80">
        <f t="shared" si="7"/>
        <v>0</v>
      </c>
      <c r="AJ13" s="80">
        <f t="shared" si="8"/>
        <v>0</v>
      </c>
      <c r="AK13" s="80">
        <f t="shared" si="9"/>
        <v>0</v>
      </c>
    </row>
    <row r="14" spans="1:40" s="145" customFormat="1" ht="12.75" customHeight="1" x14ac:dyDescent="0.25">
      <c r="A14" s="145" t="e">
        <f t="shared" si="10"/>
        <v>#REF!</v>
      </c>
      <c r="C14" s="164" t="s">
        <v>2377</v>
      </c>
      <c r="D14" s="93" t="s">
        <v>2378</v>
      </c>
      <c r="E14" s="92">
        <v>69</v>
      </c>
      <c r="F14" s="94" t="s">
        <v>2097</v>
      </c>
      <c r="G14" s="94" t="s">
        <v>2374</v>
      </c>
      <c r="H14" s="155">
        <v>12.47</v>
      </c>
      <c r="I14" s="96" t="s">
        <v>2092</v>
      </c>
      <c r="J14" s="463">
        <v>3.4117227716489666</v>
      </c>
      <c r="K14" s="463">
        <v>4.5827338006864302</v>
      </c>
      <c r="L14" s="343">
        <v>4.0763655364410871</v>
      </c>
      <c r="M14" s="338">
        <f>+VALUE(RIGHT(G14,3))</f>
        <v>5.6</v>
      </c>
      <c r="N14" s="339">
        <f t="shared" si="0"/>
        <v>0.81834532155114825</v>
      </c>
      <c r="O14" s="325">
        <v>2</v>
      </c>
      <c r="P14" s="324">
        <f t="shared" si="1"/>
        <v>2.2913669003432151</v>
      </c>
      <c r="Q14" s="324">
        <f t="shared" si="2"/>
        <v>106.08831569569797</v>
      </c>
      <c r="R14" s="396">
        <f t="shared" si="3"/>
        <v>0</v>
      </c>
      <c r="S14" s="396">
        <f t="shared" si="4"/>
        <v>0</v>
      </c>
      <c r="T14" s="396">
        <f t="shared" si="5"/>
        <v>0</v>
      </c>
      <c r="U14" s="396">
        <f t="shared" si="6"/>
        <v>0</v>
      </c>
      <c r="V14" s="333">
        <f t="shared" si="11"/>
        <v>0</v>
      </c>
      <c r="W14" s="350" t="s">
        <v>2013</v>
      </c>
      <c r="X14" s="386" t="s">
        <v>2013</v>
      </c>
      <c r="Y14" s="385" t="s">
        <v>2013</v>
      </c>
      <c r="Z14" s="92" t="s">
        <v>2450</v>
      </c>
      <c r="AA14" s="222" t="s">
        <v>2451</v>
      </c>
      <c r="AB14" s="250">
        <v>2</v>
      </c>
      <c r="AC14" s="251"/>
      <c r="AD14" s="251"/>
      <c r="AE14" s="226"/>
      <c r="AF14" s="223">
        <v>45</v>
      </c>
      <c r="AG14" s="239" t="s">
        <v>2092</v>
      </c>
      <c r="AH14" s="80"/>
      <c r="AI14" s="80">
        <f t="shared" si="7"/>
        <v>0</v>
      </c>
      <c r="AJ14" s="80">
        <f t="shared" si="8"/>
        <v>0</v>
      </c>
      <c r="AK14" s="80">
        <f t="shared" si="9"/>
        <v>0</v>
      </c>
    </row>
    <row r="15" spans="1:40" s="145" customFormat="1" ht="12.75" customHeight="1" x14ac:dyDescent="0.25">
      <c r="A15" s="145" t="e">
        <f t="shared" si="10"/>
        <v>#REF!</v>
      </c>
      <c r="C15" s="164" t="s">
        <v>2379</v>
      </c>
      <c r="D15" s="93" t="s">
        <v>2380</v>
      </c>
      <c r="E15" s="92">
        <v>69</v>
      </c>
      <c r="F15" s="94" t="s">
        <v>2090</v>
      </c>
      <c r="G15" s="94" t="s">
        <v>2374</v>
      </c>
      <c r="H15" s="155">
        <v>4.16</v>
      </c>
      <c r="I15" s="96" t="s">
        <v>2092</v>
      </c>
      <c r="J15" s="463">
        <v>2.1323267322806045</v>
      </c>
      <c r="K15" s="463">
        <v>2.7943498784673357</v>
      </c>
      <c r="L15" s="343">
        <v>2.1186931062583616</v>
      </c>
      <c r="M15" s="338">
        <f>+VALUE(RIGHT(G15,3))</f>
        <v>5.6</v>
      </c>
      <c r="N15" s="339">
        <f t="shared" si="0"/>
        <v>0.49899104972630998</v>
      </c>
      <c r="O15" s="325">
        <v>3</v>
      </c>
      <c r="P15" s="324">
        <f t="shared" si="1"/>
        <v>0.93144995948911191</v>
      </c>
      <c r="Q15" s="324">
        <f t="shared" si="2"/>
        <v>129.27232808839057</v>
      </c>
      <c r="R15" s="396">
        <f t="shared" si="3"/>
        <v>0</v>
      </c>
      <c r="S15" s="396">
        <f t="shared" si="4"/>
        <v>0</v>
      </c>
      <c r="T15" s="396">
        <f t="shared" si="5"/>
        <v>0</v>
      </c>
      <c r="U15" s="396">
        <f t="shared" si="6"/>
        <v>0</v>
      </c>
      <c r="V15" s="333">
        <f t="shared" si="11"/>
        <v>0</v>
      </c>
      <c r="W15" s="350" t="s">
        <v>2013</v>
      </c>
      <c r="X15" s="386" t="s">
        <v>2013</v>
      </c>
      <c r="Y15" s="385" t="s">
        <v>2013</v>
      </c>
      <c r="Z15" s="92" t="s">
        <v>2024</v>
      </c>
      <c r="AA15" s="222" t="s">
        <v>2451</v>
      </c>
      <c r="AB15" s="250">
        <v>1</v>
      </c>
      <c r="AC15" s="251"/>
      <c r="AD15" s="251"/>
      <c r="AE15" s="226"/>
      <c r="AF15" s="223">
        <v>45</v>
      </c>
      <c r="AG15" s="224">
        <f>+MAX(I15:L15)/MIN(60,AF15)</f>
        <v>6.2096663965940796E-2</v>
      </c>
      <c r="AH15" s="80"/>
      <c r="AI15" s="80">
        <f t="shared" si="7"/>
        <v>0</v>
      </c>
      <c r="AJ15" s="80">
        <f t="shared" si="8"/>
        <v>0</v>
      </c>
      <c r="AK15" s="80">
        <f t="shared" si="9"/>
        <v>0</v>
      </c>
    </row>
    <row r="16" spans="1:40" s="145" customFormat="1" ht="12.75" customHeight="1" x14ac:dyDescent="0.25">
      <c r="A16" s="145" t="e">
        <f t="shared" si="10"/>
        <v>#REF!</v>
      </c>
      <c r="C16" s="164" t="s">
        <v>2381</v>
      </c>
      <c r="D16" s="93" t="s">
        <v>2382</v>
      </c>
      <c r="E16" s="92">
        <v>69</v>
      </c>
      <c r="F16" s="94" t="s">
        <v>2090</v>
      </c>
      <c r="G16" s="94" t="s">
        <v>2374</v>
      </c>
      <c r="H16" s="155">
        <v>12.47</v>
      </c>
      <c r="I16" s="96">
        <v>3.66</v>
      </c>
      <c r="J16" s="463">
        <v>4.5489636955319561</v>
      </c>
      <c r="K16" s="463">
        <v>4.1356378201316577</v>
      </c>
      <c r="L16" s="343">
        <v>2.9661703487617066</v>
      </c>
      <c r="M16" s="338">
        <f>+VALUE(RIGHT(G16,3))</f>
        <v>5.6</v>
      </c>
      <c r="N16" s="339">
        <f t="shared" si="0"/>
        <v>0.8123149456307065</v>
      </c>
      <c r="O16" s="325">
        <v>2</v>
      </c>
      <c r="P16" s="324">
        <f t="shared" si="1"/>
        <v>2.2744818477659781</v>
      </c>
      <c r="Q16" s="324">
        <f t="shared" si="2"/>
        <v>105.30655229146792</v>
      </c>
      <c r="R16" s="396">
        <f t="shared" si="3"/>
        <v>0</v>
      </c>
      <c r="S16" s="396">
        <f t="shared" si="4"/>
        <v>0</v>
      </c>
      <c r="T16" s="396">
        <f t="shared" si="5"/>
        <v>0</v>
      </c>
      <c r="U16" s="396">
        <f t="shared" si="6"/>
        <v>0</v>
      </c>
      <c r="V16" s="333">
        <f t="shared" si="11"/>
        <v>0</v>
      </c>
      <c r="W16" s="350" t="s">
        <v>2013</v>
      </c>
      <c r="X16" s="386" t="s">
        <v>2013</v>
      </c>
      <c r="Y16" s="385" t="s">
        <v>2013</v>
      </c>
      <c r="Z16" s="92" t="s">
        <v>2024</v>
      </c>
      <c r="AA16" s="222" t="s">
        <v>2451</v>
      </c>
      <c r="AB16" s="250">
        <v>2</v>
      </c>
      <c r="AC16" s="251"/>
      <c r="AD16" s="251"/>
      <c r="AE16" s="226"/>
      <c r="AF16" s="223">
        <v>45</v>
      </c>
      <c r="AG16" s="224">
        <f>+MAX(I16:L16)/MIN(60,AF16)</f>
        <v>0.10108808212293235</v>
      </c>
      <c r="AH16" s="80"/>
      <c r="AI16" s="80">
        <f t="shared" si="7"/>
        <v>0</v>
      </c>
      <c r="AJ16" s="80">
        <f t="shared" si="8"/>
        <v>0</v>
      </c>
      <c r="AK16" s="80">
        <f t="shared" si="9"/>
        <v>0</v>
      </c>
    </row>
    <row r="17" spans="1:45" s="145" customFormat="1" ht="12.75" customHeight="1" x14ac:dyDescent="0.25">
      <c r="A17" s="145" t="e">
        <f t="shared" si="10"/>
        <v>#REF!</v>
      </c>
      <c r="C17" s="164" t="s">
        <v>2383</v>
      </c>
      <c r="D17" s="93" t="s">
        <v>2384</v>
      </c>
      <c r="E17" s="92">
        <v>69</v>
      </c>
      <c r="F17" s="94" t="s">
        <v>2090</v>
      </c>
      <c r="G17" s="94" t="s">
        <v>2122</v>
      </c>
      <c r="H17" s="155">
        <v>4.16</v>
      </c>
      <c r="I17" s="96">
        <v>3.45</v>
      </c>
      <c r="J17" s="463">
        <v>1.1460013417758443</v>
      </c>
      <c r="K17" s="463">
        <v>1.1160013424464177</v>
      </c>
      <c r="L17" s="343">
        <v>1.1460013417758443</v>
      </c>
      <c r="M17" s="338">
        <f>+VALUE(RIGHT(G17,4))</f>
        <v>11.2</v>
      </c>
      <c r="N17" s="339">
        <f t="shared" si="0"/>
        <v>0.3080357142857143</v>
      </c>
      <c r="O17" s="325">
        <v>3</v>
      </c>
      <c r="P17" s="324">
        <f t="shared" si="1"/>
        <v>1.1500000000000001</v>
      </c>
      <c r="Q17" s="324">
        <f t="shared" si="2"/>
        <v>159.60404076155524</v>
      </c>
      <c r="R17" s="396">
        <f t="shared" si="3"/>
        <v>0</v>
      </c>
      <c r="S17" s="396">
        <f t="shared" si="4"/>
        <v>0</v>
      </c>
      <c r="T17" s="396">
        <f t="shared" si="5"/>
        <v>0</v>
      </c>
      <c r="U17" s="396">
        <f t="shared" si="6"/>
        <v>0</v>
      </c>
      <c r="V17" s="333">
        <f t="shared" si="11"/>
        <v>0</v>
      </c>
      <c r="W17" s="350" t="s">
        <v>2013</v>
      </c>
      <c r="X17" s="386" t="s">
        <v>2013</v>
      </c>
      <c r="Y17" s="385" t="s">
        <v>2013</v>
      </c>
      <c r="Z17" s="92" t="s">
        <v>2024</v>
      </c>
      <c r="AA17" s="222">
        <v>336</v>
      </c>
      <c r="AB17" s="250">
        <v>1</v>
      </c>
      <c r="AC17" s="251"/>
      <c r="AD17" s="251"/>
      <c r="AE17" s="226"/>
      <c r="AF17" s="223">
        <v>45</v>
      </c>
      <c r="AG17" s="224">
        <f>+MAX(I17:L17)/MIN(60,AF17)</f>
        <v>7.6666666666666675E-2</v>
      </c>
      <c r="AH17" s="80"/>
      <c r="AI17" s="80">
        <f t="shared" si="7"/>
        <v>0</v>
      </c>
      <c r="AJ17" s="80">
        <f t="shared" si="8"/>
        <v>0</v>
      </c>
      <c r="AK17" s="80">
        <f t="shared" si="9"/>
        <v>0</v>
      </c>
    </row>
    <row r="18" spans="1:45" s="145" customFormat="1" ht="12.75" customHeight="1" x14ac:dyDescent="0.25">
      <c r="A18" s="145" t="e">
        <f t="shared" si="10"/>
        <v>#REF!</v>
      </c>
      <c r="C18" s="164" t="s">
        <v>2385</v>
      </c>
      <c r="D18" s="93" t="s">
        <v>2386</v>
      </c>
      <c r="E18" s="92">
        <v>69</v>
      </c>
      <c r="F18" s="94" t="s">
        <v>2121</v>
      </c>
      <c r="G18" s="94" t="s">
        <v>2101</v>
      </c>
      <c r="H18" s="151">
        <v>26.4</v>
      </c>
      <c r="I18" s="96">
        <v>12.93</v>
      </c>
      <c r="J18" s="463">
        <v>12.038723796662046</v>
      </c>
      <c r="K18" s="463">
        <v>14.999388618903414</v>
      </c>
      <c r="L18" s="343">
        <v>12.043503626967443</v>
      </c>
      <c r="M18" s="338">
        <f>+VALUE(RIGHT(G18,4))</f>
        <v>12.5</v>
      </c>
      <c r="N18" s="339">
        <f t="shared" si="0"/>
        <v>1.1999510895122731</v>
      </c>
      <c r="O18" s="325">
        <v>2</v>
      </c>
      <c r="P18" s="324">
        <f t="shared" si="1"/>
        <v>7.4996943094517068</v>
      </c>
      <c r="Q18" s="324">
        <f t="shared" si="2"/>
        <v>164.0132775909791</v>
      </c>
      <c r="R18" s="396">
        <f t="shared" si="3"/>
        <v>0</v>
      </c>
      <c r="S18" s="396">
        <f t="shared" si="4"/>
        <v>0</v>
      </c>
      <c r="T18" s="396">
        <f t="shared" si="5"/>
        <v>14.999388618903414</v>
      </c>
      <c r="U18" s="396">
        <f t="shared" si="6"/>
        <v>0</v>
      </c>
      <c r="V18" s="333">
        <f t="shared" si="11"/>
        <v>14.999388618903414</v>
      </c>
      <c r="W18" s="350" t="s">
        <v>2014</v>
      </c>
      <c r="X18" s="386" t="s">
        <v>2014</v>
      </c>
      <c r="Y18" s="385" t="s">
        <v>2013</v>
      </c>
      <c r="Z18" s="92" t="s">
        <v>2450</v>
      </c>
      <c r="AA18" s="222" t="s">
        <v>2468</v>
      </c>
      <c r="AB18" s="250"/>
      <c r="AC18" s="251">
        <v>5</v>
      </c>
      <c r="AD18" s="251"/>
      <c r="AE18" s="226"/>
      <c r="AF18" s="223">
        <f>205+121+251+301+165</f>
        <v>1043</v>
      </c>
      <c r="AG18" s="239" t="s">
        <v>2092</v>
      </c>
      <c r="AH18" s="80"/>
      <c r="AI18" s="80">
        <f t="shared" si="7"/>
        <v>1</v>
      </c>
      <c r="AJ18" s="80">
        <f t="shared" si="8"/>
        <v>1</v>
      </c>
      <c r="AK18" s="80">
        <f t="shared" si="9"/>
        <v>0</v>
      </c>
    </row>
    <row r="19" spans="1:45" s="145" customFormat="1" ht="12.75" customHeight="1" x14ac:dyDescent="0.25">
      <c r="A19" s="145" t="e">
        <f t="shared" si="10"/>
        <v>#REF!</v>
      </c>
      <c r="C19" s="164" t="s">
        <v>2387</v>
      </c>
      <c r="D19" s="93" t="s">
        <v>2388</v>
      </c>
      <c r="E19" s="92">
        <v>69</v>
      </c>
      <c r="F19" s="94" t="s">
        <v>2090</v>
      </c>
      <c r="G19" s="94">
        <v>3</v>
      </c>
      <c r="H19" s="151">
        <v>24</v>
      </c>
      <c r="I19" s="96" t="s">
        <v>2092</v>
      </c>
      <c r="J19" s="463">
        <v>2.4190599615142223</v>
      </c>
      <c r="K19" s="463">
        <v>1.1180030083878172</v>
      </c>
      <c r="L19" s="343">
        <v>1.8661225397016004</v>
      </c>
      <c r="M19" s="338">
        <f>+VALUE(RIGHT(G19,1))</f>
        <v>3</v>
      </c>
      <c r="N19" s="339">
        <f t="shared" si="0"/>
        <v>0.80635332050474073</v>
      </c>
      <c r="O19" s="325">
        <v>2</v>
      </c>
      <c r="P19" s="324">
        <f t="shared" si="1"/>
        <v>1.2095299807571112</v>
      </c>
      <c r="Q19" s="324">
        <f t="shared" si="2"/>
        <v>29.09676916596004</v>
      </c>
      <c r="R19" s="396">
        <f t="shared" si="3"/>
        <v>0</v>
      </c>
      <c r="S19" s="396">
        <f t="shared" si="4"/>
        <v>0</v>
      </c>
      <c r="T19" s="396">
        <f t="shared" si="5"/>
        <v>0</v>
      </c>
      <c r="U19" s="396">
        <f t="shared" si="6"/>
        <v>0</v>
      </c>
      <c r="V19" s="333">
        <f t="shared" si="11"/>
        <v>0</v>
      </c>
      <c r="W19" s="350" t="s">
        <v>2013</v>
      </c>
      <c r="X19" s="386" t="s">
        <v>2013</v>
      </c>
      <c r="Y19" s="385" t="s">
        <v>2013</v>
      </c>
      <c r="Z19" s="92" t="s">
        <v>2450</v>
      </c>
      <c r="AA19" s="222" t="s">
        <v>2453</v>
      </c>
      <c r="AB19" s="250">
        <v>2</v>
      </c>
      <c r="AC19" s="251"/>
      <c r="AD19" s="251"/>
      <c r="AE19" s="226"/>
      <c r="AF19" s="223">
        <f>34+34</f>
        <v>68</v>
      </c>
      <c r="AG19" s="239" t="s">
        <v>2092</v>
      </c>
      <c r="AH19" s="80"/>
      <c r="AI19" s="80">
        <f t="shared" si="7"/>
        <v>0</v>
      </c>
      <c r="AJ19" s="80">
        <f t="shared" si="8"/>
        <v>0</v>
      </c>
      <c r="AK19" s="80">
        <f t="shared" si="9"/>
        <v>0</v>
      </c>
    </row>
    <row r="20" spans="1:45" s="145" customFormat="1" ht="12.75" customHeight="1" x14ac:dyDescent="0.25">
      <c r="A20" s="145" t="e">
        <f t="shared" si="10"/>
        <v>#REF!</v>
      </c>
      <c r="C20" s="164" t="s">
        <v>2389</v>
      </c>
      <c r="D20" s="93" t="s">
        <v>2390</v>
      </c>
      <c r="E20" s="92">
        <v>69</v>
      </c>
      <c r="F20" s="94" t="s">
        <v>2097</v>
      </c>
      <c r="G20" s="94" t="s">
        <v>2391</v>
      </c>
      <c r="H20" s="155">
        <v>4.16</v>
      </c>
      <c r="I20" s="96">
        <v>2.4700000000000002</v>
      </c>
      <c r="J20" s="463">
        <v>2.39</v>
      </c>
      <c r="K20" s="463">
        <v>2.5410624360299816</v>
      </c>
      <c r="L20" s="343">
        <v>2.2087512626204524</v>
      </c>
      <c r="M20" s="338">
        <f>+VALUE(RIGHT(G20,3))</f>
        <v>6.7</v>
      </c>
      <c r="N20" s="339">
        <f t="shared" si="0"/>
        <v>0.37926305015372858</v>
      </c>
      <c r="O20" s="325">
        <v>2</v>
      </c>
      <c r="P20" s="324">
        <f>+MAX(K20:L20)/O20</f>
        <v>1.2705312180149908</v>
      </c>
      <c r="Q20" s="324">
        <f t="shared" si="2"/>
        <v>176.33210113816779</v>
      </c>
      <c r="R20" s="467">
        <f t="shared" si="3"/>
        <v>0</v>
      </c>
      <c r="S20" s="396">
        <f t="shared" ref="S20:U26" si="12">IF($Q20&gt;260,J20,IF(OR(J20="-",J20&lt;($M20*1.06)),0,J20))</f>
        <v>0</v>
      </c>
      <c r="T20" s="396">
        <f t="shared" si="12"/>
        <v>0</v>
      </c>
      <c r="U20" s="396">
        <f t="shared" si="12"/>
        <v>0</v>
      </c>
      <c r="V20" s="467">
        <f t="shared" si="11"/>
        <v>0</v>
      </c>
      <c r="W20" s="834" t="s">
        <v>2013</v>
      </c>
      <c r="X20" s="835" t="s">
        <v>2013</v>
      </c>
      <c r="Y20" s="836" t="s">
        <v>2014</v>
      </c>
      <c r="Z20" s="695" t="s">
        <v>2024</v>
      </c>
      <c r="AA20" s="707" t="s">
        <v>2451</v>
      </c>
      <c r="AB20" s="701">
        <v>1</v>
      </c>
      <c r="AC20" s="704"/>
      <c r="AD20" s="704"/>
      <c r="AE20" s="707"/>
      <c r="AF20" s="802">
        <v>45</v>
      </c>
      <c r="AG20" s="785">
        <f>+(MAX(I20:L20)+MAX(I21:L21))/MIN(60,AF20)</f>
        <v>0.6482532614583153</v>
      </c>
      <c r="AH20" s="80"/>
      <c r="AI20" s="750">
        <f t="shared" si="7"/>
        <v>0</v>
      </c>
      <c r="AJ20" s="80">
        <f t="shared" si="8"/>
        <v>0</v>
      </c>
      <c r="AK20" s="80">
        <f t="shared" si="9"/>
        <v>2</v>
      </c>
      <c r="AL20" s="294"/>
      <c r="AM20" s="294"/>
      <c r="AN20" s="294"/>
      <c r="AO20" s="294"/>
      <c r="AP20" s="294"/>
      <c r="AQ20" s="294"/>
      <c r="AR20" s="294"/>
    </row>
    <row r="21" spans="1:45" s="145" customFormat="1" ht="12.75" customHeight="1" x14ac:dyDescent="0.25">
      <c r="A21" s="145" t="e">
        <f t="shared" si="10"/>
        <v>#REF!</v>
      </c>
      <c r="C21" s="164" t="s">
        <v>2389</v>
      </c>
      <c r="D21" s="93" t="s">
        <v>2390</v>
      </c>
      <c r="E21" s="92">
        <v>69</v>
      </c>
      <c r="F21" s="94" t="s">
        <v>2121</v>
      </c>
      <c r="G21" s="94" t="s">
        <v>2098</v>
      </c>
      <c r="H21" s="151">
        <v>13.2</v>
      </c>
      <c r="I21" s="101">
        <v>25.7</v>
      </c>
      <c r="J21" s="463">
        <v>24.26</v>
      </c>
      <c r="K21" s="463">
        <v>26.630334329594206</v>
      </c>
      <c r="L21" s="343">
        <v>23.147713232262337</v>
      </c>
      <c r="M21" s="338">
        <f>+VALUE(RIGHT(G21,2))</f>
        <v>25</v>
      </c>
      <c r="N21" s="339">
        <f t="shared" si="0"/>
        <v>1.0652133731837683</v>
      </c>
      <c r="O21" s="325">
        <v>6</v>
      </c>
      <c r="P21" s="324">
        <f t="shared" ref="P21:P26" si="13">+MAX(I21:L21)/O21</f>
        <v>4.4383890549323679</v>
      </c>
      <c r="Q21" s="324">
        <f t="shared" si="2"/>
        <v>194.12917542677968</v>
      </c>
      <c r="R21" s="396">
        <f t="shared" ref="R21:R26" si="14">IF($Q21&gt;260,I21,IF(OR(I21="-",I21&lt;($M21*1.06)),0,I21))</f>
        <v>0</v>
      </c>
      <c r="S21" s="396">
        <f t="shared" si="12"/>
        <v>0</v>
      </c>
      <c r="T21" s="396">
        <f t="shared" si="12"/>
        <v>26.630334329594206</v>
      </c>
      <c r="U21" s="396">
        <f t="shared" si="12"/>
        <v>0</v>
      </c>
      <c r="V21" s="333">
        <f t="shared" si="11"/>
        <v>26.630334329594206</v>
      </c>
      <c r="W21" s="834"/>
      <c r="X21" s="835"/>
      <c r="Y21" s="836"/>
      <c r="Z21" s="697"/>
      <c r="AA21" s="709"/>
      <c r="AB21" s="703"/>
      <c r="AC21" s="706"/>
      <c r="AD21" s="706"/>
      <c r="AE21" s="709"/>
      <c r="AF21" s="803"/>
      <c r="AG21" s="787"/>
      <c r="AH21" s="80"/>
      <c r="AI21" s="750"/>
      <c r="AJ21" s="80">
        <f t="shared" ref="AJ21:AJ36" si="15">+IF(X21="y",1,0)</f>
        <v>0</v>
      </c>
      <c r="AK21" s="80">
        <f t="shared" si="9"/>
        <v>0</v>
      </c>
    </row>
    <row r="22" spans="1:45" s="145" customFormat="1" ht="12.75" customHeight="1" x14ac:dyDescent="0.25">
      <c r="A22" s="145" t="e">
        <f t="shared" si="10"/>
        <v>#REF!</v>
      </c>
      <c r="C22" s="164" t="s">
        <v>2392</v>
      </c>
      <c r="D22" s="93" t="s">
        <v>2393</v>
      </c>
      <c r="E22" s="92">
        <v>69</v>
      </c>
      <c r="F22" s="94" t="s">
        <v>2090</v>
      </c>
      <c r="G22" s="94" t="s">
        <v>2122</v>
      </c>
      <c r="H22" s="155">
        <v>24.94</v>
      </c>
      <c r="I22" s="96">
        <v>14.32</v>
      </c>
      <c r="J22" s="463">
        <v>12.424132101833042</v>
      </c>
      <c r="K22" s="463">
        <v>14.229949641767897</v>
      </c>
      <c r="L22" s="343">
        <v>11.220456414111895</v>
      </c>
      <c r="M22" s="338">
        <f>+VALUE(RIGHT(G22,4))</f>
        <v>11.2</v>
      </c>
      <c r="N22" s="339">
        <f t="shared" si="0"/>
        <v>1.2785714285714287</v>
      </c>
      <c r="O22" s="325">
        <v>2</v>
      </c>
      <c r="P22" s="324">
        <f t="shared" si="13"/>
        <v>7.16</v>
      </c>
      <c r="Q22" s="324">
        <f t="shared" si="2"/>
        <v>165.75091930223419</v>
      </c>
      <c r="R22" s="396">
        <f t="shared" si="14"/>
        <v>14.32</v>
      </c>
      <c r="S22" s="396">
        <f t="shared" si="12"/>
        <v>12.424132101833042</v>
      </c>
      <c r="T22" s="396">
        <f t="shared" si="12"/>
        <v>14.229949641767897</v>
      </c>
      <c r="U22" s="396">
        <f t="shared" si="12"/>
        <v>0</v>
      </c>
      <c r="V22" s="333">
        <f t="shared" si="11"/>
        <v>14.32</v>
      </c>
      <c r="W22" s="350" t="s">
        <v>2013</v>
      </c>
      <c r="X22" s="386" t="s">
        <v>2013</v>
      </c>
      <c r="Y22" s="385" t="s">
        <v>2014</v>
      </c>
      <c r="Z22" s="92" t="s">
        <v>2024</v>
      </c>
      <c r="AA22" s="222">
        <v>556</v>
      </c>
      <c r="AB22" s="250">
        <v>1</v>
      </c>
      <c r="AC22" s="251"/>
      <c r="AD22" s="251"/>
      <c r="AE22" s="226"/>
      <c r="AF22" s="223">
        <v>82</v>
      </c>
      <c r="AG22" s="264">
        <f>+(MAX(I20:L20)+MAX(I21:L21)+MAX(I22:L22))/MIN(60,AF22)</f>
        <v>0.72485661276040314</v>
      </c>
      <c r="AH22" s="80"/>
      <c r="AI22" s="80">
        <f>+IF(W22="y",1,0)</f>
        <v>0</v>
      </c>
      <c r="AJ22" s="80">
        <f t="shared" si="15"/>
        <v>0</v>
      </c>
      <c r="AK22" s="80">
        <f t="shared" si="9"/>
        <v>2</v>
      </c>
    </row>
    <row r="23" spans="1:45" s="145" customFormat="1" ht="12.75" customHeight="1" x14ac:dyDescent="0.25">
      <c r="A23" s="145" t="e">
        <f t="shared" si="10"/>
        <v>#REF!</v>
      </c>
      <c r="C23" s="164" t="s">
        <v>2394</v>
      </c>
      <c r="D23" s="93" t="s">
        <v>2395</v>
      </c>
      <c r="E23" s="92">
        <v>69</v>
      </c>
      <c r="F23" s="94" t="s">
        <v>2090</v>
      </c>
      <c r="G23" s="94" t="s">
        <v>2396</v>
      </c>
      <c r="H23" s="155">
        <v>4.16</v>
      </c>
      <c r="I23" s="102" t="s">
        <v>2092</v>
      </c>
      <c r="J23" s="463">
        <v>2.3381845361907598</v>
      </c>
      <c r="K23" s="463">
        <v>2.9746818895483687</v>
      </c>
      <c r="L23" s="343">
        <v>3.4375634610287036</v>
      </c>
      <c r="M23" s="338">
        <f>+VALUE(RIGHT(G23,1))</f>
        <v>5</v>
      </c>
      <c r="N23" s="339">
        <f t="shared" si="0"/>
        <v>0.68751269220574074</v>
      </c>
      <c r="O23" s="325">
        <v>3</v>
      </c>
      <c r="P23" s="324">
        <f t="shared" si="13"/>
        <v>1.1458544870095679</v>
      </c>
      <c r="Q23" s="324">
        <f t="shared" si="2"/>
        <v>159.02870108824871</v>
      </c>
      <c r="R23" s="396">
        <f t="shared" si="14"/>
        <v>0</v>
      </c>
      <c r="S23" s="396">
        <f t="shared" si="12"/>
        <v>0</v>
      </c>
      <c r="T23" s="396">
        <f t="shared" si="12"/>
        <v>0</v>
      </c>
      <c r="U23" s="396">
        <f t="shared" si="12"/>
        <v>0</v>
      </c>
      <c r="V23" s="333">
        <f t="shared" si="11"/>
        <v>0</v>
      </c>
      <c r="W23" s="350" t="s">
        <v>2013</v>
      </c>
      <c r="X23" s="386" t="s">
        <v>2013</v>
      </c>
      <c r="Y23" s="385" t="s">
        <v>2013</v>
      </c>
      <c r="Z23" s="92" t="s">
        <v>2024</v>
      </c>
      <c r="AA23" s="222" t="s">
        <v>2453</v>
      </c>
      <c r="AB23" s="250">
        <v>1</v>
      </c>
      <c r="AC23" s="251"/>
      <c r="AD23" s="251"/>
      <c r="AE23" s="226"/>
      <c r="AF23" s="223">
        <v>34</v>
      </c>
      <c r="AG23" s="264">
        <f>++(MAX(I23:L23)+MAX(I24:L24)+MAX(I25:L25)+MAX(I26:L26))/MIN(60,AF23)</f>
        <v>0.71986036065026437</v>
      </c>
      <c r="AH23" s="80"/>
      <c r="AI23" s="80">
        <f>+IF(W23="y",1,0)</f>
        <v>0</v>
      </c>
      <c r="AJ23" s="80">
        <f t="shared" si="15"/>
        <v>0</v>
      </c>
      <c r="AK23" s="80">
        <f t="shared" si="9"/>
        <v>0</v>
      </c>
    </row>
    <row r="24" spans="1:45" s="145" customFormat="1" ht="12.75" customHeight="1" x14ac:dyDescent="0.25">
      <c r="A24" s="145" t="e">
        <f t="shared" si="10"/>
        <v>#REF!</v>
      </c>
      <c r="C24" s="164" t="s">
        <v>2397</v>
      </c>
      <c r="D24" s="93" t="s">
        <v>2398</v>
      </c>
      <c r="E24" s="92">
        <v>66</v>
      </c>
      <c r="F24" s="94" t="s">
        <v>2090</v>
      </c>
      <c r="G24" s="94" t="s">
        <v>2399</v>
      </c>
      <c r="H24" s="151">
        <v>12.5</v>
      </c>
      <c r="I24" s="102" t="s">
        <v>2092</v>
      </c>
      <c r="J24" s="463">
        <v>2.7711816725223795</v>
      </c>
      <c r="K24" s="463">
        <v>3.5058750841105772</v>
      </c>
      <c r="L24" s="343">
        <v>3.7322117576883072</v>
      </c>
      <c r="M24" s="338">
        <f>+VALUE(RIGHT(G24,1))</f>
        <v>3</v>
      </c>
      <c r="N24" s="339">
        <f t="shared" si="0"/>
        <v>1.2440705858961023</v>
      </c>
      <c r="O24" s="325">
        <v>2</v>
      </c>
      <c r="P24" s="324">
        <f t="shared" si="13"/>
        <v>1.8661058788441536</v>
      </c>
      <c r="Q24" s="324">
        <f t="shared" si="2"/>
        <v>86.191738518961216</v>
      </c>
      <c r="R24" s="396">
        <f t="shared" si="14"/>
        <v>0</v>
      </c>
      <c r="S24" s="396">
        <f t="shared" si="12"/>
        <v>0</v>
      </c>
      <c r="T24" s="396">
        <f t="shared" si="12"/>
        <v>3.5058750841105772</v>
      </c>
      <c r="U24" s="396">
        <f t="shared" si="12"/>
        <v>3.7322117576883072</v>
      </c>
      <c r="V24" s="333">
        <f t="shared" si="11"/>
        <v>3.7322117576883072</v>
      </c>
      <c r="W24" s="350" t="s">
        <v>2013</v>
      </c>
      <c r="X24" s="386" t="s">
        <v>2013</v>
      </c>
      <c r="Y24" s="385" t="s">
        <v>2013</v>
      </c>
      <c r="Z24" s="92" t="s">
        <v>2024</v>
      </c>
      <c r="AA24" s="222" t="s">
        <v>2453</v>
      </c>
      <c r="AB24" s="250">
        <v>1</v>
      </c>
      <c r="AC24" s="251"/>
      <c r="AD24" s="251"/>
      <c r="AE24" s="226"/>
      <c r="AF24" s="223">
        <v>34</v>
      </c>
      <c r="AG24" s="264">
        <f>+(MAX(I24:L24)+MAX(I25:L25)+MAX(I26:L26))/MIN(60,AF24)</f>
        <v>0.6187555529729496</v>
      </c>
      <c r="AH24" s="80"/>
      <c r="AI24" s="80">
        <f>+IF(W24="y",1,0)</f>
        <v>0</v>
      </c>
      <c r="AJ24" s="80">
        <f t="shared" si="15"/>
        <v>0</v>
      </c>
      <c r="AK24" s="80">
        <f t="shared" si="9"/>
        <v>0</v>
      </c>
    </row>
    <row r="25" spans="1:45" s="145" customFormat="1" ht="12.75" customHeight="1" x14ac:dyDescent="0.25">
      <c r="A25" s="145" t="e">
        <f t="shared" si="10"/>
        <v>#REF!</v>
      </c>
      <c r="C25" s="164" t="s">
        <v>2400</v>
      </c>
      <c r="D25" s="93" t="s">
        <v>2401</v>
      </c>
      <c r="E25" s="92">
        <v>69</v>
      </c>
      <c r="F25" s="94" t="s">
        <v>2090</v>
      </c>
      <c r="G25" s="94" t="s">
        <v>2252</v>
      </c>
      <c r="H25" s="155">
        <v>12.47</v>
      </c>
      <c r="I25" s="102" t="s">
        <v>2092</v>
      </c>
      <c r="J25" s="463">
        <v>7.5939570092846225</v>
      </c>
      <c r="K25" s="463">
        <v>8.7115683908202222</v>
      </c>
      <c r="L25" s="343">
        <v>3.7199347453274894</v>
      </c>
      <c r="M25" s="338">
        <f>+VALUE(RIGHT(G25,3))</f>
        <v>7.5</v>
      </c>
      <c r="N25" s="339">
        <f t="shared" si="0"/>
        <v>1.1615424521093629</v>
      </c>
      <c r="O25" s="325">
        <v>3</v>
      </c>
      <c r="P25" s="324">
        <f t="shared" si="13"/>
        <v>2.9038561302734074</v>
      </c>
      <c r="Q25" s="324">
        <f t="shared" si="2"/>
        <v>134.44603997604625</v>
      </c>
      <c r="R25" s="396">
        <f t="shared" si="14"/>
        <v>0</v>
      </c>
      <c r="S25" s="396">
        <f t="shared" si="12"/>
        <v>0</v>
      </c>
      <c r="T25" s="396">
        <f t="shared" si="12"/>
        <v>8.7115683908202222</v>
      </c>
      <c r="U25" s="396">
        <f t="shared" si="12"/>
        <v>0</v>
      </c>
      <c r="V25" s="333">
        <f t="shared" si="11"/>
        <v>8.7115683908202222</v>
      </c>
      <c r="W25" s="350" t="s">
        <v>2013</v>
      </c>
      <c r="X25" s="386" t="s">
        <v>2013</v>
      </c>
      <c r="Y25" s="385" t="s">
        <v>2013</v>
      </c>
      <c r="Z25" s="92" t="s">
        <v>2024</v>
      </c>
      <c r="AA25" s="222" t="s">
        <v>2453</v>
      </c>
      <c r="AB25" s="250">
        <v>1</v>
      </c>
      <c r="AC25" s="251"/>
      <c r="AD25" s="251"/>
      <c r="AE25" s="226"/>
      <c r="AF25" s="223">
        <v>34</v>
      </c>
      <c r="AG25" s="264">
        <f>+(MAX(I25:L25)+MAX(I26:L26))/MIN(60,AF25)</f>
        <v>0.50898461892329361</v>
      </c>
      <c r="AH25" s="80"/>
      <c r="AI25" s="80">
        <f>+IF(W25="y",1,0)</f>
        <v>0</v>
      </c>
      <c r="AJ25" s="80">
        <f t="shared" si="15"/>
        <v>0</v>
      </c>
      <c r="AK25" s="80">
        <f t="shared" si="9"/>
        <v>0</v>
      </c>
    </row>
    <row r="26" spans="1:45" s="145" customFormat="1" ht="12.75" customHeight="1" x14ac:dyDescent="0.25">
      <c r="A26" s="145" t="e">
        <f t="shared" si="10"/>
        <v>#REF!</v>
      </c>
      <c r="C26" s="164" t="s">
        <v>2402</v>
      </c>
      <c r="D26" s="93" t="s">
        <v>2403</v>
      </c>
      <c r="E26" s="92">
        <v>69</v>
      </c>
      <c r="F26" s="94" t="s">
        <v>2097</v>
      </c>
      <c r="G26" s="174" t="s">
        <v>2101</v>
      </c>
      <c r="H26" s="155">
        <v>6.9</v>
      </c>
      <c r="I26" s="728" t="s">
        <v>2092</v>
      </c>
      <c r="J26" s="641">
        <v>6.061959908642705</v>
      </c>
      <c r="K26" s="641">
        <v>7.4367047238709212</v>
      </c>
      <c r="L26" s="641">
        <v>8.5939086525717574</v>
      </c>
      <c r="M26" s="753">
        <f>+VALUE(RIGHT(G26,4))+VALUE(RIGHT(G27,3))</f>
        <v>20.9</v>
      </c>
      <c r="N26" s="754">
        <f t="shared" si="0"/>
        <v>0.4111918015584573</v>
      </c>
      <c r="O26" s="674">
        <v>5</v>
      </c>
      <c r="P26" s="672">
        <f t="shared" si="13"/>
        <v>1.7187817305143516</v>
      </c>
      <c r="Q26" s="672">
        <f t="shared" si="2"/>
        <v>143.81726011459008</v>
      </c>
      <c r="R26" s="653">
        <f t="shared" si="14"/>
        <v>0</v>
      </c>
      <c r="S26" s="653">
        <f t="shared" si="12"/>
        <v>0</v>
      </c>
      <c r="T26" s="653">
        <f t="shared" si="12"/>
        <v>0</v>
      </c>
      <c r="U26" s="653">
        <f t="shared" si="12"/>
        <v>0</v>
      </c>
      <c r="V26" s="653">
        <f t="shared" si="11"/>
        <v>0</v>
      </c>
      <c r="W26" s="834" t="s">
        <v>2013</v>
      </c>
      <c r="X26" s="835" t="s">
        <v>2013</v>
      </c>
      <c r="Y26" s="836" t="s">
        <v>2013</v>
      </c>
      <c r="Z26" s="695" t="s">
        <v>2024</v>
      </c>
      <c r="AA26" s="707" t="s">
        <v>2453</v>
      </c>
      <c r="AB26" s="701">
        <v>1</v>
      </c>
      <c r="AC26" s="704"/>
      <c r="AD26" s="704"/>
      <c r="AE26" s="707"/>
      <c r="AF26" s="802">
        <v>34</v>
      </c>
      <c r="AG26" s="785">
        <f>+MAX(I26:L27)/MIN(60,AF26)</f>
        <v>0.252762019193287</v>
      </c>
      <c r="AH26" s="80"/>
      <c r="AI26" s="750">
        <f>+IF(W26="y",1,0)</f>
        <v>0</v>
      </c>
      <c r="AJ26" s="80">
        <f t="shared" si="15"/>
        <v>0</v>
      </c>
      <c r="AK26" s="750">
        <f t="shared" si="9"/>
        <v>0</v>
      </c>
    </row>
    <row r="27" spans="1:45" s="145" customFormat="1" ht="12.75" customHeight="1" x14ac:dyDescent="0.25">
      <c r="A27" s="145" t="e">
        <f t="shared" si="10"/>
        <v>#REF!</v>
      </c>
      <c r="C27" s="164" t="s">
        <v>2402</v>
      </c>
      <c r="D27" s="93" t="s">
        <v>2403</v>
      </c>
      <c r="E27" s="92">
        <v>69</v>
      </c>
      <c r="F27" s="94" t="s">
        <v>2093</v>
      </c>
      <c r="G27" s="94" t="s">
        <v>2338</v>
      </c>
      <c r="H27" s="155">
        <v>4.16</v>
      </c>
      <c r="I27" s="818"/>
      <c r="J27" s="642"/>
      <c r="K27" s="642"/>
      <c r="L27" s="642"/>
      <c r="M27" s="753"/>
      <c r="N27" s="755"/>
      <c r="O27" s="675"/>
      <c r="P27" s="673"/>
      <c r="Q27" s="673"/>
      <c r="R27" s="654"/>
      <c r="S27" s="654"/>
      <c r="T27" s="654"/>
      <c r="U27" s="654"/>
      <c r="V27" s="654"/>
      <c r="W27" s="834"/>
      <c r="X27" s="835"/>
      <c r="Y27" s="836"/>
      <c r="Z27" s="697"/>
      <c r="AA27" s="709"/>
      <c r="AB27" s="703"/>
      <c r="AC27" s="706"/>
      <c r="AD27" s="706"/>
      <c r="AE27" s="709"/>
      <c r="AF27" s="803"/>
      <c r="AG27" s="787"/>
      <c r="AH27" s="80"/>
      <c r="AI27" s="750"/>
      <c r="AJ27" s="80">
        <f t="shared" si="15"/>
        <v>0</v>
      </c>
      <c r="AK27" s="750"/>
    </row>
    <row r="28" spans="1:45" s="145" customFormat="1" ht="12.75" customHeight="1" x14ac:dyDescent="0.25">
      <c r="A28" s="145" t="e">
        <f>1+A27</f>
        <v>#REF!</v>
      </c>
      <c r="C28" s="164" t="s">
        <v>2404</v>
      </c>
      <c r="D28" s="93" t="s">
        <v>2405</v>
      </c>
      <c r="E28" s="92">
        <v>69</v>
      </c>
      <c r="F28" s="94" t="s">
        <v>2090</v>
      </c>
      <c r="G28" s="94" t="s">
        <v>2197</v>
      </c>
      <c r="H28" s="151">
        <v>13.2</v>
      </c>
      <c r="I28" s="292">
        <v>15.9</v>
      </c>
      <c r="J28" s="463">
        <v>7.999372372094931</v>
      </c>
      <c r="K28" s="463">
        <v>7.4258725529270055</v>
      </c>
      <c r="L28" s="343">
        <v>10.037007358324358</v>
      </c>
      <c r="M28" s="338">
        <f>+VALUE(RIGHT(G28,2))</f>
        <v>14</v>
      </c>
      <c r="N28" s="339">
        <f>MAX(J28,K28,L28)/M28</f>
        <v>0.71692909702316843</v>
      </c>
      <c r="O28" s="325">
        <v>2</v>
      </c>
      <c r="P28" s="324">
        <f>+MAX(K28,L28)/O28</f>
        <v>5.0185036791621789</v>
      </c>
      <c r="Q28" s="324">
        <f t="shared" ref="Q28:Q36" si="16">((P28*1000)/(H28*SQRT(3)))</f>
        <v>219.5026098555615</v>
      </c>
      <c r="R28" s="200">
        <v>0</v>
      </c>
      <c r="S28" s="104">
        <v>0</v>
      </c>
      <c r="T28" s="104">
        <f t="shared" ref="T28:U35" si="17">IF($Q28&gt;260,K28,IF(OR(K28="-",K28&lt;($M28*1.06)),0,K28))</f>
        <v>0</v>
      </c>
      <c r="U28" s="104">
        <f t="shared" si="17"/>
        <v>0</v>
      </c>
      <c r="V28" s="104">
        <f>+MAX(S28:U28)</f>
        <v>0</v>
      </c>
      <c r="W28" s="350" t="s">
        <v>2013</v>
      </c>
      <c r="X28" s="386" t="s">
        <v>2013</v>
      </c>
      <c r="Y28" s="385" t="s">
        <v>2013</v>
      </c>
      <c r="Z28" s="92" t="s">
        <v>2024</v>
      </c>
      <c r="AA28" s="222" t="s">
        <v>2454</v>
      </c>
      <c r="AB28" s="250">
        <v>1</v>
      </c>
      <c r="AC28" s="251"/>
      <c r="AD28" s="251"/>
      <c r="AE28" s="226"/>
      <c r="AF28" s="223">
        <v>60</v>
      </c>
      <c r="AG28" s="224">
        <f>+MAX(I28:L28)/MIN(60,AF28)</f>
        <v>0.26500000000000001</v>
      </c>
      <c r="AH28" s="80"/>
      <c r="AI28" s="80">
        <f t="shared" ref="AI28:AI36" si="18">+IF(W28="y",1,0)</f>
        <v>0</v>
      </c>
      <c r="AJ28" s="80">
        <f t="shared" si="15"/>
        <v>0</v>
      </c>
      <c r="AK28" s="80">
        <f t="shared" ref="AK28:AK36" si="19">+IF(Y28="y",O28,0)</f>
        <v>0</v>
      </c>
      <c r="AL28" s="199" t="s">
        <v>2478</v>
      </c>
      <c r="AM28" s="199"/>
      <c r="AN28" s="199"/>
      <c r="AO28" s="199"/>
      <c r="AP28" s="199"/>
      <c r="AQ28" s="199"/>
      <c r="AR28" s="199"/>
      <c r="AS28" s="199"/>
    </row>
    <row r="29" spans="1:45" s="145" customFormat="1" ht="12.75" customHeight="1" x14ac:dyDescent="0.25">
      <c r="A29" s="175" t="e">
        <f>1+A28</f>
        <v>#REF!</v>
      </c>
      <c r="B29" s="176"/>
      <c r="C29" s="164" t="s">
        <v>2406</v>
      </c>
      <c r="D29" s="93" t="s">
        <v>2407</v>
      </c>
      <c r="E29" s="92">
        <v>138</v>
      </c>
      <c r="F29" s="94" t="s">
        <v>2081</v>
      </c>
      <c r="G29" s="94" t="s">
        <v>2101</v>
      </c>
      <c r="H29" s="151">
        <v>13.2</v>
      </c>
      <c r="I29" s="96">
        <v>10.37</v>
      </c>
      <c r="J29" s="97">
        <v>6.8794602400016398</v>
      </c>
      <c r="K29" s="97">
        <v>7.0722595742161953</v>
      </c>
      <c r="L29" s="97">
        <v>5.7852195190341789</v>
      </c>
      <c r="M29" s="338">
        <f>+VALUE(RIGHT(G29,4))</f>
        <v>12.5</v>
      </c>
      <c r="N29" s="339">
        <f>MAX(I29:L29)/M29</f>
        <v>0.82959999999999989</v>
      </c>
      <c r="O29" s="286">
        <v>2</v>
      </c>
      <c r="P29" s="324">
        <f>+MAX(I29:L29)/O29</f>
        <v>5.1849999999999996</v>
      </c>
      <c r="Q29" s="324">
        <f t="shared" si="16"/>
        <v>226.78493528395532</v>
      </c>
      <c r="R29" s="396">
        <f t="shared" ref="R29:R34" si="20">IF($Q29&gt;260,I29,IF(OR(I29="-",I29&lt;($M29*1.06)),0,I29))</f>
        <v>0</v>
      </c>
      <c r="S29" s="396">
        <f t="shared" ref="S29:S36" si="21">IF($Q29&gt;260,J29,IF(OR(J29="-",J29&lt;($M29*1.06)),0,J29))</f>
        <v>0</v>
      </c>
      <c r="T29" s="396">
        <f t="shared" si="17"/>
        <v>0</v>
      </c>
      <c r="U29" s="396">
        <f t="shared" si="17"/>
        <v>0</v>
      </c>
      <c r="V29" s="333">
        <f t="shared" si="11"/>
        <v>0</v>
      </c>
      <c r="W29" s="350" t="s">
        <v>2014</v>
      </c>
      <c r="X29" s="386" t="s">
        <v>2014</v>
      </c>
      <c r="Y29" s="385" t="s">
        <v>2013</v>
      </c>
      <c r="Z29" s="92" t="s">
        <v>2450</v>
      </c>
      <c r="AA29" s="222">
        <v>556</v>
      </c>
      <c r="AB29" s="250"/>
      <c r="AC29" s="251">
        <v>2</v>
      </c>
      <c r="AD29" s="251"/>
      <c r="AE29" s="226"/>
      <c r="AF29" s="223">
        <f>242+165</f>
        <v>407</v>
      </c>
      <c r="AG29" s="239" t="s">
        <v>2092</v>
      </c>
      <c r="AH29" s="80"/>
      <c r="AI29" s="80">
        <f t="shared" si="18"/>
        <v>1</v>
      </c>
      <c r="AJ29" s="80">
        <f t="shared" si="15"/>
        <v>1</v>
      </c>
      <c r="AK29" s="80">
        <f t="shared" si="19"/>
        <v>0</v>
      </c>
    </row>
    <row r="30" spans="1:45" s="145" customFormat="1" ht="12.75" customHeight="1" x14ac:dyDescent="0.25">
      <c r="A30" s="145" t="e">
        <f>1+A29</f>
        <v>#REF!</v>
      </c>
      <c r="C30" s="163" t="s">
        <v>2408</v>
      </c>
      <c r="D30" s="82" t="s">
        <v>2409</v>
      </c>
      <c r="E30" s="328">
        <v>69</v>
      </c>
      <c r="F30" s="83" t="s">
        <v>2097</v>
      </c>
      <c r="G30" s="83" t="s">
        <v>2098</v>
      </c>
      <c r="H30" s="148">
        <v>13.2</v>
      </c>
      <c r="I30" s="453" t="s">
        <v>2092</v>
      </c>
      <c r="J30" s="463">
        <v>17.681157669972066</v>
      </c>
      <c r="K30" s="463">
        <v>23.182404867692064</v>
      </c>
      <c r="L30" s="343">
        <v>17.236360047783478</v>
      </c>
      <c r="M30" s="338">
        <f>+VALUE(RIGHT(G30,2))</f>
        <v>25</v>
      </c>
      <c r="N30" s="339">
        <f>MAX(I30:L30)/M30</f>
        <v>0.92729619470768254</v>
      </c>
      <c r="O30" s="325">
        <v>4</v>
      </c>
      <c r="P30" s="324">
        <f>+MAX(I30:L30)/O30</f>
        <v>5.795601216923016</v>
      </c>
      <c r="Q30" s="324">
        <f t="shared" si="16"/>
        <v>253.49181232622928</v>
      </c>
      <c r="R30" s="396">
        <f t="shared" si="20"/>
        <v>0</v>
      </c>
      <c r="S30" s="396">
        <f t="shared" si="21"/>
        <v>0</v>
      </c>
      <c r="T30" s="396">
        <f t="shared" si="17"/>
        <v>0</v>
      </c>
      <c r="U30" s="396">
        <f t="shared" si="17"/>
        <v>0</v>
      </c>
      <c r="V30" s="333">
        <f t="shared" si="11"/>
        <v>0</v>
      </c>
      <c r="W30" s="834" t="s">
        <v>2014</v>
      </c>
      <c r="X30" s="835" t="s">
        <v>2014</v>
      </c>
      <c r="Y30" s="836" t="s">
        <v>2014</v>
      </c>
      <c r="Z30" s="92" t="s">
        <v>2024</v>
      </c>
      <c r="AA30" s="222" t="s">
        <v>2451</v>
      </c>
      <c r="AB30" s="250">
        <v>1</v>
      </c>
      <c r="AC30" s="251"/>
      <c r="AD30" s="251"/>
      <c r="AE30" s="226"/>
      <c r="AF30" s="223">
        <v>34</v>
      </c>
      <c r="AG30" s="224">
        <f>+MAX(I30:L30)/MIN(60,AF30)</f>
        <v>0.68183543728506069</v>
      </c>
      <c r="AH30" s="80"/>
      <c r="AI30" s="80">
        <f t="shared" si="18"/>
        <v>1</v>
      </c>
      <c r="AJ30" s="80">
        <f t="shared" si="15"/>
        <v>1</v>
      </c>
      <c r="AK30" s="80">
        <f t="shared" si="19"/>
        <v>4</v>
      </c>
    </row>
    <row r="31" spans="1:45" s="145" customFormat="1" ht="12.75" customHeight="1" x14ac:dyDescent="0.25">
      <c r="A31" s="145" t="e">
        <f t="shared" ref="A31:A36" si="22">1+A30</f>
        <v>#REF!</v>
      </c>
      <c r="C31" s="164" t="s">
        <v>2408</v>
      </c>
      <c r="D31" s="93" t="s">
        <v>2409</v>
      </c>
      <c r="E31" s="92">
        <v>69</v>
      </c>
      <c r="F31" s="94" t="s">
        <v>2102</v>
      </c>
      <c r="G31" s="94" t="s">
        <v>2122</v>
      </c>
      <c r="H31" s="155">
        <v>12.47</v>
      </c>
      <c r="I31" s="96">
        <v>7.14</v>
      </c>
      <c r="J31" s="463">
        <v>7.09</v>
      </c>
      <c r="K31" s="463">
        <v>5.0674149164822868</v>
      </c>
      <c r="L31" s="343">
        <v>4.0536511266431416</v>
      </c>
      <c r="M31" s="338">
        <f t="shared" ref="M31:M36" si="23">+VALUE(RIGHT(G31,4))</f>
        <v>11.2</v>
      </c>
      <c r="N31" s="339">
        <f>MAX(I31:L31)/M31</f>
        <v>0.63750000000000007</v>
      </c>
      <c r="O31" s="325">
        <v>3</v>
      </c>
      <c r="P31" s="324">
        <f>+MAX(I31:L31)/O31</f>
        <v>2.38</v>
      </c>
      <c r="Q31" s="324">
        <f t="shared" si="16"/>
        <v>110.19195193835681</v>
      </c>
      <c r="R31" s="396">
        <f t="shared" si="20"/>
        <v>0</v>
      </c>
      <c r="S31" s="396">
        <f t="shared" si="21"/>
        <v>0</v>
      </c>
      <c r="T31" s="396">
        <f t="shared" si="17"/>
        <v>0</v>
      </c>
      <c r="U31" s="396">
        <f t="shared" si="17"/>
        <v>0</v>
      </c>
      <c r="V31" s="333">
        <f t="shared" si="11"/>
        <v>0</v>
      </c>
      <c r="W31" s="834"/>
      <c r="X31" s="835"/>
      <c r="Y31" s="836"/>
      <c r="Z31" s="92" t="s">
        <v>2024</v>
      </c>
      <c r="AA31" s="222" t="s">
        <v>2453</v>
      </c>
      <c r="AB31" s="250">
        <v>1</v>
      </c>
      <c r="AC31" s="251"/>
      <c r="AD31" s="251"/>
      <c r="AE31" s="226"/>
      <c r="AF31" s="223">
        <v>34</v>
      </c>
      <c r="AG31" s="224">
        <f>+MAX(I31:L31)/MIN(60,AF31)</f>
        <v>0.21</v>
      </c>
      <c r="AH31" s="80"/>
      <c r="AI31" s="80">
        <f t="shared" si="18"/>
        <v>0</v>
      </c>
      <c r="AJ31" s="80">
        <f t="shared" si="15"/>
        <v>0</v>
      </c>
      <c r="AK31" s="80">
        <f t="shared" si="19"/>
        <v>0</v>
      </c>
    </row>
    <row r="32" spans="1:45" s="145" customFormat="1" ht="12.75" customHeight="1" x14ac:dyDescent="0.25">
      <c r="A32" s="145" t="e">
        <f t="shared" si="22"/>
        <v>#REF!</v>
      </c>
      <c r="C32" s="164" t="s">
        <v>2410</v>
      </c>
      <c r="D32" s="93" t="s">
        <v>2411</v>
      </c>
      <c r="E32" s="92" t="s">
        <v>2412</v>
      </c>
      <c r="F32" s="94" t="s">
        <v>2097</v>
      </c>
      <c r="G32" s="94" t="s">
        <v>2187</v>
      </c>
      <c r="H32" s="155">
        <v>12.47</v>
      </c>
      <c r="I32" s="96" t="s">
        <v>2092</v>
      </c>
      <c r="J32" s="463">
        <v>13.192657270184291</v>
      </c>
      <c r="K32" s="463">
        <v>12.607218280852823</v>
      </c>
      <c r="L32" s="343">
        <v>9.0402561629578635</v>
      </c>
      <c r="M32" s="338">
        <f t="shared" si="23"/>
        <v>25</v>
      </c>
      <c r="N32" s="339">
        <f>MAX(I32:L32)/M32</f>
        <v>0.52770629080737164</v>
      </c>
      <c r="O32" s="325">
        <v>4</v>
      </c>
      <c r="P32" s="324">
        <f>+MAX(I32:L32)/O32</f>
        <v>3.2981643175460729</v>
      </c>
      <c r="Q32" s="324">
        <f t="shared" si="16"/>
        <v>152.70216973270598</v>
      </c>
      <c r="R32" s="396">
        <f t="shared" si="20"/>
        <v>0</v>
      </c>
      <c r="S32" s="396">
        <f t="shared" si="21"/>
        <v>0</v>
      </c>
      <c r="T32" s="396">
        <f t="shared" si="17"/>
        <v>0</v>
      </c>
      <c r="U32" s="396">
        <f t="shared" si="17"/>
        <v>0</v>
      </c>
      <c r="V32" s="333">
        <f t="shared" si="11"/>
        <v>0</v>
      </c>
      <c r="W32" s="350" t="s">
        <v>2013</v>
      </c>
      <c r="X32" s="386" t="s">
        <v>2013</v>
      </c>
      <c r="Y32" s="385" t="s">
        <v>2013</v>
      </c>
      <c r="Z32" s="92" t="s">
        <v>2024</v>
      </c>
      <c r="AA32" s="222" t="s">
        <v>2453</v>
      </c>
      <c r="AB32" s="250">
        <v>1</v>
      </c>
      <c r="AC32" s="251"/>
      <c r="AD32" s="251"/>
      <c r="AE32" s="226"/>
      <c r="AF32" s="223">
        <v>34</v>
      </c>
      <c r="AG32" s="224">
        <f>+MAX(I32:L32)/MIN(60,AF32)</f>
        <v>0.38801933147600859</v>
      </c>
      <c r="AH32" s="80"/>
      <c r="AI32" s="80">
        <f t="shared" si="18"/>
        <v>0</v>
      </c>
      <c r="AJ32" s="80">
        <f t="shared" si="15"/>
        <v>0</v>
      </c>
      <c r="AK32" s="80">
        <f t="shared" si="19"/>
        <v>0</v>
      </c>
    </row>
    <row r="33" spans="1:45" s="145" customFormat="1" ht="12.75" customHeight="1" x14ac:dyDescent="0.25">
      <c r="A33" s="145" t="e">
        <f t="shared" si="22"/>
        <v>#REF!</v>
      </c>
      <c r="C33" s="164" t="s">
        <v>2413</v>
      </c>
      <c r="D33" s="93" t="s">
        <v>2414</v>
      </c>
      <c r="E33" s="92">
        <v>69</v>
      </c>
      <c r="F33" s="94" t="s">
        <v>2097</v>
      </c>
      <c r="G33" s="94" t="s">
        <v>2415</v>
      </c>
      <c r="H33" s="151">
        <v>23</v>
      </c>
      <c r="I33" s="96">
        <v>7</v>
      </c>
      <c r="J33" s="463">
        <v>2.7781423577288527</v>
      </c>
      <c r="K33" s="463">
        <v>4.8446797030138748</v>
      </c>
      <c r="L33" s="343">
        <v>4.0432655026868014</v>
      </c>
      <c r="M33" s="338">
        <f t="shared" si="23"/>
        <v>8.33</v>
      </c>
      <c r="N33" s="339">
        <f>MAX(I33:L33)/M33</f>
        <v>0.84033613445378152</v>
      </c>
      <c r="O33" s="325">
        <v>1</v>
      </c>
      <c r="P33" s="324">
        <f>+MAX(I33:L33)/O33</f>
        <v>7</v>
      </c>
      <c r="Q33" s="324">
        <f t="shared" si="16"/>
        <v>175.71529931858177</v>
      </c>
      <c r="R33" s="396">
        <f t="shared" si="20"/>
        <v>0</v>
      </c>
      <c r="S33" s="396">
        <f t="shared" si="21"/>
        <v>0</v>
      </c>
      <c r="T33" s="396">
        <f t="shared" si="17"/>
        <v>0</v>
      </c>
      <c r="U33" s="396">
        <f t="shared" si="17"/>
        <v>0</v>
      </c>
      <c r="V33" s="333">
        <f t="shared" si="11"/>
        <v>0</v>
      </c>
      <c r="W33" s="350" t="s">
        <v>2013</v>
      </c>
      <c r="X33" s="386" t="s">
        <v>2013</v>
      </c>
      <c r="Y33" s="385" t="s">
        <v>2013</v>
      </c>
      <c r="Z33" s="92" t="s">
        <v>2450</v>
      </c>
      <c r="AA33" s="222" t="s">
        <v>2453</v>
      </c>
      <c r="AB33" s="250">
        <v>2</v>
      </c>
      <c r="AC33" s="251"/>
      <c r="AD33" s="251"/>
      <c r="AE33" s="226"/>
      <c r="AF33" s="223">
        <f>34+34</f>
        <v>68</v>
      </c>
      <c r="AG33" s="239" t="s">
        <v>2092</v>
      </c>
      <c r="AH33" s="80"/>
      <c r="AI33" s="80">
        <f t="shared" si="18"/>
        <v>0</v>
      </c>
      <c r="AJ33" s="80">
        <f t="shared" si="15"/>
        <v>0</v>
      </c>
      <c r="AK33" s="80">
        <f t="shared" si="19"/>
        <v>0</v>
      </c>
    </row>
    <row r="34" spans="1:45" s="145" customFormat="1" ht="12.75" customHeight="1" x14ac:dyDescent="0.25">
      <c r="A34" s="145" t="e">
        <f t="shared" si="22"/>
        <v>#REF!</v>
      </c>
      <c r="C34" s="164" t="s">
        <v>2416</v>
      </c>
      <c r="D34" s="93" t="s">
        <v>2417</v>
      </c>
      <c r="E34" s="92">
        <v>69</v>
      </c>
      <c r="F34" s="94" t="s">
        <v>2090</v>
      </c>
      <c r="G34" s="94" t="s">
        <v>2418</v>
      </c>
      <c r="H34" s="155">
        <v>12.47</v>
      </c>
      <c r="I34" s="96">
        <v>1.51</v>
      </c>
      <c r="J34" s="463">
        <v>2.9410308470777058</v>
      </c>
      <c r="K34" s="463">
        <v>1.9112064114843959</v>
      </c>
      <c r="L34" s="343">
        <v>1.7254704863709036</v>
      </c>
      <c r="M34" s="338">
        <f t="shared" si="23"/>
        <v>2.2400000000000002</v>
      </c>
      <c r="N34" s="339">
        <f>MAX(J34:L34)/M34</f>
        <v>1.3129601995882614</v>
      </c>
      <c r="O34" s="325">
        <v>1</v>
      </c>
      <c r="P34" s="324">
        <f>+MAX(J34:L34)/O34</f>
        <v>2.9410308470777058</v>
      </c>
      <c r="Q34" s="324">
        <f t="shared" si="16"/>
        <v>136.16719737412242</v>
      </c>
      <c r="R34" s="467">
        <f t="shared" si="20"/>
        <v>0</v>
      </c>
      <c r="S34" s="396">
        <f t="shared" si="21"/>
        <v>2.9410308470777058</v>
      </c>
      <c r="T34" s="396">
        <f t="shared" si="17"/>
        <v>0</v>
      </c>
      <c r="U34" s="396">
        <f t="shared" si="17"/>
        <v>0</v>
      </c>
      <c r="V34" s="104">
        <f t="shared" si="11"/>
        <v>2.9410308470777058</v>
      </c>
      <c r="W34" s="350" t="s">
        <v>2013</v>
      </c>
      <c r="X34" s="386" t="s">
        <v>2013</v>
      </c>
      <c r="Y34" s="385" t="s">
        <v>2013</v>
      </c>
      <c r="Z34" s="92" t="s">
        <v>2450</v>
      </c>
      <c r="AA34" s="222" t="s">
        <v>2453</v>
      </c>
      <c r="AB34" s="250">
        <v>2</v>
      </c>
      <c r="AC34" s="251"/>
      <c r="AD34" s="251"/>
      <c r="AE34" s="226"/>
      <c r="AF34" s="223">
        <f>34+34</f>
        <v>68</v>
      </c>
      <c r="AG34" s="239" t="s">
        <v>2092</v>
      </c>
      <c r="AH34" s="80"/>
      <c r="AI34" s="80">
        <f t="shared" si="18"/>
        <v>0</v>
      </c>
      <c r="AJ34" s="80">
        <f t="shared" si="15"/>
        <v>0</v>
      </c>
      <c r="AK34" s="80">
        <f t="shared" si="19"/>
        <v>0</v>
      </c>
      <c r="AL34" s="294"/>
      <c r="AM34" s="294"/>
      <c r="AN34" s="294"/>
      <c r="AO34" s="294"/>
      <c r="AP34" s="294"/>
      <c r="AQ34" s="294"/>
      <c r="AR34" s="294"/>
      <c r="AS34" s="294"/>
    </row>
    <row r="35" spans="1:45" s="145" customFormat="1" ht="12.75" customHeight="1" x14ac:dyDescent="0.25">
      <c r="A35" s="145" t="e">
        <f>1+A34</f>
        <v>#REF!</v>
      </c>
      <c r="C35" s="164" t="s">
        <v>2419</v>
      </c>
      <c r="D35" s="93" t="s">
        <v>2420</v>
      </c>
      <c r="E35" s="92">
        <v>69</v>
      </c>
      <c r="F35" s="94" t="s">
        <v>2097</v>
      </c>
      <c r="G35" s="94" t="s">
        <v>2122</v>
      </c>
      <c r="H35" s="155">
        <v>12.48</v>
      </c>
      <c r="I35" s="96" t="s">
        <v>2092</v>
      </c>
      <c r="J35" s="463">
        <v>7.1920189952787643</v>
      </c>
      <c r="K35" s="463">
        <v>6.5497458259943917</v>
      </c>
      <c r="L35" s="343">
        <v>5.4066767710705834</v>
      </c>
      <c r="M35" s="338">
        <f t="shared" si="23"/>
        <v>11.2</v>
      </c>
      <c r="N35" s="339">
        <f>MAX(I35:L35)/M35</f>
        <v>0.64214455314988972</v>
      </c>
      <c r="O35" s="325">
        <v>2</v>
      </c>
      <c r="P35" s="324">
        <f>+MAX(I35:L35)/O35</f>
        <v>3.5960094976393822</v>
      </c>
      <c r="Q35" s="324">
        <f t="shared" si="16"/>
        <v>166.35873809860161</v>
      </c>
      <c r="R35" s="396">
        <f>IF($Q35&gt;260,I35,IF(OR(I35="-",I35&lt;($M35*1.06)),0,I35))</f>
        <v>0</v>
      </c>
      <c r="S35" s="396">
        <f t="shared" si="21"/>
        <v>0</v>
      </c>
      <c r="T35" s="396">
        <f t="shared" si="17"/>
        <v>0</v>
      </c>
      <c r="U35" s="396">
        <f t="shared" si="17"/>
        <v>0</v>
      </c>
      <c r="V35" s="333">
        <f t="shared" si="11"/>
        <v>0</v>
      </c>
      <c r="W35" s="350" t="s">
        <v>2013</v>
      </c>
      <c r="X35" s="386" t="s">
        <v>2013</v>
      </c>
      <c r="Y35" s="385" t="s">
        <v>2013</v>
      </c>
      <c r="Z35" s="92" t="s">
        <v>2024</v>
      </c>
      <c r="AA35" s="222" t="s">
        <v>2451</v>
      </c>
      <c r="AB35" s="250">
        <v>1</v>
      </c>
      <c r="AC35" s="251"/>
      <c r="AD35" s="251"/>
      <c r="AE35" s="226"/>
      <c r="AF35" s="223">
        <v>45</v>
      </c>
      <c r="AG35" s="224">
        <f>+MAX(I35:L35)/MIN(60,AF35)</f>
        <v>0.15982264433952809</v>
      </c>
      <c r="AH35" s="80"/>
      <c r="AI35" s="80">
        <f t="shared" si="18"/>
        <v>0</v>
      </c>
      <c r="AJ35" s="80">
        <f t="shared" si="15"/>
        <v>0</v>
      </c>
      <c r="AK35" s="80">
        <f t="shared" si="19"/>
        <v>0</v>
      </c>
    </row>
    <row r="36" spans="1:45" s="145" customFormat="1" ht="12.75" customHeight="1" x14ac:dyDescent="0.25">
      <c r="A36" s="145" t="e">
        <f t="shared" si="22"/>
        <v>#REF!</v>
      </c>
      <c r="C36" s="166" t="s">
        <v>2421</v>
      </c>
      <c r="D36" s="107" t="s">
        <v>2422</v>
      </c>
      <c r="E36" s="327">
        <v>138</v>
      </c>
      <c r="F36" s="108" t="s">
        <v>2081</v>
      </c>
      <c r="G36" s="108" t="s">
        <v>2101</v>
      </c>
      <c r="H36" s="158">
        <v>13.2</v>
      </c>
      <c r="I36" s="455">
        <v>7.42</v>
      </c>
      <c r="J36" s="293">
        <v>13.118970690235685</v>
      </c>
      <c r="K36" s="463">
        <v>6.5064788082788994</v>
      </c>
      <c r="L36" s="343">
        <v>5.4367123190923605</v>
      </c>
      <c r="M36" s="338">
        <f t="shared" si="23"/>
        <v>12.5</v>
      </c>
      <c r="N36" s="339">
        <f>MAX(J36,L36)/M36</f>
        <v>1.0495176552188548</v>
      </c>
      <c r="O36" s="286">
        <v>2</v>
      </c>
      <c r="P36" s="324">
        <f>+MAX(I36,K36,L36)/O36</f>
        <v>3.71</v>
      </c>
      <c r="Q36" s="324">
        <f t="shared" si="16"/>
        <v>162.27041656769029</v>
      </c>
      <c r="R36" s="200">
        <v>0</v>
      </c>
      <c r="S36" s="396">
        <f t="shared" si="21"/>
        <v>0</v>
      </c>
      <c r="T36" s="104">
        <v>0</v>
      </c>
      <c r="U36" s="396">
        <f>IF($Q36&gt;260,L36,IF(OR(L36="-",L36&lt;($M36*1.06)),0,L36))</f>
        <v>0</v>
      </c>
      <c r="V36" s="104">
        <v>0</v>
      </c>
      <c r="W36" s="387" t="s">
        <v>2013</v>
      </c>
      <c r="X36" s="388" t="s">
        <v>2013</v>
      </c>
      <c r="Y36" s="389" t="s">
        <v>2014</v>
      </c>
      <c r="Z36" s="92" t="s">
        <v>2450</v>
      </c>
      <c r="AA36" s="222">
        <v>556</v>
      </c>
      <c r="AB36" s="250"/>
      <c r="AC36" s="251">
        <v>2</v>
      </c>
      <c r="AD36" s="251"/>
      <c r="AE36" s="226"/>
      <c r="AF36" s="223">
        <v>407</v>
      </c>
      <c r="AG36" s="224">
        <f>+MAX(I36:L36)/MIN(60,AF36)</f>
        <v>0.21864951150392808</v>
      </c>
      <c r="AH36" s="80"/>
      <c r="AI36" s="80">
        <f t="shared" si="18"/>
        <v>0</v>
      </c>
      <c r="AJ36" s="80">
        <f t="shared" si="15"/>
        <v>0</v>
      </c>
      <c r="AK36" s="80">
        <f t="shared" si="19"/>
        <v>2</v>
      </c>
      <c r="AL36" s="199" t="s">
        <v>2479</v>
      </c>
      <c r="AM36" s="199"/>
      <c r="AN36" s="199"/>
      <c r="AO36" s="199"/>
      <c r="AP36" s="199"/>
      <c r="AQ36" s="199"/>
      <c r="AR36" s="199"/>
      <c r="AS36" s="199"/>
    </row>
    <row r="37" spans="1:45" ht="13.5" thickBot="1" x14ac:dyDescent="0.3">
      <c r="A37" s="145"/>
      <c r="B37" s="145"/>
      <c r="C37" s="111"/>
      <c r="D37" s="110"/>
      <c r="E37" s="111"/>
      <c r="F37" s="112"/>
      <c r="G37" s="112"/>
      <c r="H37" s="110"/>
      <c r="I37" s="126"/>
      <c r="J37" s="126"/>
      <c r="K37" s="172"/>
      <c r="L37" s="172"/>
      <c r="M37" s="142" t="str">
        <f>+RIGHT(G37,4)</f>
        <v/>
      </c>
      <c r="N37" s="291"/>
      <c r="O37" s="201"/>
      <c r="P37" s="252"/>
      <c r="Q37" s="252"/>
      <c r="R37" s="143" t="str">
        <f>+IF(OR(I37="-",I37&lt;$M37),0,$M37)</f>
        <v/>
      </c>
      <c r="S37" s="143" t="str">
        <f>+IF(OR(J37="-",J37&lt;$M37),0,$M37)</f>
        <v/>
      </c>
      <c r="T37" s="143" t="str">
        <f>+IF(OR(K37="-",K37&lt;$M37),0,$M37)</f>
        <v/>
      </c>
      <c r="U37" s="143" t="str">
        <f>+IF(OR(L37="-",L37&lt;$M37),0,$M37)</f>
        <v/>
      </c>
      <c r="V37" s="143"/>
      <c r="W37" s="390"/>
      <c r="X37" s="391"/>
      <c r="Y37" s="392"/>
      <c r="Z37" s="227"/>
      <c r="AA37" s="255"/>
      <c r="AB37" s="257"/>
      <c r="AC37" s="258"/>
      <c r="AD37" s="258"/>
      <c r="AE37" s="230"/>
      <c r="AF37" s="228"/>
      <c r="AG37" s="259"/>
      <c r="AH37" s="80"/>
      <c r="AI37" s="80"/>
      <c r="AJ37" s="80"/>
      <c r="AK37" s="80"/>
    </row>
    <row r="38" spans="1:45" ht="12.95" customHeight="1" thickBot="1" x14ac:dyDescent="0.3">
      <c r="H38" s="393" t="s">
        <v>2427</v>
      </c>
      <c r="I38" s="118">
        <f>+SUM(I7:I37)</f>
        <v>136.88</v>
      </c>
      <c r="J38" s="118">
        <f>+SUM(J7:J37)</f>
        <v>216.5080903744485</v>
      </c>
      <c r="K38" s="118">
        <f>+SUM(K7:K37)</f>
        <v>220.85830764068257</v>
      </c>
      <c r="L38" s="118">
        <f>+SUM(L7:L37)</f>
        <v>189.54860524735579</v>
      </c>
      <c r="M38" s="118">
        <f>+SUM(M7:M37)</f>
        <v>303.75</v>
      </c>
      <c r="O38" s="666" t="s">
        <v>2519</v>
      </c>
      <c r="P38" s="667"/>
      <c r="Q38" s="668"/>
      <c r="R38" s="886">
        <f>+SUM(R7:R37)</f>
        <v>35.68</v>
      </c>
      <c r="S38" s="886">
        <f>+SUM(S7:S37)</f>
        <v>43.534461998273365</v>
      </c>
      <c r="T38" s="886">
        <f>+SUM(T7:T37)</f>
        <v>84.797521423652441</v>
      </c>
      <c r="U38" s="886">
        <f>+SUM(U7:U37)</f>
        <v>19.716530061034124</v>
      </c>
      <c r="V38" s="890">
        <f>+SUM(V7:V37)</f>
        <v>106.04664069677352</v>
      </c>
      <c r="W38" s="383"/>
      <c r="X38" s="383"/>
      <c r="Y38" s="383"/>
      <c r="Z38" s="819" t="s">
        <v>2470</v>
      </c>
      <c r="AA38" s="820"/>
      <c r="AB38" s="820"/>
      <c r="AC38" s="820"/>
      <c r="AD38" s="820"/>
      <c r="AE38" s="820"/>
      <c r="AF38" s="820"/>
      <c r="AG38" s="821"/>
      <c r="AH38" s="80"/>
      <c r="AI38" s="80">
        <f>+SUM(AI7:AI36)</f>
        <v>3</v>
      </c>
      <c r="AJ38" s="80">
        <f>+SUM(AJ7:AJ36)</f>
        <v>4</v>
      </c>
      <c r="AK38" s="80">
        <f>+SUM(AK7:AK36)</f>
        <v>13</v>
      </c>
    </row>
    <row r="39" spans="1:45" ht="13.5" thickBot="1" x14ac:dyDescent="0.3">
      <c r="D39" s="63" t="s">
        <v>2160</v>
      </c>
      <c r="L39" s="63"/>
      <c r="O39" s="669"/>
      <c r="P39" s="670"/>
      <c r="Q39" s="671"/>
      <c r="Z39" s="733"/>
      <c r="AA39" s="734"/>
      <c r="AB39" s="734"/>
      <c r="AC39" s="734"/>
      <c r="AD39" s="734"/>
      <c r="AE39" s="734"/>
      <c r="AF39" s="734"/>
      <c r="AG39" s="735"/>
      <c r="AH39" s="80"/>
      <c r="AI39" s="80"/>
      <c r="AJ39" s="80"/>
      <c r="AK39" s="80"/>
    </row>
    <row r="40" spans="1:45" ht="12.75" customHeight="1" thickBot="1" x14ac:dyDescent="0.3">
      <c r="D40" s="145" t="s">
        <v>2207</v>
      </c>
      <c r="Z40" s="736" t="s">
        <v>2471</v>
      </c>
      <c r="AA40" s="737"/>
      <c r="AB40" s="737"/>
      <c r="AC40" s="737"/>
      <c r="AD40" s="737"/>
      <c r="AE40" s="737"/>
      <c r="AF40" s="737"/>
      <c r="AG40" s="738"/>
      <c r="AH40" s="80"/>
      <c r="AI40" s="80"/>
      <c r="AJ40" s="80"/>
      <c r="AK40" s="80"/>
    </row>
    <row r="41" spans="1:45" ht="13.5" thickBot="1" x14ac:dyDescent="0.3">
      <c r="D41" s="145" t="s">
        <v>2423</v>
      </c>
      <c r="K41" s="120" t="s">
        <v>2162</v>
      </c>
      <c r="L41" s="121" t="s">
        <v>2163</v>
      </c>
      <c r="M41" s="122" t="s">
        <v>2164</v>
      </c>
      <c r="N41" s="657" t="s">
        <v>2001</v>
      </c>
      <c r="O41" s="658"/>
      <c r="P41" s="658"/>
      <c r="Q41" s="659"/>
      <c r="R41" s="277" t="s">
        <v>2015</v>
      </c>
      <c r="Z41" s="739"/>
      <c r="AA41" s="740"/>
      <c r="AB41" s="740"/>
      <c r="AC41" s="740"/>
      <c r="AD41" s="740"/>
      <c r="AE41" s="740"/>
      <c r="AF41" s="740"/>
      <c r="AG41" s="741"/>
      <c r="AH41" s="80"/>
      <c r="AI41" s="80"/>
      <c r="AJ41" s="80"/>
      <c r="AK41" s="80"/>
    </row>
    <row r="42" spans="1:45" ht="14.25" thickTop="1" thickBot="1" x14ac:dyDescent="0.3">
      <c r="D42" s="145" t="s">
        <v>2424</v>
      </c>
      <c r="K42" s="86"/>
      <c r="L42" s="124"/>
      <c r="M42" s="87"/>
      <c r="N42" s="660"/>
      <c r="O42" s="661"/>
      <c r="P42" s="661"/>
      <c r="Q42" s="662"/>
      <c r="R42" s="149"/>
      <c r="Z42" s="742"/>
      <c r="AA42" s="743"/>
      <c r="AB42" s="743"/>
      <c r="AC42" s="743"/>
      <c r="AD42" s="743"/>
      <c r="AE42" s="743"/>
      <c r="AF42" s="743"/>
      <c r="AG42" s="744"/>
    </row>
    <row r="43" spans="1:45" ht="13.5" thickBot="1" x14ac:dyDescent="0.3">
      <c r="K43" s="126"/>
      <c r="L43" s="114"/>
      <c r="M43" s="127"/>
      <c r="N43" s="663"/>
      <c r="O43" s="664"/>
      <c r="P43" s="664"/>
      <c r="Q43" s="665"/>
      <c r="R43" s="278"/>
    </row>
    <row r="45" spans="1:45" x14ac:dyDescent="0.25">
      <c r="L45" s="59" t="s">
        <v>2023</v>
      </c>
    </row>
    <row r="46" spans="1:45" x14ac:dyDescent="0.25">
      <c r="L46" s="269"/>
    </row>
  </sheetData>
  <mergeCells count="67">
    <mergeCell ref="AI26:AI27"/>
    <mergeCell ref="AI20:AI21"/>
    <mergeCell ref="AK26:AK27"/>
    <mergeCell ref="W26:W27"/>
    <mergeCell ref="W30:W31"/>
    <mergeCell ref="X20:X21"/>
    <mergeCell ref="Y20:Y21"/>
    <mergeCell ref="X26:X27"/>
    <mergeCell ref="Y26:Y27"/>
    <mergeCell ref="X30:X31"/>
    <mergeCell ref="Y30:Y31"/>
    <mergeCell ref="AF26:AF27"/>
    <mergeCell ref="AG26:AG27"/>
    <mergeCell ref="AB20:AB21"/>
    <mergeCell ref="AC20:AC21"/>
    <mergeCell ref="AD20:AD21"/>
    <mergeCell ref="AE26:AE27"/>
    <mergeCell ref="O3:Q4"/>
    <mergeCell ref="O5:O6"/>
    <mergeCell ref="P5:P6"/>
    <mergeCell ref="Q5:Q6"/>
    <mergeCell ref="O26:O27"/>
    <mergeCell ref="P26:P27"/>
    <mergeCell ref="Q26:Q27"/>
    <mergeCell ref="W3:Y4"/>
    <mergeCell ref="W5:W6"/>
    <mergeCell ref="X5:X6"/>
    <mergeCell ref="Y5:Y6"/>
    <mergeCell ref="W20:W21"/>
    <mergeCell ref="R3:V4"/>
    <mergeCell ref="V26:V27"/>
    <mergeCell ref="Z3:AG4"/>
    <mergeCell ref="N42:Q42"/>
    <mergeCell ref="N43:Q43"/>
    <mergeCell ref="N41:Q41"/>
    <mergeCell ref="Z38:AG39"/>
    <mergeCell ref="Z40:AG42"/>
    <mergeCell ref="O38:Q39"/>
    <mergeCell ref="M5:M6"/>
    <mergeCell ref="N5:N6"/>
    <mergeCell ref="AE20:AE21"/>
    <mergeCell ref="AF20:AF21"/>
    <mergeCell ref="AG20:AG21"/>
    <mergeCell ref="AB5:AE5"/>
    <mergeCell ref="AG5:AG6"/>
    <mergeCell ref="Z20:Z21"/>
    <mergeCell ref="AA20:AA21"/>
    <mergeCell ref="AA26:AA27"/>
    <mergeCell ref="AB26:AB27"/>
    <mergeCell ref="AC26:AC27"/>
    <mergeCell ref="AD26:AD27"/>
    <mergeCell ref="I26:I27"/>
    <mergeCell ref="K26:K27"/>
    <mergeCell ref="L26:L27"/>
    <mergeCell ref="M26:M27"/>
    <mergeCell ref="N26:N27"/>
    <mergeCell ref="J26:J27"/>
    <mergeCell ref="R26:R27"/>
    <mergeCell ref="S26:S27"/>
    <mergeCell ref="T26:T27"/>
    <mergeCell ref="U26:U27"/>
    <mergeCell ref="Z26:Z27"/>
    <mergeCell ref="C1:F1"/>
    <mergeCell ref="C3:D4"/>
    <mergeCell ref="E3:H4"/>
    <mergeCell ref="I3:L4"/>
    <mergeCell ref="M3:N4"/>
  </mergeCells>
  <conditionalFormatting sqref="Q7:Q26 Q28:Q36">
    <cfRule type="cellIs" dxfId="6" priority="7" operator="greaterThan">
      <formula>260</formula>
    </cfRule>
  </conditionalFormatting>
  <conditionalFormatting sqref="N7:N37">
    <cfRule type="cellIs" dxfId="5" priority="6" operator="greaterThan">
      <formula>1.06</formula>
    </cfRule>
  </conditionalFormatting>
  <conditionalFormatting sqref="W7:Y10 W28:Y29 W13:Y19 W22:Y25 W32:Y36">
    <cfRule type="cellIs" dxfId="4" priority="5" stopIfTrue="1" operator="between">
      <formula>1</formula>
      <formula>1.33</formula>
    </cfRule>
  </conditionalFormatting>
  <conditionalFormatting sqref="W7:Y7">
    <cfRule type="cellIs" dxfId="3" priority="4" stopIfTrue="1" operator="between">
      <formula>1</formula>
      <formula>1.33</formula>
    </cfRule>
  </conditionalFormatting>
  <conditionalFormatting sqref="W13:Y19 W28:Y29 W22:Y25 W32:Y36">
    <cfRule type="cellIs" dxfId="2" priority="3" stopIfTrue="1" operator="between">
      <formula>1</formula>
      <formula>1.33</formula>
    </cfRule>
  </conditionalFormatting>
  <conditionalFormatting sqref="W12:Y12">
    <cfRule type="cellIs" dxfId="1" priority="2" stopIfTrue="1" operator="between">
      <formula>1</formula>
      <formula>1.33</formula>
    </cfRule>
  </conditionalFormatting>
  <conditionalFormatting sqref="W11:Y11">
    <cfRule type="cellIs" dxfId="0" priority="1" stopIfTrue="1" operator="between">
      <formula>1</formula>
      <formula>1.33</formula>
    </cfRule>
  </conditionalFormatting>
  <pageMargins left="0.7" right="0.7" top="0.75" bottom="0.75" header="0.3" footer="0.3"/>
  <pageSetup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5BDE9-C85F-4FA7-B4DD-554408CE8A65}">
  <sheetPr>
    <pageSetUpPr fitToPage="1"/>
  </sheetPr>
  <dimension ref="B1:G47"/>
  <sheetViews>
    <sheetView view="pageBreakPreview" zoomScale="60" zoomScaleNormal="97" workbookViewId="0">
      <selection activeCell="B2" sqref="B2:D2"/>
    </sheetView>
  </sheetViews>
  <sheetFormatPr defaultColWidth="8.7109375" defaultRowHeight="12.75" x14ac:dyDescent="0.25"/>
  <cols>
    <col min="1" max="1" width="2.42578125" style="22" customWidth="1"/>
    <col min="2" max="2" width="16.42578125" style="22" customWidth="1"/>
    <col min="3" max="3" width="8.42578125" style="22" customWidth="1"/>
    <col min="4" max="4" width="88.42578125" style="22" customWidth="1"/>
    <col min="5" max="5" width="78" style="22" customWidth="1"/>
    <col min="6" max="16384" width="8.7109375" style="22"/>
  </cols>
  <sheetData>
    <row r="1" spans="2:7" ht="6" customHeight="1" thickBot="1" x14ac:dyDescent="0.3"/>
    <row r="2" spans="2:7" ht="18" customHeight="1" thickBot="1" x14ac:dyDescent="0.3">
      <c r="B2" s="837" t="s">
        <v>2030</v>
      </c>
      <c r="C2" s="838"/>
      <c r="D2" s="839"/>
      <c r="E2" s="26"/>
      <c r="F2" s="26"/>
      <c r="G2" s="26"/>
    </row>
    <row r="3" spans="2:7" ht="6" customHeight="1" thickBot="1" x14ac:dyDescent="0.3">
      <c r="B3" s="27"/>
      <c r="C3" s="28"/>
      <c r="D3" s="28"/>
      <c r="E3" s="26"/>
      <c r="F3" s="26"/>
      <c r="G3" s="26"/>
    </row>
    <row r="4" spans="2:7" ht="18" customHeight="1" thickBot="1" x14ac:dyDescent="0.3">
      <c r="B4" s="29" t="s">
        <v>2031</v>
      </c>
      <c r="C4" s="30" t="s">
        <v>2032</v>
      </c>
      <c r="D4" s="30" t="s">
        <v>2033</v>
      </c>
    </row>
    <row r="5" spans="2:7" ht="18" customHeight="1" x14ac:dyDescent="0.25">
      <c r="B5" s="31">
        <v>1</v>
      </c>
      <c r="C5" s="593" t="s">
        <v>2034</v>
      </c>
      <c r="D5" s="32" t="s">
        <v>2035</v>
      </c>
    </row>
    <row r="6" spans="2:7" ht="18" customHeight="1" x14ac:dyDescent="0.25">
      <c r="B6" s="33">
        <v>2</v>
      </c>
      <c r="C6" s="594"/>
      <c r="D6" s="34" t="s">
        <v>2036</v>
      </c>
    </row>
    <row r="7" spans="2:7" ht="18" customHeight="1" x14ac:dyDescent="0.25">
      <c r="B7" s="33">
        <v>3</v>
      </c>
      <c r="C7" s="594"/>
      <c r="D7" s="34" t="s">
        <v>2037</v>
      </c>
    </row>
    <row r="8" spans="2:7" ht="18" customHeight="1" x14ac:dyDescent="0.25">
      <c r="B8" s="33">
        <v>4</v>
      </c>
      <c r="C8" s="594"/>
      <c r="D8" s="35" t="s">
        <v>2038</v>
      </c>
    </row>
    <row r="9" spans="2:7" ht="18" customHeight="1" thickBot="1" x14ac:dyDescent="0.3">
      <c r="B9" s="36">
        <v>5</v>
      </c>
      <c r="C9" s="595"/>
      <c r="D9" s="37" t="s">
        <v>2039</v>
      </c>
    </row>
    <row r="10" spans="2:7" ht="18" customHeight="1" x14ac:dyDescent="0.25">
      <c r="B10" s="31">
        <v>6</v>
      </c>
      <c r="C10" s="593" t="s">
        <v>2040</v>
      </c>
      <c r="D10" s="32" t="s">
        <v>2041</v>
      </c>
    </row>
    <row r="11" spans="2:7" ht="18" customHeight="1" x14ac:dyDescent="0.25">
      <c r="B11" s="33">
        <v>7</v>
      </c>
      <c r="C11" s="594"/>
      <c r="D11" s="35" t="s">
        <v>2482</v>
      </c>
    </row>
    <row r="12" spans="2:7" ht="18" customHeight="1" x14ac:dyDescent="0.25">
      <c r="B12" s="33">
        <v>8</v>
      </c>
      <c r="C12" s="594"/>
      <c r="D12" s="34" t="s">
        <v>2512</v>
      </c>
    </row>
    <row r="13" spans="2:7" ht="18" customHeight="1" x14ac:dyDescent="0.25">
      <c r="B13" s="33">
        <v>9</v>
      </c>
      <c r="C13" s="594"/>
      <c r="D13" s="35" t="s">
        <v>2514</v>
      </c>
    </row>
    <row r="14" spans="2:7" ht="18" customHeight="1" thickBot="1" x14ac:dyDescent="0.3">
      <c r="B14" s="38">
        <v>10</v>
      </c>
      <c r="C14" s="596"/>
      <c r="D14" s="39" t="s">
        <v>2513</v>
      </c>
    </row>
    <row r="15" spans="2:7" ht="6" customHeight="1" thickBot="1" x14ac:dyDescent="0.3">
      <c r="B15" s="40"/>
      <c r="C15" s="40"/>
      <c r="D15" s="41"/>
    </row>
    <row r="16" spans="2:7" ht="18" customHeight="1" thickBot="1" x14ac:dyDescent="0.3">
      <c r="B16" s="43" t="s">
        <v>2031</v>
      </c>
      <c r="C16" s="44" t="s">
        <v>2032</v>
      </c>
      <c r="D16" s="45" t="s">
        <v>2042</v>
      </c>
    </row>
    <row r="17" spans="2:5" ht="18" customHeight="1" x14ac:dyDescent="0.25">
      <c r="B17" s="46">
        <v>1</v>
      </c>
      <c r="C17" s="597" t="s">
        <v>2034</v>
      </c>
      <c r="D17" s="47" t="s">
        <v>2043</v>
      </c>
    </row>
    <row r="18" spans="2:5" ht="18" customHeight="1" x14ac:dyDescent="0.25">
      <c r="B18" s="48">
        <v>2</v>
      </c>
      <c r="C18" s="598"/>
      <c r="D18" s="35" t="s">
        <v>2044</v>
      </c>
    </row>
    <row r="19" spans="2:5" ht="18" customHeight="1" x14ac:dyDescent="0.25">
      <c r="B19" s="48">
        <v>3</v>
      </c>
      <c r="C19" s="598"/>
      <c r="D19" s="35" t="s">
        <v>2045</v>
      </c>
    </row>
    <row r="20" spans="2:5" ht="18" customHeight="1" thickBot="1" x14ac:dyDescent="0.3">
      <c r="B20" s="49">
        <v>4</v>
      </c>
      <c r="C20" s="599"/>
      <c r="D20" s="39" t="s">
        <v>2046</v>
      </c>
      <c r="E20" s="42"/>
    </row>
    <row r="21" spans="2:5" ht="18" customHeight="1" x14ac:dyDescent="0.25">
      <c r="B21" s="46">
        <v>5</v>
      </c>
      <c r="C21" s="597" t="s">
        <v>2040</v>
      </c>
      <c r="D21" s="47" t="s">
        <v>2043</v>
      </c>
      <c r="E21" s="42"/>
    </row>
    <row r="22" spans="2:5" ht="18" customHeight="1" x14ac:dyDescent="0.25">
      <c r="B22" s="48">
        <v>6</v>
      </c>
      <c r="C22" s="598"/>
      <c r="D22" s="35" t="s">
        <v>2047</v>
      </c>
      <c r="E22" s="42"/>
    </row>
    <row r="23" spans="2:5" ht="18" customHeight="1" x14ac:dyDescent="0.25">
      <c r="B23" s="48">
        <v>7</v>
      </c>
      <c r="C23" s="598"/>
      <c r="D23" s="35" t="s">
        <v>3648</v>
      </c>
      <c r="E23" s="42"/>
    </row>
    <row r="24" spans="2:5" ht="18" customHeight="1" thickBot="1" x14ac:dyDescent="0.3">
      <c r="B24" s="49">
        <v>8</v>
      </c>
      <c r="C24" s="599"/>
      <c r="D24" s="39" t="s">
        <v>2048</v>
      </c>
      <c r="E24" s="42"/>
    </row>
    <row r="25" spans="2:5" ht="18" customHeight="1" x14ac:dyDescent="0.2">
      <c r="B25" s="40"/>
      <c r="C25" s="40"/>
      <c r="D25" s="50"/>
      <c r="E25" s="42"/>
    </row>
    <row r="26" spans="2:5" ht="18" customHeight="1" x14ac:dyDescent="0.2">
      <c r="B26" s="51"/>
      <c r="C26" s="51"/>
      <c r="D26" s="50"/>
    </row>
    <row r="27" spans="2:5" ht="18" customHeight="1" x14ac:dyDescent="0.2">
      <c r="B27" s="51"/>
      <c r="C27" s="51"/>
      <c r="D27" s="50"/>
    </row>
    <row r="28" spans="2:5" ht="18" customHeight="1" x14ac:dyDescent="0.2">
      <c r="B28" s="51"/>
      <c r="C28" s="51"/>
      <c r="D28" s="50"/>
    </row>
    <row r="29" spans="2:5" ht="18" customHeight="1" x14ac:dyDescent="0.25">
      <c r="B29" s="51"/>
      <c r="C29" s="51"/>
      <c r="D29" s="25"/>
    </row>
    <row r="30" spans="2:5" ht="18" customHeight="1" x14ac:dyDescent="0.25">
      <c r="B30" s="51"/>
      <c r="C30" s="51"/>
      <c r="D30" s="25"/>
    </row>
    <row r="31" spans="2:5" ht="18" customHeight="1" x14ac:dyDescent="0.25">
      <c r="B31" s="51"/>
      <c r="C31" s="51"/>
      <c r="D31" s="25"/>
    </row>
    <row r="32" spans="2:5" ht="18" customHeight="1" x14ac:dyDescent="0.25">
      <c r="B32" s="51"/>
      <c r="C32" s="51"/>
      <c r="D32" s="25"/>
    </row>
    <row r="33" spans="2:3" ht="18" customHeight="1" x14ac:dyDescent="0.25">
      <c r="B33" s="51"/>
      <c r="C33" s="51"/>
    </row>
    <row r="34" spans="2:3" ht="18" customHeight="1" x14ac:dyDescent="0.25">
      <c r="B34" s="51"/>
      <c r="C34" s="51"/>
    </row>
    <row r="35" spans="2:3" ht="18" customHeight="1" x14ac:dyDescent="0.25">
      <c r="B35" s="51"/>
      <c r="C35" s="51"/>
    </row>
    <row r="36" spans="2:3" ht="18" customHeight="1" x14ac:dyDescent="0.25">
      <c r="B36" s="51"/>
      <c r="C36" s="51"/>
    </row>
    <row r="37" spans="2:3" ht="18" customHeight="1" x14ac:dyDescent="0.25">
      <c r="B37" s="51"/>
      <c r="C37" s="51"/>
    </row>
    <row r="38" spans="2:3" ht="18" customHeight="1" x14ac:dyDescent="0.25">
      <c r="B38" s="51"/>
      <c r="C38" s="51"/>
    </row>
    <row r="39" spans="2:3" ht="18" customHeight="1" x14ac:dyDescent="0.25">
      <c r="B39" s="51"/>
      <c r="C39" s="51"/>
    </row>
    <row r="40" spans="2:3" ht="18" customHeight="1" x14ac:dyDescent="0.25">
      <c r="B40" s="51"/>
      <c r="C40" s="51"/>
    </row>
    <row r="41" spans="2:3" ht="18" customHeight="1" x14ac:dyDescent="0.25">
      <c r="B41" s="51"/>
      <c r="C41" s="51"/>
    </row>
    <row r="42" spans="2:3" ht="18" customHeight="1" x14ac:dyDescent="0.25">
      <c r="B42" s="51"/>
      <c r="C42" s="51"/>
    </row>
    <row r="43" spans="2:3" ht="18" customHeight="1" x14ac:dyDescent="0.25">
      <c r="B43" s="51"/>
      <c r="C43" s="51"/>
    </row>
    <row r="44" spans="2:3" ht="18" customHeight="1" x14ac:dyDescent="0.25">
      <c r="B44" s="51"/>
      <c r="C44" s="51"/>
    </row>
    <row r="45" spans="2:3" ht="18" customHeight="1" x14ac:dyDescent="0.25">
      <c r="B45" s="51"/>
      <c r="C45" s="51"/>
    </row>
    <row r="46" spans="2:3" ht="18" customHeight="1" x14ac:dyDescent="0.25">
      <c r="B46" s="51"/>
      <c r="C46" s="51"/>
    </row>
    <row r="47" spans="2:3" x14ac:dyDescent="0.25">
      <c r="B47" s="51"/>
      <c r="C47" s="51"/>
    </row>
  </sheetData>
  <mergeCells count="5">
    <mergeCell ref="B2:D2"/>
    <mergeCell ref="C5:C9"/>
    <mergeCell ref="C10:C14"/>
    <mergeCell ref="C17:C20"/>
    <mergeCell ref="C21:C24"/>
  </mergeCells>
  <pageMargins left="0.7" right="0.7" top="0.75" bottom="0.75" header="0.3" footer="0.3"/>
  <pageSetup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E1FD2-E1ED-4048-9276-C3633597B8F8}">
  <sheetPr>
    <pageSetUpPr fitToPage="1"/>
  </sheetPr>
  <dimension ref="O1:P6"/>
  <sheetViews>
    <sheetView view="pageBreakPreview" zoomScale="60" zoomScaleNormal="100" workbookViewId="0">
      <selection activeCell="O14" sqref="O14"/>
    </sheetView>
  </sheetViews>
  <sheetFormatPr defaultColWidth="8.85546875" defaultRowHeight="15" x14ac:dyDescent="0.25"/>
  <cols>
    <col min="1" max="1" width="2.140625" style="1" customWidth="1"/>
    <col min="2" max="14" width="8.85546875" style="1"/>
    <col min="15" max="15" width="39.7109375" style="1" bestFit="1" customWidth="1"/>
    <col min="16" max="16" width="14.7109375" style="1" customWidth="1"/>
    <col min="17" max="16384" width="8.85546875" style="1"/>
  </cols>
  <sheetData>
    <row r="1" spans="15:16" ht="9.75" customHeight="1" thickBot="1" x14ac:dyDescent="0.3"/>
    <row r="2" spans="15:16" ht="15.75" thickBot="1" x14ac:dyDescent="0.3">
      <c r="O2" s="840" t="s">
        <v>4847</v>
      </c>
      <c r="P2" s="841" t="s">
        <v>4848</v>
      </c>
    </row>
    <row r="3" spans="15:16" x14ac:dyDescent="0.25">
      <c r="O3" s="526" t="s">
        <v>4849</v>
      </c>
      <c r="P3" s="527">
        <v>6.6162066738133685E-2</v>
      </c>
    </row>
    <row r="4" spans="15:16" x14ac:dyDescent="0.25">
      <c r="O4" s="528" t="s">
        <v>4850</v>
      </c>
      <c r="P4" s="527">
        <v>0.01</v>
      </c>
    </row>
    <row r="5" spans="15:16" ht="15.75" thickBot="1" x14ac:dyDescent="0.3">
      <c r="O5" s="528" t="s">
        <v>4851</v>
      </c>
      <c r="P5" s="527">
        <v>0.02</v>
      </c>
    </row>
    <row r="6" spans="15:16" ht="15.75" thickBot="1" x14ac:dyDescent="0.3">
      <c r="O6" s="842" t="s">
        <v>2459</v>
      </c>
      <c r="P6" s="843">
        <v>9.6162066738133684E-2</v>
      </c>
    </row>
  </sheetData>
  <pageMargins left="0.7" right="0.7" top="0.75" bottom="0.75" header="0.3" footer="0.3"/>
  <pageSetup scale="71" orientation="landscape"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D9B2B-1E90-4D01-8AF3-265C2B5987CB}">
  <sheetPr>
    <pageSetUpPr autoPageBreaks="0" fitToPage="1"/>
  </sheetPr>
  <dimension ref="A1:M46"/>
  <sheetViews>
    <sheetView view="pageBreakPreview" zoomScale="60" zoomScaleNormal="85" workbookViewId="0">
      <selection activeCell="B43" sqref="B43:E44"/>
    </sheetView>
  </sheetViews>
  <sheetFormatPr defaultColWidth="10.7109375" defaultRowHeight="12.75" x14ac:dyDescent="0.2"/>
  <cols>
    <col min="1" max="1" width="4.7109375" style="529" customWidth="1"/>
    <col min="2" max="2" width="57.5703125" style="529" customWidth="1"/>
    <col min="3" max="3" width="11.42578125" style="529" customWidth="1"/>
    <col min="4" max="4" width="14.85546875" style="530" customWidth="1"/>
    <col min="5" max="5" width="16.85546875" style="529" customWidth="1"/>
    <col min="6" max="6" width="13.140625" style="529" customWidth="1"/>
    <col min="7" max="7" width="10.7109375" style="529" customWidth="1"/>
    <col min="8" max="8" width="15" style="529" customWidth="1"/>
    <col min="9" max="9" width="10.7109375" style="529" customWidth="1"/>
    <col min="10" max="10" width="14.42578125" style="529" customWidth="1"/>
    <col min="11" max="14" width="10.7109375" style="529" customWidth="1"/>
    <col min="15" max="16384" width="10.7109375" style="529"/>
  </cols>
  <sheetData>
    <row r="1" spans="1:13" ht="13.5" thickBot="1" x14ac:dyDescent="0.25">
      <c r="F1" s="531"/>
    </row>
    <row r="2" spans="1:13" ht="18" customHeight="1" x14ac:dyDescent="0.2">
      <c r="A2" s="532"/>
      <c r="B2" s="550" t="s">
        <v>4852</v>
      </c>
      <c r="C2" s="555" t="s">
        <v>4853</v>
      </c>
      <c r="D2" s="600" t="s">
        <v>4858</v>
      </c>
      <c r="E2" s="601"/>
    </row>
    <row r="3" spans="1:13" ht="18" customHeight="1" thickBot="1" x14ac:dyDescent="0.25">
      <c r="A3" s="532"/>
      <c r="B3" s="551" t="s">
        <v>4854</v>
      </c>
      <c r="C3" s="556" t="s">
        <v>4855</v>
      </c>
      <c r="D3" s="565" t="s">
        <v>2021</v>
      </c>
      <c r="E3" s="538" t="s">
        <v>2022</v>
      </c>
      <c r="F3" s="539" t="s">
        <v>2034</v>
      </c>
      <c r="G3" s="539" t="s">
        <v>2040</v>
      </c>
    </row>
    <row r="4" spans="1:13" ht="18" customHeight="1" x14ac:dyDescent="0.25">
      <c r="A4" s="532"/>
      <c r="B4" s="552">
        <v>1</v>
      </c>
      <c r="C4" s="557">
        <v>1720.32</v>
      </c>
      <c r="D4" s="547"/>
      <c r="E4" s="542" t="s">
        <v>4859</v>
      </c>
      <c r="F4" s="540" t="str">
        <f>+IF(E4="",C4,"")</f>
        <v/>
      </c>
      <c r="G4" s="540">
        <f>+IF(D4="",C4,"")</f>
        <v>1720.32</v>
      </c>
      <c r="H4" s="533"/>
      <c r="I4" s="533"/>
      <c r="J4" s="533"/>
      <c r="M4" s="534"/>
    </row>
    <row r="5" spans="1:13" ht="18" customHeight="1" x14ac:dyDescent="0.25">
      <c r="A5" s="532"/>
      <c r="B5" s="553">
        <f>1+B4</f>
        <v>2</v>
      </c>
      <c r="C5" s="558">
        <v>1439.52</v>
      </c>
      <c r="D5" s="545"/>
      <c r="E5" s="541" t="s">
        <v>4860</v>
      </c>
      <c r="F5" s="540" t="str">
        <f t="shared" ref="F5:F32" si="0">+IF(E5="",C5,"")</f>
        <v/>
      </c>
      <c r="G5" s="540">
        <f t="shared" ref="G5:G32" si="1">+IF(D5="",C5,"")</f>
        <v>1439.52</v>
      </c>
      <c r="M5" s="534"/>
    </row>
    <row r="6" spans="1:13" ht="18" customHeight="1" x14ac:dyDescent="0.25">
      <c r="A6" s="532"/>
      <c r="B6" s="553">
        <f t="shared" ref="B6:B32" si="2">1+B5</f>
        <v>3</v>
      </c>
      <c r="C6" s="559">
        <v>1715.04</v>
      </c>
      <c r="D6" s="545"/>
      <c r="E6" s="541" t="s">
        <v>4859</v>
      </c>
      <c r="F6" s="540" t="str">
        <f t="shared" si="0"/>
        <v/>
      </c>
      <c r="G6" s="540">
        <f t="shared" si="1"/>
        <v>1715.04</v>
      </c>
      <c r="M6" s="534"/>
    </row>
    <row r="7" spans="1:13" ht="18" customHeight="1" x14ac:dyDescent="0.25">
      <c r="A7" s="532"/>
      <c r="B7" s="553">
        <f t="shared" si="2"/>
        <v>4</v>
      </c>
      <c r="C7" s="558">
        <v>1794.72</v>
      </c>
      <c r="D7" s="545"/>
      <c r="E7" s="541" t="s">
        <v>4859</v>
      </c>
      <c r="F7" s="540" t="str">
        <f t="shared" si="0"/>
        <v/>
      </c>
      <c r="G7" s="540">
        <f t="shared" si="1"/>
        <v>1794.72</v>
      </c>
      <c r="M7" s="534"/>
    </row>
    <row r="8" spans="1:13" ht="18" customHeight="1" x14ac:dyDescent="0.25">
      <c r="A8" s="532"/>
      <c r="B8" s="553">
        <f t="shared" si="2"/>
        <v>5</v>
      </c>
      <c r="C8" s="558">
        <v>1074.24</v>
      </c>
      <c r="D8" s="545"/>
      <c r="E8" s="541" t="s">
        <v>4859</v>
      </c>
      <c r="F8" s="540" t="str">
        <f t="shared" si="0"/>
        <v/>
      </c>
      <c r="G8" s="540">
        <f t="shared" si="1"/>
        <v>1074.24</v>
      </c>
      <c r="M8" s="534"/>
    </row>
    <row r="9" spans="1:13" ht="18" customHeight="1" x14ac:dyDescent="0.25">
      <c r="A9" s="532"/>
      <c r="B9" s="553">
        <f t="shared" si="2"/>
        <v>6</v>
      </c>
      <c r="C9" s="558">
        <v>760.32</v>
      </c>
      <c r="D9" s="545"/>
      <c r="E9" s="541" t="s">
        <v>4860</v>
      </c>
      <c r="F9" s="540" t="str">
        <f t="shared" si="0"/>
        <v/>
      </c>
      <c r="G9" s="540">
        <f t="shared" si="1"/>
        <v>760.32</v>
      </c>
      <c r="M9" s="534"/>
    </row>
    <row r="10" spans="1:13" ht="18" customHeight="1" x14ac:dyDescent="0.25">
      <c r="A10" s="532"/>
      <c r="B10" s="553">
        <f t="shared" si="2"/>
        <v>7</v>
      </c>
      <c r="C10" s="558">
        <v>43.2</v>
      </c>
      <c r="D10" s="545"/>
      <c r="E10" s="541" t="s">
        <v>4860</v>
      </c>
      <c r="F10" s="540" t="str">
        <f t="shared" si="0"/>
        <v/>
      </c>
      <c r="G10" s="540">
        <f t="shared" si="1"/>
        <v>43.2</v>
      </c>
      <c r="M10" s="534"/>
    </row>
    <row r="11" spans="1:13" ht="18" customHeight="1" x14ac:dyDescent="0.25">
      <c r="A11" s="532"/>
      <c r="B11" s="553">
        <f t="shared" si="2"/>
        <v>8</v>
      </c>
      <c r="C11" s="558">
        <v>845.28</v>
      </c>
      <c r="D11" s="545"/>
      <c r="E11" s="541" t="s">
        <v>4860</v>
      </c>
      <c r="F11" s="540" t="str">
        <f t="shared" si="0"/>
        <v/>
      </c>
      <c r="G11" s="540">
        <f t="shared" si="1"/>
        <v>845.28</v>
      </c>
      <c r="M11" s="534"/>
    </row>
    <row r="12" spans="1:13" ht="18" customHeight="1" x14ac:dyDescent="0.25">
      <c r="A12" s="532"/>
      <c r="B12" s="553">
        <f t="shared" si="2"/>
        <v>9</v>
      </c>
      <c r="C12" s="560">
        <v>12136.43</v>
      </c>
      <c r="D12" s="544" t="s">
        <v>2446</v>
      </c>
      <c r="E12" s="541"/>
      <c r="F12" s="540">
        <f t="shared" si="0"/>
        <v>12136.43</v>
      </c>
      <c r="G12" s="540" t="str">
        <f t="shared" si="1"/>
        <v/>
      </c>
      <c r="M12" s="534"/>
    </row>
    <row r="13" spans="1:13" ht="18" customHeight="1" x14ac:dyDescent="0.25">
      <c r="A13" s="532"/>
      <c r="B13" s="553">
        <f t="shared" si="2"/>
        <v>10</v>
      </c>
      <c r="C13" s="558">
        <v>3800</v>
      </c>
      <c r="D13" s="544" t="s">
        <v>2445</v>
      </c>
      <c r="E13" s="541"/>
      <c r="F13" s="540">
        <f t="shared" si="0"/>
        <v>3800</v>
      </c>
      <c r="G13" s="540" t="str">
        <f t="shared" si="1"/>
        <v/>
      </c>
      <c r="M13" s="534"/>
    </row>
    <row r="14" spans="1:13" ht="18" customHeight="1" x14ac:dyDescent="0.25">
      <c r="A14" s="532"/>
      <c r="B14" s="553">
        <f t="shared" si="2"/>
        <v>11</v>
      </c>
      <c r="C14" s="558">
        <v>3750.33</v>
      </c>
      <c r="D14" s="545"/>
      <c r="E14" s="541" t="s">
        <v>4859</v>
      </c>
      <c r="F14" s="540" t="str">
        <f t="shared" si="0"/>
        <v/>
      </c>
      <c r="G14" s="540">
        <f t="shared" si="1"/>
        <v>3750.33</v>
      </c>
      <c r="M14" s="534"/>
    </row>
    <row r="15" spans="1:13" ht="18" customHeight="1" x14ac:dyDescent="0.25">
      <c r="A15" s="532"/>
      <c r="B15" s="553">
        <f t="shared" si="2"/>
        <v>12</v>
      </c>
      <c r="C15" s="561">
        <v>3223.92</v>
      </c>
      <c r="D15" s="544" t="s">
        <v>2445</v>
      </c>
      <c r="E15" s="541"/>
      <c r="F15" s="540">
        <f t="shared" si="0"/>
        <v>3223.92</v>
      </c>
      <c r="G15" s="540" t="str">
        <f t="shared" si="1"/>
        <v/>
      </c>
      <c r="M15" s="534"/>
    </row>
    <row r="16" spans="1:13" ht="18" customHeight="1" x14ac:dyDescent="0.25">
      <c r="A16" s="532"/>
      <c r="B16" s="553">
        <f t="shared" si="2"/>
        <v>13</v>
      </c>
      <c r="C16" s="561">
        <v>3916.8</v>
      </c>
      <c r="D16" s="545"/>
      <c r="E16" s="541" t="s">
        <v>4859</v>
      </c>
      <c r="F16" s="540" t="str">
        <f t="shared" si="0"/>
        <v/>
      </c>
      <c r="G16" s="540">
        <f t="shared" si="1"/>
        <v>3916.8</v>
      </c>
      <c r="M16" s="534"/>
    </row>
    <row r="17" spans="1:13" ht="18" customHeight="1" x14ac:dyDescent="0.25">
      <c r="A17" s="532"/>
      <c r="B17" s="553">
        <f t="shared" si="2"/>
        <v>14</v>
      </c>
      <c r="C17" s="561">
        <v>2567.04</v>
      </c>
      <c r="D17" s="545"/>
      <c r="E17" s="541" t="s">
        <v>4859</v>
      </c>
      <c r="F17" s="540" t="str">
        <f t="shared" si="0"/>
        <v/>
      </c>
      <c r="G17" s="540">
        <f t="shared" si="1"/>
        <v>2567.04</v>
      </c>
      <c r="M17" s="534"/>
    </row>
    <row r="18" spans="1:13" ht="18" customHeight="1" x14ac:dyDescent="0.25">
      <c r="A18" s="532"/>
      <c r="B18" s="553">
        <f t="shared" si="2"/>
        <v>15</v>
      </c>
      <c r="C18" s="558">
        <v>16794.88</v>
      </c>
      <c r="D18" s="544" t="s">
        <v>2446</v>
      </c>
      <c r="E18" s="541"/>
      <c r="F18" s="540">
        <f t="shared" si="0"/>
        <v>16794.88</v>
      </c>
      <c r="G18" s="540" t="str">
        <f t="shared" si="1"/>
        <v/>
      </c>
      <c r="M18" s="534"/>
    </row>
    <row r="19" spans="1:13" ht="18" customHeight="1" x14ac:dyDescent="0.25">
      <c r="A19" s="532"/>
      <c r="B19" s="553">
        <f t="shared" si="2"/>
        <v>16</v>
      </c>
      <c r="C19" s="558">
        <v>230.4</v>
      </c>
      <c r="D19" s="545"/>
      <c r="E19" s="541" t="s">
        <v>4859</v>
      </c>
      <c r="F19" s="540" t="str">
        <f t="shared" si="0"/>
        <v/>
      </c>
      <c r="G19" s="540">
        <f t="shared" si="1"/>
        <v>230.4</v>
      </c>
      <c r="M19" s="534"/>
    </row>
    <row r="20" spans="1:13" ht="18" customHeight="1" x14ac:dyDescent="0.25">
      <c r="A20" s="532"/>
      <c r="B20" s="553">
        <f t="shared" si="2"/>
        <v>17</v>
      </c>
      <c r="C20" s="558">
        <v>1499</v>
      </c>
      <c r="D20" s="544"/>
      <c r="E20" s="541" t="s">
        <v>4859</v>
      </c>
      <c r="F20" s="540" t="str">
        <f t="shared" si="0"/>
        <v/>
      </c>
      <c r="G20" s="540">
        <f t="shared" si="1"/>
        <v>1499</v>
      </c>
      <c r="M20" s="534"/>
    </row>
    <row r="21" spans="1:13" ht="18" customHeight="1" x14ac:dyDescent="0.25">
      <c r="A21" s="532"/>
      <c r="B21" s="553">
        <f t="shared" si="2"/>
        <v>18</v>
      </c>
      <c r="C21" s="558">
        <v>4684.8</v>
      </c>
      <c r="D21" s="544" t="s">
        <v>2445</v>
      </c>
      <c r="E21" s="541"/>
      <c r="F21" s="540">
        <f t="shared" si="0"/>
        <v>4684.8</v>
      </c>
      <c r="G21" s="540" t="str">
        <f t="shared" si="1"/>
        <v/>
      </c>
      <c r="M21" s="534"/>
    </row>
    <row r="22" spans="1:13" ht="18" customHeight="1" x14ac:dyDescent="0.25">
      <c r="A22" s="532"/>
      <c r="B22" s="553">
        <f t="shared" si="2"/>
        <v>19</v>
      </c>
      <c r="C22" s="558">
        <v>10291.200000000001</v>
      </c>
      <c r="D22" s="544" t="s">
        <v>2445</v>
      </c>
      <c r="E22" s="541"/>
      <c r="F22" s="540">
        <f t="shared" si="0"/>
        <v>10291.200000000001</v>
      </c>
      <c r="G22" s="540" t="str">
        <f t="shared" si="1"/>
        <v/>
      </c>
      <c r="M22" s="534"/>
    </row>
    <row r="23" spans="1:13" ht="18" customHeight="1" x14ac:dyDescent="0.25">
      <c r="A23" s="532"/>
      <c r="B23" s="553">
        <f t="shared" si="2"/>
        <v>20</v>
      </c>
      <c r="C23" s="558">
        <v>748.03</v>
      </c>
      <c r="D23" s="545"/>
      <c r="E23" s="541" t="s">
        <v>4859</v>
      </c>
      <c r="F23" s="540" t="str">
        <f t="shared" si="0"/>
        <v/>
      </c>
      <c r="G23" s="540">
        <f t="shared" si="1"/>
        <v>748.03</v>
      </c>
      <c r="M23" s="534"/>
    </row>
    <row r="24" spans="1:13" ht="18" customHeight="1" x14ac:dyDescent="0.25">
      <c r="A24" s="532"/>
      <c r="B24" s="553">
        <f t="shared" si="2"/>
        <v>21</v>
      </c>
      <c r="C24" s="558">
        <v>213.12</v>
      </c>
      <c r="D24" s="545"/>
      <c r="E24" s="541" t="s">
        <v>4859</v>
      </c>
      <c r="F24" s="540" t="str">
        <f t="shared" si="0"/>
        <v/>
      </c>
      <c r="G24" s="540">
        <f t="shared" si="1"/>
        <v>213.12</v>
      </c>
      <c r="M24" s="534"/>
    </row>
    <row r="25" spans="1:13" ht="18" customHeight="1" x14ac:dyDescent="0.25">
      <c r="A25" s="532"/>
      <c r="B25" s="553">
        <f t="shared" si="2"/>
        <v>22</v>
      </c>
      <c r="C25" s="558">
        <v>3039.67</v>
      </c>
      <c r="D25" s="544" t="s">
        <v>2445</v>
      </c>
      <c r="E25" s="541"/>
      <c r="F25" s="540">
        <f t="shared" si="0"/>
        <v>3039.67</v>
      </c>
      <c r="G25" s="540" t="str">
        <f t="shared" si="1"/>
        <v/>
      </c>
      <c r="M25" s="534"/>
    </row>
    <row r="26" spans="1:13" ht="18" customHeight="1" x14ac:dyDescent="0.25">
      <c r="A26" s="532"/>
      <c r="B26" s="553">
        <f t="shared" si="2"/>
        <v>23</v>
      </c>
      <c r="C26" s="558">
        <v>2156.16</v>
      </c>
      <c r="D26" s="546"/>
      <c r="E26" s="541" t="s">
        <v>4859</v>
      </c>
      <c r="F26" s="540" t="str">
        <f t="shared" si="0"/>
        <v/>
      </c>
      <c r="G26" s="540">
        <f t="shared" si="1"/>
        <v>2156.16</v>
      </c>
      <c r="M26" s="534"/>
    </row>
    <row r="27" spans="1:13" ht="18" customHeight="1" x14ac:dyDescent="0.25">
      <c r="A27" s="532"/>
      <c r="B27" s="553">
        <f t="shared" si="2"/>
        <v>24</v>
      </c>
      <c r="C27" s="558">
        <v>3186.4</v>
      </c>
      <c r="D27" s="544" t="s">
        <v>2445</v>
      </c>
      <c r="E27" s="541"/>
      <c r="F27" s="540">
        <f t="shared" si="0"/>
        <v>3186.4</v>
      </c>
      <c r="G27" s="540" t="str">
        <f t="shared" si="1"/>
        <v/>
      </c>
      <c r="M27" s="534"/>
    </row>
    <row r="28" spans="1:13" ht="18" customHeight="1" x14ac:dyDescent="0.25">
      <c r="A28" s="532"/>
      <c r="B28" s="553">
        <f t="shared" si="2"/>
        <v>25</v>
      </c>
      <c r="C28" s="559">
        <v>6959.43</v>
      </c>
      <c r="D28" s="545"/>
      <c r="E28" s="541" t="s">
        <v>4859</v>
      </c>
      <c r="F28" s="540" t="str">
        <f t="shared" si="0"/>
        <v/>
      </c>
      <c r="G28" s="540">
        <f t="shared" si="1"/>
        <v>6959.43</v>
      </c>
      <c r="M28" s="534"/>
    </row>
    <row r="29" spans="1:13" ht="18" customHeight="1" x14ac:dyDescent="0.25">
      <c r="A29" s="532"/>
      <c r="B29" s="553">
        <f t="shared" si="2"/>
        <v>26</v>
      </c>
      <c r="C29" s="559">
        <v>1849.44</v>
      </c>
      <c r="D29" s="545"/>
      <c r="E29" s="541" t="s">
        <v>4859</v>
      </c>
      <c r="F29" s="540" t="str">
        <f t="shared" si="0"/>
        <v/>
      </c>
      <c r="G29" s="540">
        <f t="shared" si="1"/>
        <v>1849.44</v>
      </c>
      <c r="M29" s="534"/>
    </row>
    <row r="30" spans="1:13" ht="18" customHeight="1" x14ac:dyDescent="0.25">
      <c r="A30" s="532"/>
      <c r="B30" s="553">
        <f t="shared" si="2"/>
        <v>27</v>
      </c>
      <c r="C30" s="559">
        <v>4038.91</v>
      </c>
      <c r="D30" s="545"/>
      <c r="E30" s="541" t="s">
        <v>4859</v>
      </c>
      <c r="F30" s="540" t="str">
        <f t="shared" si="0"/>
        <v/>
      </c>
      <c r="G30" s="540">
        <f t="shared" si="1"/>
        <v>4038.91</v>
      </c>
      <c r="M30" s="534"/>
    </row>
    <row r="31" spans="1:13" ht="18" customHeight="1" x14ac:dyDescent="0.25">
      <c r="A31" s="532"/>
      <c r="B31" s="553">
        <f t="shared" si="2"/>
        <v>28</v>
      </c>
      <c r="C31" s="558">
        <v>2552</v>
      </c>
      <c r="D31" s="546"/>
      <c r="E31" s="541" t="s">
        <v>4859</v>
      </c>
      <c r="F31" s="540" t="str">
        <f t="shared" si="0"/>
        <v/>
      </c>
      <c r="G31" s="540">
        <f t="shared" si="1"/>
        <v>2552</v>
      </c>
      <c r="M31" s="534"/>
    </row>
    <row r="32" spans="1:13" ht="18" customHeight="1" thickBot="1" x14ac:dyDescent="0.3">
      <c r="A32" s="532"/>
      <c r="B32" s="553">
        <f t="shared" si="2"/>
        <v>29</v>
      </c>
      <c r="C32" s="558">
        <v>4663</v>
      </c>
      <c r="D32" s="566"/>
      <c r="E32" s="541" t="s">
        <v>4859</v>
      </c>
      <c r="F32" s="575" t="str">
        <f t="shared" si="0"/>
        <v/>
      </c>
      <c r="G32" s="576">
        <f t="shared" si="1"/>
        <v>4663</v>
      </c>
      <c r="M32" s="535"/>
    </row>
    <row r="33" spans="1:13" ht="18" customHeight="1" x14ac:dyDescent="0.25">
      <c r="A33" s="532"/>
      <c r="B33" s="550" t="s">
        <v>4856</v>
      </c>
      <c r="C33" s="555" t="s">
        <v>4853</v>
      </c>
      <c r="D33" s="600" t="s">
        <v>4858</v>
      </c>
      <c r="E33" s="601"/>
      <c r="F33" s="571">
        <f>+SUM(F4:F32)</f>
        <v>57157.299999999996</v>
      </c>
      <c r="G33" s="572">
        <f>+SUM(G4:G32)</f>
        <v>44536.3</v>
      </c>
      <c r="H33" s="536"/>
      <c r="I33" s="536"/>
      <c r="K33" s="536"/>
      <c r="L33" s="536"/>
      <c r="M33" s="536"/>
    </row>
    <row r="34" spans="1:13" ht="18" customHeight="1" thickBot="1" x14ac:dyDescent="0.3">
      <c r="A34" s="532"/>
      <c r="B34" s="551" t="s">
        <v>4854</v>
      </c>
      <c r="C34" s="556" t="s">
        <v>4855</v>
      </c>
      <c r="D34" s="568" t="s">
        <v>2021</v>
      </c>
      <c r="E34" s="538" t="s">
        <v>2022</v>
      </c>
      <c r="F34" s="573"/>
      <c r="G34" s="574"/>
      <c r="H34" s="536"/>
      <c r="I34" s="536"/>
      <c r="K34" s="536"/>
      <c r="L34" s="536"/>
      <c r="M34" s="536"/>
    </row>
    <row r="35" spans="1:13" ht="18" customHeight="1" x14ac:dyDescent="0.25">
      <c r="A35" s="532"/>
      <c r="B35" s="552">
        <v>1</v>
      </c>
      <c r="C35" s="562">
        <v>0</v>
      </c>
      <c r="D35" s="548" t="s">
        <v>2446</v>
      </c>
      <c r="E35" s="567"/>
      <c r="F35" s="536"/>
      <c r="G35" s="536"/>
      <c r="H35" s="536"/>
      <c r="I35" s="536"/>
      <c r="K35" s="536"/>
      <c r="L35" s="536"/>
      <c r="M35" s="536"/>
    </row>
    <row r="36" spans="1:13" ht="18" customHeight="1" x14ac:dyDescent="0.25">
      <c r="A36" s="532"/>
      <c r="B36" s="553">
        <v>2</v>
      </c>
      <c r="C36" s="563">
        <v>1160.5</v>
      </c>
      <c r="D36" s="546"/>
      <c r="E36" s="541" t="s">
        <v>4859</v>
      </c>
      <c r="F36" s="536"/>
      <c r="G36" s="536"/>
      <c r="H36" s="536"/>
      <c r="I36" s="536"/>
      <c r="K36" s="536"/>
      <c r="L36" s="536"/>
      <c r="M36" s="536"/>
    </row>
    <row r="37" spans="1:13" ht="18" customHeight="1" x14ac:dyDescent="0.25">
      <c r="A37" s="532"/>
      <c r="B37" s="553">
        <v>3</v>
      </c>
      <c r="C37" s="563">
        <v>1304.96</v>
      </c>
      <c r="D37" s="546"/>
      <c r="E37" s="541" t="s">
        <v>4859</v>
      </c>
      <c r="F37" s="536"/>
      <c r="G37" s="536"/>
      <c r="H37" s="536"/>
      <c r="I37" s="536"/>
      <c r="K37" s="536"/>
      <c r="L37" s="536"/>
      <c r="M37" s="536"/>
    </row>
    <row r="38" spans="1:13" ht="18" customHeight="1" x14ac:dyDescent="0.25">
      <c r="A38" s="532"/>
      <c r="B38" s="553">
        <v>4</v>
      </c>
      <c r="C38" s="564"/>
      <c r="D38" s="544" t="s">
        <v>2445</v>
      </c>
      <c r="E38" s="543"/>
      <c r="F38" s="536"/>
      <c r="G38" s="536"/>
      <c r="H38" s="536"/>
      <c r="I38" s="536"/>
      <c r="K38" s="536"/>
      <c r="L38" s="536"/>
      <c r="M38" s="536"/>
    </row>
    <row r="39" spans="1:13" ht="18" customHeight="1" thickBot="1" x14ac:dyDescent="0.3">
      <c r="A39" s="532"/>
      <c r="B39" s="553">
        <v>5</v>
      </c>
      <c r="C39" s="564"/>
      <c r="D39" s="544" t="s">
        <v>2445</v>
      </c>
      <c r="E39" s="543"/>
      <c r="F39" s="536"/>
      <c r="G39" s="536"/>
      <c r="H39" s="536"/>
      <c r="I39" s="536"/>
      <c r="K39" s="536"/>
      <c r="L39" s="536"/>
      <c r="M39" s="536"/>
    </row>
    <row r="40" spans="1:13" ht="18" customHeight="1" x14ac:dyDescent="0.2">
      <c r="A40" s="532"/>
      <c r="B40" s="550" t="s">
        <v>4857</v>
      </c>
      <c r="C40" s="555"/>
      <c r="D40" s="600" t="s">
        <v>4858</v>
      </c>
      <c r="E40" s="601"/>
    </row>
    <row r="41" spans="1:13" ht="18" customHeight="1" thickBot="1" x14ac:dyDescent="0.25">
      <c r="A41" s="532"/>
      <c r="B41" s="551" t="s">
        <v>4854</v>
      </c>
      <c r="C41" s="556" t="s">
        <v>4855</v>
      </c>
      <c r="D41" s="568" t="s">
        <v>2021</v>
      </c>
      <c r="E41" s="538" t="s">
        <v>2022</v>
      </c>
    </row>
    <row r="42" spans="1:13" ht="18" customHeight="1" thickBot="1" x14ac:dyDescent="0.3">
      <c r="A42" s="532"/>
      <c r="B42" s="554">
        <v>1</v>
      </c>
      <c r="C42" s="570">
        <v>174858.44</v>
      </c>
      <c r="D42" s="549" t="s">
        <v>2446</v>
      </c>
      <c r="E42" s="569"/>
    </row>
    <row r="43" spans="1:13" ht="33.6" customHeight="1" x14ac:dyDescent="0.2">
      <c r="B43" s="844" t="s">
        <v>4862</v>
      </c>
      <c r="C43" s="845"/>
      <c r="D43" s="845"/>
      <c r="E43" s="846"/>
    </row>
    <row r="44" spans="1:13" ht="43.15" customHeight="1" thickBot="1" x14ac:dyDescent="0.25">
      <c r="B44" s="847" t="s">
        <v>4861</v>
      </c>
      <c r="C44" s="848"/>
      <c r="D44" s="848"/>
      <c r="E44" s="849"/>
    </row>
    <row r="46" spans="1:13" x14ac:dyDescent="0.2">
      <c r="C46" s="537"/>
    </row>
  </sheetData>
  <mergeCells count="5">
    <mergeCell ref="D2:E2"/>
    <mergeCell ref="D33:E33"/>
    <mergeCell ref="D40:E40"/>
    <mergeCell ref="B43:E43"/>
    <mergeCell ref="B44:E44"/>
  </mergeCells>
  <pageMargins left="0.7" right="0.7" top="0.75" bottom="0.75" header="0.3" footer="0.3"/>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FA0D7-6795-4941-9AA7-8BA0802CB7A8}">
  <sheetPr>
    <pageSetUpPr fitToPage="1"/>
  </sheetPr>
  <dimension ref="B1:E6"/>
  <sheetViews>
    <sheetView view="pageBreakPreview" zoomScale="60" zoomScaleNormal="115" workbookViewId="0">
      <selection activeCell="B2" sqref="B2:E2"/>
    </sheetView>
  </sheetViews>
  <sheetFormatPr defaultColWidth="8.85546875" defaultRowHeight="15" x14ac:dyDescent="0.25"/>
  <cols>
    <col min="1" max="1" width="2.42578125" customWidth="1"/>
    <col min="2" max="2" width="22" bestFit="1" customWidth="1"/>
    <col min="3" max="3" width="14.7109375" bestFit="1" customWidth="1"/>
    <col min="4" max="4" width="13.28515625" bestFit="1" customWidth="1"/>
    <col min="5" max="5" width="14.42578125" customWidth="1"/>
  </cols>
  <sheetData>
    <row r="1" spans="2:5" ht="15.75" thickBot="1" x14ac:dyDescent="0.3"/>
    <row r="2" spans="2:5" ht="63.75" customHeight="1" thickBot="1" x14ac:dyDescent="0.3">
      <c r="B2" s="850" t="s">
        <v>2485</v>
      </c>
      <c r="C2" s="850" t="s">
        <v>2486</v>
      </c>
      <c r="D2" s="850" t="s">
        <v>2487</v>
      </c>
      <c r="E2" s="851" t="s">
        <v>2488</v>
      </c>
    </row>
    <row r="3" spans="2:5" ht="15.75" thickTop="1" x14ac:dyDescent="0.25">
      <c r="B3" s="21" t="s">
        <v>2507</v>
      </c>
      <c r="C3" s="514">
        <f>+'2011-2020'!K1099</f>
        <v>71.579685436319934</v>
      </c>
      <c r="D3" s="514">
        <f>+'2011-2020'!L1099</f>
        <v>62.320960618047529</v>
      </c>
      <c r="E3" s="521">
        <f>+'2011-2020'!M1099</f>
        <v>133.90064605436746</v>
      </c>
    </row>
    <row r="4" spans="2:5" ht="15.75" thickBot="1" x14ac:dyDescent="0.3">
      <c r="B4" s="316" t="s">
        <v>2515</v>
      </c>
      <c r="C4" s="515">
        <f>+'2011-2020'!K1100</f>
        <v>23.198317371863038</v>
      </c>
      <c r="D4" s="515">
        <f>+'2011-2020'!L1100</f>
        <v>20.197649857277341</v>
      </c>
      <c r="E4" s="522">
        <f>+'2011-2020'!M1100</f>
        <v>43.395967229140382</v>
      </c>
    </row>
    <row r="6" spans="2:5" ht="48" customHeight="1" x14ac:dyDescent="0.25">
      <c r="B6" s="602" t="s">
        <v>3650</v>
      </c>
      <c r="C6" s="603"/>
      <c r="D6" s="603"/>
      <c r="E6" s="603"/>
    </row>
  </sheetData>
  <mergeCells count="1">
    <mergeCell ref="B6:E6"/>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E59B9-ED78-4B54-B52B-A8B248B45B27}">
  <sheetPr>
    <pageSetUpPr fitToPage="1"/>
  </sheetPr>
  <dimension ref="A1:S1166"/>
  <sheetViews>
    <sheetView view="pageBreakPreview" topLeftCell="D1139" zoomScale="65" zoomScaleNormal="85" workbookViewId="0">
      <selection activeCell="I1138" sqref="I1138"/>
    </sheetView>
  </sheetViews>
  <sheetFormatPr defaultColWidth="8.85546875" defaultRowHeight="15" x14ac:dyDescent="0.25"/>
  <cols>
    <col min="1" max="1" width="19" style="476" bestFit="1" customWidth="1"/>
    <col min="2" max="2" width="11.5703125" style="477" customWidth="1"/>
    <col min="3" max="3" width="28" style="477" customWidth="1"/>
    <col min="4" max="4" width="42.7109375" style="476" customWidth="1"/>
    <col min="5" max="5" width="25.5703125" style="476" customWidth="1"/>
    <col min="6" max="6" width="29.42578125" style="476" bestFit="1" customWidth="1"/>
    <col min="7" max="7" width="13.5703125" style="477" customWidth="1"/>
    <col min="8" max="8" width="38.7109375" style="477" customWidth="1"/>
    <col min="9" max="9" width="26.7109375" style="477" customWidth="1"/>
    <col min="10" max="10" width="42.28515625" style="476" customWidth="1"/>
    <col min="11" max="11" width="19.7109375" style="476" customWidth="1"/>
    <col min="12" max="12" width="20.5703125" style="14" customWidth="1"/>
    <col min="13" max="13" width="21.42578125" style="14" customWidth="1"/>
    <col min="14" max="14" width="28.7109375" style="481" customWidth="1"/>
    <col min="15" max="15" width="23.140625" style="478" customWidth="1"/>
    <col min="16" max="16" width="20.5703125" style="14" customWidth="1"/>
    <col min="17" max="17" width="15" style="478" customWidth="1"/>
    <col min="18" max="18" width="14.85546875" style="478" customWidth="1"/>
    <col min="19" max="19" width="23.7109375" style="478" customWidth="1"/>
    <col min="20" max="16384" width="8.85546875" style="478"/>
  </cols>
  <sheetData>
    <row r="1" spans="1:19" x14ac:dyDescent="0.25">
      <c r="N1" s="483" t="s">
        <v>3660</v>
      </c>
      <c r="O1" s="14"/>
    </row>
    <row r="2" spans="1:19" s="15" customFormat="1" ht="54" customHeight="1" x14ac:dyDescent="0.25">
      <c r="A2" s="479" t="s">
        <v>0</v>
      </c>
      <c r="B2" s="479" t="s">
        <v>3884</v>
      </c>
      <c r="C2" s="479" t="s">
        <v>2523</v>
      </c>
      <c r="D2" s="479" t="s">
        <v>1</v>
      </c>
      <c r="E2" s="479" t="s">
        <v>2</v>
      </c>
      <c r="F2" s="479" t="s">
        <v>3</v>
      </c>
      <c r="G2" s="182" t="s">
        <v>3885</v>
      </c>
      <c r="H2" s="182" t="s">
        <v>2524</v>
      </c>
      <c r="I2" s="183" t="s">
        <v>3886</v>
      </c>
      <c r="J2" s="479" t="s">
        <v>4</v>
      </c>
      <c r="K2" s="183" t="s">
        <v>3887</v>
      </c>
      <c r="L2" s="182" t="s">
        <v>3888</v>
      </c>
      <c r="M2" s="182" t="s">
        <v>3889</v>
      </c>
      <c r="N2" s="482" t="s">
        <v>3890</v>
      </c>
      <c r="O2" s="15" t="s">
        <v>2002</v>
      </c>
      <c r="P2" s="15" t="s">
        <v>2003</v>
      </c>
    </row>
    <row r="3" spans="1:19" x14ac:dyDescent="0.25">
      <c r="A3" s="476" t="s">
        <v>1228</v>
      </c>
      <c r="B3" s="475" t="s">
        <v>3956</v>
      </c>
      <c r="C3" s="422" t="e">
        <f>VLOOKUP(B3,'Matter &amp; CI#'!$D$4:$E$595,2,FALSE)</f>
        <v>#N/A</v>
      </c>
      <c r="D3" s="476" t="s">
        <v>1229</v>
      </c>
      <c r="E3" s="476" t="s">
        <v>8</v>
      </c>
      <c r="F3" s="476" t="s">
        <v>9</v>
      </c>
      <c r="G3" s="475" t="s">
        <v>2013</v>
      </c>
      <c r="H3" s="516"/>
      <c r="I3" s="477" t="s">
        <v>5</v>
      </c>
      <c r="J3" s="476" t="s">
        <v>12</v>
      </c>
      <c r="K3" s="476" t="s">
        <v>7</v>
      </c>
      <c r="L3" s="184">
        <v>40563</v>
      </c>
      <c r="M3" s="184">
        <v>41569</v>
      </c>
      <c r="N3" s="480">
        <v>121737.49</v>
      </c>
      <c r="O3" s="478" t="str">
        <f>IFERROR(VLOOKUP(A3,[1]Approval!A:C,3,FALSE),"")</f>
        <v>zINVALID FIN Approval - External</v>
      </c>
      <c r="P3" s="184">
        <f>IFERROR(VLOOKUP(A3,[1]Approval!A:J,10,FALSE),"")</f>
        <v>41345</v>
      </c>
      <c r="R3" s="425">
        <f>2020-YEAR(Table227[[#This Row],[In-
Service
Date]])</f>
        <v>9</v>
      </c>
      <c r="S3" s="308">
        <f>+Table227[[#This Row],[Proj To Date
Actuals]]*1.02^R3</f>
        <v>145487.5696217329</v>
      </c>
    </row>
    <row r="4" spans="1:19" x14ac:dyDescent="0.25">
      <c r="A4" s="476" t="s">
        <v>1222</v>
      </c>
      <c r="B4" s="475" t="s">
        <v>3958</v>
      </c>
      <c r="C4" s="422" t="e">
        <f>VLOOKUP(B4,'Matter &amp; CI#'!$D$4:$E$595,2,FALSE)</f>
        <v>#N/A</v>
      </c>
      <c r="D4" s="476" t="s">
        <v>1223</v>
      </c>
      <c r="E4" s="476" t="s">
        <v>10</v>
      </c>
      <c r="F4" s="476" t="s">
        <v>9</v>
      </c>
      <c r="G4" s="475" t="s">
        <v>2013</v>
      </c>
      <c r="H4" s="516"/>
      <c r="I4" s="477" t="s">
        <v>5</v>
      </c>
      <c r="J4" s="476" t="s">
        <v>43</v>
      </c>
      <c r="K4" s="476" t="s">
        <v>7</v>
      </c>
      <c r="L4" s="184">
        <v>40574</v>
      </c>
      <c r="M4" s="184">
        <v>42612</v>
      </c>
      <c r="N4" s="480">
        <v>186861.82</v>
      </c>
      <c r="O4" s="478" t="str">
        <f>IFERROR(VLOOKUP(A4,[1]Approval!A:C,3,FALSE),"")</f>
        <v>FIN Approval - Internal</v>
      </c>
      <c r="P4" s="184">
        <f>IFERROR(VLOOKUP(A4,[1]Approval!A:J,10,FALSE),"")</f>
        <v>42625</v>
      </c>
      <c r="R4" s="425">
        <f>2020-YEAR(Table227[[#This Row],[In-
Service
Date]])</f>
        <v>9</v>
      </c>
      <c r="S4" s="308">
        <f>+Table227[[#This Row],[Proj To Date
Actuals]]*1.02^R4</f>
        <v>223317.17244123991</v>
      </c>
    </row>
    <row r="5" spans="1:19" x14ac:dyDescent="0.25">
      <c r="A5" s="476" t="s">
        <v>255</v>
      </c>
      <c r="B5" s="475" t="s">
        <v>3959</v>
      </c>
      <c r="C5" s="422" t="e">
        <f>VLOOKUP(B5,'Matter &amp; CI#'!$D$4:$E$595,2,FALSE)</f>
        <v>#N/A</v>
      </c>
      <c r="D5" s="476" t="s">
        <v>256</v>
      </c>
      <c r="E5" s="476" t="s">
        <v>8</v>
      </c>
      <c r="F5" s="476" t="s">
        <v>9</v>
      </c>
      <c r="G5" s="475" t="s">
        <v>2013</v>
      </c>
      <c r="H5" s="516"/>
      <c r="I5" s="477" t="s">
        <v>5</v>
      </c>
      <c r="J5" s="476" t="s">
        <v>43</v>
      </c>
      <c r="K5" s="476" t="s">
        <v>7</v>
      </c>
      <c r="L5" s="184">
        <v>40581</v>
      </c>
      <c r="M5" s="184">
        <v>41498</v>
      </c>
      <c r="N5" s="480">
        <v>670652.16000000003</v>
      </c>
      <c r="O5" s="478" t="str">
        <f>IFERROR(VLOOKUP(A5,[1]Approval!A:C,3,FALSE),"")</f>
        <v>zINVALID FIN Approval - Internal</v>
      </c>
      <c r="P5" s="184">
        <f>IFERROR(VLOOKUP(A5,[1]Approval!A:J,10,FALSE),"")</f>
        <v>41498</v>
      </c>
      <c r="R5" s="425">
        <f>2020-YEAR(Table227[[#This Row],[In-
Service
Date]])</f>
        <v>9</v>
      </c>
      <c r="S5" s="308">
        <f>+Table227[[#This Row],[Proj To Date
Actuals]]*1.02^R5</f>
        <v>801491.41254650103</v>
      </c>
    </row>
    <row r="6" spans="1:19" x14ac:dyDescent="0.25">
      <c r="A6" s="476" t="s">
        <v>1224</v>
      </c>
      <c r="B6" s="475" t="s">
        <v>3944</v>
      </c>
      <c r="C6" s="422" t="e">
        <f>VLOOKUP(B6,'Matter &amp; CI#'!$D$4:$E$595,2,FALSE)</f>
        <v>#N/A</v>
      </c>
      <c r="D6" s="476" t="s">
        <v>1225</v>
      </c>
      <c r="E6" s="476" t="s">
        <v>27</v>
      </c>
      <c r="F6" s="476" t="s">
        <v>9</v>
      </c>
      <c r="G6" s="475" t="s">
        <v>2013</v>
      </c>
      <c r="H6" s="516"/>
      <c r="I6" s="477" t="s">
        <v>5</v>
      </c>
      <c r="J6" s="476" t="s">
        <v>6</v>
      </c>
      <c r="K6" s="476" t="s">
        <v>7</v>
      </c>
      <c r="L6" s="184">
        <v>40633</v>
      </c>
      <c r="M6" s="184">
        <v>41843</v>
      </c>
      <c r="N6" s="480">
        <v>116516.04</v>
      </c>
      <c r="O6" s="478" t="str">
        <f>IFERROR(VLOOKUP(A6,[1]Approval!A:C,3,FALSE),"")</f>
        <v>FIN Approval - Internal</v>
      </c>
      <c r="P6" s="184">
        <f>IFERROR(VLOOKUP(A6,[1]Approval!A:J,10,FALSE),"")</f>
        <v>41843</v>
      </c>
      <c r="R6" s="425">
        <f>2020-YEAR(Table227[[#This Row],[In-
Service
Date]])</f>
        <v>9</v>
      </c>
      <c r="S6" s="308">
        <f>+Table227[[#This Row],[Proj To Date
Actuals]]*1.02^R6</f>
        <v>139247.45352929991</v>
      </c>
    </row>
    <row r="7" spans="1:19" x14ac:dyDescent="0.25">
      <c r="A7" s="476" t="s">
        <v>1226</v>
      </c>
      <c r="B7" s="475" t="s">
        <v>3953</v>
      </c>
      <c r="C7" s="422" t="e">
        <f>VLOOKUP(B7,'Matter &amp; CI#'!$D$4:$E$595,2,FALSE)</f>
        <v>#N/A</v>
      </c>
      <c r="D7" s="476" t="s">
        <v>1227</v>
      </c>
      <c r="E7" s="476" t="s">
        <v>8</v>
      </c>
      <c r="F7" s="476" t="s">
        <v>9</v>
      </c>
      <c r="G7" s="475" t="s">
        <v>2013</v>
      </c>
      <c r="H7" s="516"/>
      <c r="I7" s="477" t="s">
        <v>5</v>
      </c>
      <c r="J7" s="476" t="s">
        <v>14</v>
      </c>
      <c r="K7" s="476" t="s">
        <v>7</v>
      </c>
      <c r="L7" s="184">
        <v>40633</v>
      </c>
      <c r="M7" s="184">
        <v>41859</v>
      </c>
      <c r="N7" s="480">
        <v>44071.65</v>
      </c>
      <c r="O7" s="478" t="str">
        <f>IFERROR(VLOOKUP(A7,[1]Approval!A:C,3,FALSE),"")</f>
        <v>FIN Approval - Internal</v>
      </c>
      <c r="P7" s="184">
        <f>IFERROR(VLOOKUP(A7,[1]Approval!A:J,10,FALSE),"")</f>
        <v>41859</v>
      </c>
      <c r="R7" s="425">
        <f>2020-YEAR(Table227[[#This Row],[In-
Service
Date]])</f>
        <v>9</v>
      </c>
      <c r="S7" s="308">
        <f>+Table227[[#This Row],[Proj To Date
Actuals]]*1.02^R7</f>
        <v>52669.70140192347</v>
      </c>
    </row>
    <row r="8" spans="1:19" x14ac:dyDescent="0.25">
      <c r="A8" s="476" t="s">
        <v>1743</v>
      </c>
      <c r="B8" s="475" t="s">
        <v>3954</v>
      </c>
      <c r="C8" s="422" t="e">
        <f>VLOOKUP(B8,'Matter &amp; CI#'!$D$4:$E$595,2,FALSE)</f>
        <v>#N/A</v>
      </c>
      <c r="D8" s="476" t="s">
        <v>1744</v>
      </c>
      <c r="E8" s="476" t="s">
        <v>8</v>
      </c>
      <c r="F8" s="476" t="s">
        <v>9</v>
      </c>
      <c r="G8" s="475" t="s">
        <v>2013</v>
      </c>
      <c r="H8" s="516"/>
      <c r="I8" s="477" t="s">
        <v>5</v>
      </c>
      <c r="J8" s="476" t="s">
        <v>14</v>
      </c>
      <c r="K8" s="476" t="s">
        <v>7</v>
      </c>
      <c r="L8" s="184">
        <v>40633</v>
      </c>
      <c r="M8" s="184">
        <v>41569</v>
      </c>
      <c r="N8" s="480">
        <v>239698.36</v>
      </c>
      <c r="O8" s="478" t="str">
        <f>IFERROR(VLOOKUP(A8,[1]Approval!A:C,3,FALSE),"")</f>
        <v>zINVALID FIN Approval - External</v>
      </c>
      <c r="P8" s="184">
        <f>IFERROR(VLOOKUP(A8,[1]Approval!A:J,10,FALSE),"")</f>
        <v>41380</v>
      </c>
      <c r="R8" s="425">
        <f>2020-YEAR(Table227[[#This Row],[In-
Service
Date]])</f>
        <v>9</v>
      </c>
      <c r="S8" s="308">
        <f>+Table227[[#This Row],[Proj To Date
Actuals]]*1.02^R8</f>
        <v>286461.72874695534</v>
      </c>
    </row>
    <row r="9" spans="1:19" x14ac:dyDescent="0.25">
      <c r="A9" s="476" t="s">
        <v>1490</v>
      </c>
      <c r="B9" s="475" t="s">
        <v>4009</v>
      </c>
      <c r="C9" s="422" t="e">
        <f>VLOOKUP(B9,'Matter &amp; CI#'!$D$4:$E$595,2,FALSE)</f>
        <v>#N/A</v>
      </c>
      <c r="D9" s="476" t="s">
        <v>1491</v>
      </c>
      <c r="E9" s="476" t="s">
        <v>8</v>
      </c>
      <c r="F9" s="476" t="s">
        <v>9</v>
      </c>
      <c r="G9" s="475" t="s">
        <v>2013</v>
      </c>
      <c r="H9" s="516"/>
      <c r="I9" s="477" t="s">
        <v>5</v>
      </c>
      <c r="J9" s="476" t="s">
        <v>43</v>
      </c>
      <c r="K9" s="476" t="s">
        <v>7</v>
      </c>
      <c r="L9" s="184">
        <v>40633</v>
      </c>
      <c r="M9" s="184">
        <v>41228</v>
      </c>
      <c r="N9" s="480">
        <v>176718.01</v>
      </c>
      <c r="O9" s="478" t="str">
        <f>IFERROR(VLOOKUP(A9,[1]Approval!A:C,3,FALSE),"")</f>
        <v>zINVALID FIN Approval - External</v>
      </c>
      <c r="P9" s="184">
        <f>IFERROR(VLOOKUP(A9,[1]Approval!A:J,10,FALSE),"")</f>
        <v>41212</v>
      </c>
      <c r="R9" s="425">
        <f>2020-YEAR(Table227[[#This Row],[In-
Service
Date]])</f>
        <v>9</v>
      </c>
      <c r="S9" s="308">
        <f>+Table227[[#This Row],[Proj To Date
Actuals]]*1.02^R9</f>
        <v>211194.38049272323</v>
      </c>
    </row>
    <row r="10" spans="1:19" x14ac:dyDescent="0.25">
      <c r="A10" s="476" t="s">
        <v>1755</v>
      </c>
      <c r="B10" s="475" t="s">
        <v>4002</v>
      </c>
      <c r="C10" s="422" t="e">
        <f>VLOOKUP(B10,'Matter &amp; CI#'!$D$4:$E$595,2,FALSE)</f>
        <v>#N/A</v>
      </c>
      <c r="D10" s="476" t="s">
        <v>1756</v>
      </c>
      <c r="E10" s="476" t="s">
        <v>8</v>
      </c>
      <c r="F10" s="476" t="s">
        <v>9</v>
      </c>
      <c r="G10" s="475" t="s">
        <v>2013</v>
      </c>
      <c r="H10" s="516"/>
      <c r="I10" s="477" t="s">
        <v>5</v>
      </c>
      <c r="J10" s="476" t="s">
        <v>6</v>
      </c>
      <c r="K10" s="476" t="s">
        <v>7</v>
      </c>
      <c r="L10" s="184">
        <v>40652</v>
      </c>
      <c r="M10" s="184">
        <v>41569</v>
      </c>
      <c r="N10" s="480">
        <v>20214.73</v>
      </c>
      <c r="O10" s="478" t="str">
        <f>IFERROR(VLOOKUP(A10,[1]Approval!A:C,3,FALSE),"")</f>
        <v>zINVALID FIN Approval - External</v>
      </c>
      <c r="P10" s="184">
        <f>IFERROR(VLOOKUP(A10,[1]Approval!A:J,10,FALSE),"")</f>
        <v>41346</v>
      </c>
      <c r="R10" s="425">
        <f>2020-YEAR(Table227[[#This Row],[In-
Service
Date]])</f>
        <v>9</v>
      </c>
      <c r="S10" s="308">
        <f>+Table227[[#This Row],[Proj To Date
Actuals]]*1.02^R10</f>
        <v>24158.473599706485</v>
      </c>
    </row>
    <row r="11" spans="1:19" x14ac:dyDescent="0.25">
      <c r="A11" s="476" t="s">
        <v>1240</v>
      </c>
      <c r="B11" s="475" t="s">
        <v>3928</v>
      </c>
      <c r="C11" s="422" t="e">
        <f>VLOOKUP(B11,'Matter &amp; CI#'!$D$4:$E$595,2,FALSE)</f>
        <v>#N/A</v>
      </c>
      <c r="D11" s="476" t="s">
        <v>1241</v>
      </c>
      <c r="E11" s="476" t="s">
        <v>8</v>
      </c>
      <c r="F11" s="476" t="s">
        <v>9</v>
      </c>
      <c r="G11" s="475" t="s">
        <v>2013</v>
      </c>
      <c r="H11" s="516"/>
      <c r="I11" s="477" t="s">
        <v>5</v>
      </c>
      <c r="J11" s="476" t="s">
        <v>6</v>
      </c>
      <c r="K11" s="476" t="s">
        <v>7</v>
      </c>
      <c r="L11" s="184">
        <v>40663</v>
      </c>
      <c r="M11" s="184">
        <v>41569</v>
      </c>
      <c r="N11" s="480">
        <v>1654443.36</v>
      </c>
      <c r="O11" s="478" t="str">
        <f>IFERROR(VLOOKUP(A11,[1]Approval!A:C,3,FALSE),"")</f>
        <v>zINVALID FIN Approval - External</v>
      </c>
      <c r="P11" s="184">
        <f>IFERROR(VLOOKUP(A11,[1]Approval!A:J,10,FALSE),"")</f>
        <v>41380</v>
      </c>
      <c r="R11" s="425">
        <f>2020-YEAR(Table227[[#This Row],[In-
Service
Date]])</f>
        <v>9</v>
      </c>
      <c r="S11" s="308">
        <f>+Table227[[#This Row],[Proj To Date
Actuals]]*1.02^R11</f>
        <v>1977212.9647425266</v>
      </c>
    </row>
    <row r="12" spans="1:19" x14ac:dyDescent="0.25">
      <c r="A12" s="476" t="s">
        <v>508</v>
      </c>
      <c r="B12" s="475" t="s">
        <v>3929</v>
      </c>
      <c r="C12" s="422" t="e">
        <f>VLOOKUP(B12,'Matter &amp; CI#'!$D$4:$E$595,2,FALSE)</f>
        <v>#N/A</v>
      </c>
      <c r="D12" s="476" t="s">
        <v>509</v>
      </c>
      <c r="E12" s="476" t="s">
        <v>8</v>
      </c>
      <c r="F12" s="476" t="s">
        <v>9</v>
      </c>
      <c r="G12" s="475" t="s">
        <v>2013</v>
      </c>
      <c r="H12" s="516"/>
      <c r="I12" s="477" t="s">
        <v>5</v>
      </c>
      <c r="J12" s="476" t="s">
        <v>6</v>
      </c>
      <c r="K12" s="476" t="s">
        <v>7</v>
      </c>
      <c r="L12" s="184">
        <v>40663</v>
      </c>
      <c r="M12" s="184">
        <v>41852</v>
      </c>
      <c r="N12" s="480">
        <v>1962995.76</v>
      </c>
      <c r="O12" s="478" t="str">
        <f>IFERROR(VLOOKUP(A12,[1]Approval!A:C,3,FALSE),"")</f>
        <v>zINVALID FIN Approval - Internal</v>
      </c>
      <c r="P12" s="184">
        <f>IFERROR(VLOOKUP(A12,[1]Approval!A:J,10,FALSE),"")</f>
        <v>41859</v>
      </c>
      <c r="R12" s="425">
        <f>2020-YEAR(Table227[[#This Row],[In-
Service
Date]])</f>
        <v>9</v>
      </c>
      <c r="S12" s="308">
        <f>+Table227[[#This Row],[Proj To Date
Actuals]]*1.02^R12</f>
        <v>2345961.6450131051</v>
      </c>
    </row>
    <row r="13" spans="1:19" x14ac:dyDescent="0.25">
      <c r="A13" s="476" t="s">
        <v>1767</v>
      </c>
      <c r="B13" s="475" t="s">
        <v>3931</v>
      </c>
      <c r="C13" s="422" t="e">
        <f>VLOOKUP(B13,'Matter &amp; CI#'!$D$4:$E$595,2,FALSE)</f>
        <v>#N/A</v>
      </c>
      <c r="D13" s="476" t="s">
        <v>1768</v>
      </c>
      <c r="E13" s="476" t="s">
        <v>8</v>
      </c>
      <c r="F13" s="476" t="s">
        <v>9</v>
      </c>
      <c r="G13" s="475" t="s">
        <v>2013</v>
      </c>
      <c r="H13" s="516"/>
      <c r="I13" s="477" t="s">
        <v>5</v>
      </c>
      <c r="J13" s="476" t="s">
        <v>6</v>
      </c>
      <c r="K13" s="476" t="s">
        <v>7</v>
      </c>
      <c r="L13" s="184">
        <v>40663</v>
      </c>
      <c r="M13" s="184">
        <v>41852</v>
      </c>
      <c r="N13" s="480">
        <v>1120827.6599999999</v>
      </c>
      <c r="O13" s="478" t="str">
        <f>IFERROR(VLOOKUP(A13,[1]Approval!A:C,3,FALSE),"")</f>
        <v>zINVALID FIN Approval - Internal</v>
      </c>
      <c r="P13" s="184">
        <f>IFERROR(VLOOKUP(A13,[1]Approval!A:J,10,FALSE),"")</f>
        <v>41859</v>
      </c>
      <c r="R13" s="425">
        <f>2020-YEAR(Table227[[#This Row],[In-
Service
Date]])</f>
        <v>9</v>
      </c>
      <c r="S13" s="308">
        <f>+Table227[[#This Row],[Proj To Date
Actuals]]*1.02^R13</f>
        <v>1339492.8071723341</v>
      </c>
    </row>
    <row r="14" spans="1:19" x14ac:dyDescent="0.25">
      <c r="A14" s="476" t="s">
        <v>1749</v>
      </c>
      <c r="B14" s="475" t="s">
        <v>3943</v>
      </c>
      <c r="C14" s="422" t="e">
        <f>VLOOKUP(B14,'Matter &amp; CI#'!$D$4:$E$595,2,FALSE)</f>
        <v>#N/A</v>
      </c>
      <c r="D14" s="476" t="s">
        <v>1750</v>
      </c>
      <c r="E14" s="476" t="s">
        <v>8</v>
      </c>
      <c r="F14" s="476" t="s">
        <v>9</v>
      </c>
      <c r="G14" s="475" t="s">
        <v>2013</v>
      </c>
      <c r="H14" s="516"/>
      <c r="I14" s="477" t="s">
        <v>5</v>
      </c>
      <c r="J14" s="476" t="s">
        <v>6</v>
      </c>
      <c r="K14" s="476" t="s">
        <v>7</v>
      </c>
      <c r="L14" s="184">
        <v>40683</v>
      </c>
      <c r="M14" s="184">
        <v>41569</v>
      </c>
      <c r="N14" s="480">
        <v>44895.15</v>
      </c>
      <c r="O14" s="478" t="str">
        <f>IFERROR(VLOOKUP(A14,[1]Approval!A:C,3,FALSE),"")</f>
        <v>zINVALID FIN Approval - External</v>
      </c>
      <c r="P14" s="184">
        <f>IFERROR(VLOOKUP(A14,[1]Approval!A:J,10,FALSE),"")</f>
        <v>41345</v>
      </c>
      <c r="R14" s="425">
        <f>2020-YEAR(Table227[[#This Row],[In-
Service
Date]])</f>
        <v>9</v>
      </c>
      <c r="S14" s="308">
        <f>+Table227[[#This Row],[Proj To Date
Actuals]]*1.02^R14</f>
        <v>53653.860132183938</v>
      </c>
    </row>
    <row r="15" spans="1:19" x14ac:dyDescent="0.25">
      <c r="A15" s="476" t="s">
        <v>1232</v>
      </c>
      <c r="B15" s="475" t="s">
        <v>3941</v>
      </c>
      <c r="C15" s="422" t="e">
        <f>VLOOKUP(B15,'Matter &amp; CI#'!$D$4:$E$595,2,FALSE)</f>
        <v>#N/A</v>
      </c>
      <c r="D15" s="476" t="s">
        <v>1233</v>
      </c>
      <c r="E15" s="476" t="s">
        <v>21</v>
      </c>
      <c r="F15" s="476" t="s">
        <v>9</v>
      </c>
      <c r="G15" s="475" t="s">
        <v>2013</v>
      </c>
      <c r="H15" s="516"/>
      <c r="I15" s="477" t="s">
        <v>5</v>
      </c>
      <c r="J15" s="476" t="s">
        <v>6</v>
      </c>
      <c r="K15" s="476" t="s">
        <v>7</v>
      </c>
      <c r="L15" s="184">
        <v>40724</v>
      </c>
      <c r="M15" s="184">
        <v>41852</v>
      </c>
      <c r="N15" s="480">
        <v>376975.08</v>
      </c>
      <c r="O15" s="478" t="str">
        <f>IFERROR(VLOOKUP(A15,[1]Approval!A:C,3,FALSE),"")</f>
        <v>zINVALID FIN Approval - Internal</v>
      </c>
      <c r="P15" s="184">
        <f>IFERROR(VLOOKUP(A15,[1]Approval!A:J,10,FALSE),"")</f>
        <v>41859</v>
      </c>
      <c r="R15" s="425">
        <f>2020-YEAR(Table227[[#This Row],[In-
Service
Date]])</f>
        <v>9</v>
      </c>
      <c r="S15" s="308">
        <f>+Table227[[#This Row],[Proj To Date
Actuals]]*1.02^R15</f>
        <v>450520.11666380113</v>
      </c>
    </row>
    <row r="16" spans="1:19" x14ac:dyDescent="0.25">
      <c r="A16" s="476" t="s">
        <v>259</v>
      </c>
      <c r="B16" s="475" t="s">
        <v>4006</v>
      </c>
      <c r="C16" s="422" t="e">
        <f>VLOOKUP(B16,'Matter &amp; CI#'!$D$4:$E$595,2,FALSE)</f>
        <v>#N/A</v>
      </c>
      <c r="D16" s="476" t="s">
        <v>260</v>
      </c>
      <c r="E16" s="476" t="s">
        <v>8</v>
      </c>
      <c r="F16" s="476" t="s">
        <v>9</v>
      </c>
      <c r="G16" s="475" t="s">
        <v>2013</v>
      </c>
      <c r="H16" s="516"/>
      <c r="I16" s="477" t="s">
        <v>5</v>
      </c>
      <c r="J16" s="476" t="s">
        <v>43</v>
      </c>
      <c r="K16" s="476" t="s">
        <v>7</v>
      </c>
      <c r="L16" s="184">
        <v>40724</v>
      </c>
      <c r="M16" s="184">
        <v>41228</v>
      </c>
      <c r="N16" s="480">
        <v>88793.96</v>
      </c>
      <c r="O16" s="478" t="str">
        <f>IFERROR(VLOOKUP(A16,[1]Approval!A:C,3,FALSE),"")</f>
        <v>zINVALID FIN Approval - External</v>
      </c>
      <c r="P16" s="184">
        <f>IFERROR(VLOOKUP(A16,[1]Approval!A:J,10,FALSE),"")</f>
        <v>41212</v>
      </c>
      <c r="R16" s="425">
        <f>2020-YEAR(Table227[[#This Row],[In-
Service
Date]])</f>
        <v>9</v>
      </c>
      <c r="S16" s="308">
        <f>+Table227[[#This Row],[Proj To Date
Actuals]]*1.02^R16</f>
        <v>106117.00173454673</v>
      </c>
    </row>
    <row r="17" spans="1:19" x14ac:dyDescent="0.25">
      <c r="A17" s="476" t="s">
        <v>267</v>
      </c>
      <c r="B17" s="475" t="s">
        <v>3974</v>
      </c>
      <c r="C17" s="422" t="e">
        <f>VLOOKUP(B17,'Matter &amp; CI#'!$D$4:$E$595,2,FALSE)</f>
        <v>#N/A</v>
      </c>
      <c r="D17" s="476" t="s">
        <v>268</v>
      </c>
      <c r="E17" s="476" t="s">
        <v>8</v>
      </c>
      <c r="F17" s="476" t="s">
        <v>9</v>
      </c>
      <c r="G17" s="475" t="s">
        <v>2013</v>
      </c>
      <c r="H17" s="516"/>
      <c r="I17" s="477" t="s">
        <v>5</v>
      </c>
      <c r="J17" s="476" t="s">
        <v>6</v>
      </c>
      <c r="K17" s="476" t="s">
        <v>7</v>
      </c>
      <c r="L17" s="184">
        <v>40743</v>
      </c>
      <c r="M17" s="184">
        <v>41213</v>
      </c>
      <c r="N17" s="480">
        <v>54206.13</v>
      </c>
      <c r="O17" s="478" t="str">
        <f>IFERROR(VLOOKUP(A17,[1]Approval!A:C,3,FALSE),"")</f>
        <v>zINVALID FIN Approval - External</v>
      </c>
      <c r="P17" s="184">
        <f>IFERROR(VLOOKUP(A17,[1]Approval!A:J,10,FALSE),"")</f>
        <v>41197</v>
      </c>
      <c r="R17" s="425">
        <f>2020-YEAR(Table227[[#This Row],[In-
Service
Date]])</f>
        <v>9</v>
      </c>
      <c r="S17" s="308">
        <f>+Table227[[#This Row],[Proj To Date
Actuals]]*1.02^R17</f>
        <v>64781.3431367749</v>
      </c>
    </row>
    <row r="18" spans="1:19" x14ac:dyDescent="0.25">
      <c r="A18" s="476" t="s">
        <v>1500</v>
      </c>
      <c r="B18" s="475" t="s">
        <v>3975</v>
      </c>
      <c r="C18" s="422" t="e">
        <f>VLOOKUP(B18,'Matter &amp; CI#'!$D$4:$E$595,2,FALSE)</f>
        <v>#N/A</v>
      </c>
      <c r="D18" s="476" t="s">
        <v>1501</v>
      </c>
      <c r="E18" s="476" t="s">
        <v>8</v>
      </c>
      <c r="F18" s="476" t="s">
        <v>9</v>
      </c>
      <c r="G18" s="475" t="s">
        <v>2013</v>
      </c>
      <c r="H18" s="516"/>
      <c r="I18" s="477" t="s">
        <v>5</v>
      </c>
      <c r="J18" s="476" t="s">
        <v>6</v>
      </c>
      <c r="K18" s="476" t="s">
        <v>7</v>
      </c>
      <c r="L18" s="184">
        <v>40743</v>
      </c>
      <c r="M18" s="184">
        <v>41569</v>
      </c>
      <c r="N18" s="480">
        <v>18134.330000000002</v>
      </c>
      <c r="O18" s="478" t="str">
        <f>IFERROR(VLOOKUP(A18,[1]Approval!A:C,3,FALSE),"")</f>
        <v>zINVALID FIN Approval - External</v>
      </c>
      <c r="P18" s="184">
        <f>IFERROR(VLOOKUP(A18,[1]Approval!A:J,10,FALSE),"")</f>
        <v>41345</v>
      </c>
      <c r="R18" s="425">
        <f>2020-YEAR(Table227[[#This Row],[In-
Service
Date]])</f>
        <v>9</v>
      </c>
      <c r="S18" s="308">
        <f>+Table227[[#This Row],[Proj To Date
Actuals]]*1.02^R18</f>
        <v>21672.203019944631</v>
      </c>
    </row>
    <row r="19" spans="1:19" x14ac:dyDescent="0.25">
      <c r="A19" s="476" t="s">
        <v>1763</v>
      </c>
      <c r="B19" s="475" t="s">
        <v>3985</v>
      </c>
      <c r="C19" s="422" t="e">
        <f>VLOOKUP(B19,'Matter &amp; CI#'!$D$4:$E$595,2,FALSE)</f>
        <v>#N/A</v>
      </c>
      <c r="D19" s="476" t="s">
        <v>1764</v>
      </c>
      <c r="E19" s="476" t="s">
        <v>8</v>
      </c>
      <c r="F19" s="476" t="s">
        <v>9</v>
      </c>
      <c r="G19" s="475" t="s">
        <v>2013</v>
      </c>
      <c r="H19" s="516"/>
      <c r="I19" s="477" t="s">
        <v>5</v>
      </c>
      <c r="J19" s="476" t="s">
        <v>6</v>
      </c>
      <c r="K19" s="476" t="s">
        <v>7</v>
      </c>
      <c r="L19" s="184">
        <v>40743</v>
      </c>
      <c r="M19" s="184">
        <v>42460</v>
      </c>
      <c r="N19" s="480">
        <v>48835.29</v>
      </c>
      <c r="O19" s="478" t="str">
        <f>IFERROR(VLOOKUP(A19,[1]Approval!A:C,3,FALSE),"")</f>
        <v>zINVALID FIN Approval - External</v>
      </c>
      <c r="P19" s="184">
        <f>IFERROR(VLOOKUP(A19,[1]Approval!A:J,10,FALSE),"")</f>
        <v>41380</v>
      </c>
      <c r="R19" s="425">
        <f>2020-YEAR(Table227[[#This Row],[In-
Service
Date]])</f>
        <v>9</v>
      </c>
      <c r="S19" s="308">
        <f>+Table227[[#This Row],[Proj To Date
Actuals]]*1.02^R19</f>
        <v>58362.692165515451</v>
      </c>
    </row>
    <row r="20" spans="1:19" x14ac:dyDescent="0.25">
      <c r="A20" s="476" t="s">
        <v>271</v>
      </c>
      <c r="B20" s="475" t="s">
        <v>4032</v>
      </c>
      <c r="C20" s="422" t="e">
        <f>VLOOKUP(B20,'Matter &amp; CI#'!$D$4:$E$595,2,FALSE)</f>
        <v>#N/A</v>
      </c>
      <c r="D20" s="476" t="s">
        <v>272</v>
      </c>
      <c r="E20" s="476" t="s">
        <v>8</v>
      </c>
      <c r="F20" s="476" t="s">
        <v>9</v>
      </c>
      <c r="G20" s="475" t="s">
        <v>2013</v>
      </c>
      <c r="H20" s="516"/>
      <c r="I20" s="477" t="s">
        <v>5</v>
      </c>
      <c r="J20" s="476" t="s">
        <v>14</v>
      </c>
      <c r="K20" s="476" t="s">
        <v>7</v>
      </c>
      <c r="L20" s="184">
        <v>40743</v>
      </c>
      <c r="M20" s="184">
        <v>41213</v>
      </c>
      <c r="N20" s="480">
        <v>87390.27</v>
      </c>
      <c r="O20" s="478" t="str">
        <f>IFERROR(VLOOKUP(A20,[1]Approval!A:C,3,FALSE),"")</f>
        <v>zINVALID FIN Approval - External</v>
      </c>
      <c r="P20" s="184">
        <f>IFERROR(VLOOKUP(A20,[1]Approval!A:J,10,FALSE),"")</f>
        <v>41198</v>
      </c>
      <c r="R20" s="425">
        <f>2020-YEAR(Table227[[#This Row],[In-
Service
Date]])</f>
        <v>9</v>
      </c>
      <c r="S20" s="308">
        <f>+Table227[[#This Row],[Proj To Date
Actuals]]*1.02^R20</f>
        <v>104439.46224689728</v>
      </c>
    </row>
    <row r="21" spans="1:19" x14ac:dyDescent="0.25">
      <c r="A21" s="476" t="s">
        <v>994</v>
      </c>
      <c r="B21" s="475" t="s">
        <v>3947</v>
      </c>
      <c r="C21" s="422" t="e">
        <f>VLOOKUP(B21,'Matter &amp; CI#'!$D$4:$E$595,2,FALSE)</f>
        <v>#N/A</v>
      </c>
      <c r="D21" s="476" t="s">
        <v>995</v>
      </c>
      <c r="E21" s="476" t="s">
        <v>21</v>
      </c>
      <c r="F21" s="476" t="s">
        <v>9</v>
      </c>
      <c r="G21" s="475" t="s">
        <v>2013</v>
      </c>
      <c r="H21" s="516"/>
      <c r="I21" s="477" t="s">
        <v>5</v>
      </c>
      <c r="J21" s="476" t="s">
        <v>6</v>
      </c>
      <c r="K21" s="476" t="s">
        <v>7</v>
      </c>
      <c r="L21" s="184">
        <v>40761</v>
      </c>
      <c r="M21" s="184">
        <v>42490</v>
      </c>
      <c r="N21" s="480">
        <v>614636.19999999995</v>
      </c>
      <c r="O21" s="478" t="str">
        <f>IFERROR(VLOOKUP(A21,[1]Approval!A:C,3,FALSE),"")</f>
        <v>FIN Approval - Internal</v>
      </c>
      <c r="P21" s="184">
        <f>IFERROR(VLOOKUP(A21,[1]Approval!A:J,10,FALSE),"")</f>
        <v>42478</v>
      </c>
      <c r="R21" s="425">
        <f>2020-YEAR(Table227[[#This Row],[In-
Service
Date]])</f>
        <v>9</v>
      </c>
      <c r="S21" s="308">
        <f>+Table227[[#This Row],[Proj To Date
Actuals]]*1.02^R21</f>
        <v>734547.15502625634</v>
      </c>
    </row>
    <row r="22" spans="1:19" x14ac:dyDescent="0.25">
      <c r="A22" s="476" t="s">
        <v>279</v>
      </c>
      <c r="B22" s="475" t="s">
        <v>3938</v>
      </c>
      <c r="C22" s="422" t="e">
        <f>VLOOKUP(B22,'Matter &amp; CI#'!$D$4:$E$595,2,FALSE)</f>
        <v>#N/A</v>
      </c>
      <c r="D22" s="476" t="s">
        <v>280</v>
      </c>
      <c r="E22" s="476" t="s">
        <v>8</v>
      </c>
      <c r="F22" s="476" t="s">
        <v>9</v>
      </c>
      <c r="G22" s="475" t="s">
        <v>2013</v>
      </c>
      <c r="H22" s="516"/>
      <c r="I22" s="477" t="s">
        <v>5</v>
      </c>
      <c r="J22" s="476" t="s">
        <v>8</v>
      </c>
      <c r="K22" s="476" t="s">
        <v>7</v>
      </c>
      <c r="L22" s="184">
        <v>40763</v>
      </c>
      <c r="M22" s="184">
        <v>41859</v>
      </c>
      <c r="N22" s="480">
        <v>347465.23</v>
      </c>
      <c r="O22" s="478" t="str">
        <f>IFERROR(VLOOKUP(A22,[1]Approval!A:C,3,FALSE),"")</f>
        <v>FIN Approval - Internal</v>
      </c>
      <c r="P22" s="184">
        <f>IFERROR(VLOOKUP(A22,[1]Approval!A:J,10,FALSE),"")</f>
        <v>41859</v>
      </c>
      <c r="R22" s="425">
        <f>2020-YEAR(Table227[[#This Row],[In-
Service
Date]])</f>
        <v>9</v>
      </c>
      <c r="S22" s="308">
        <f>+Table227[[#This Row],[Proj To Date
Actuals]]*1.02^R22</f>
        <v>415253.11422764201</v>
      </c>
    </row>
    <row r="23" spans="1:19" x14ac:dyDescent="0.25">
      <c r="A23" s="476" t="s">
        <v>1494</v>
      </c>
      <c r="B23" s="475" t="s">
        <v>3963</v>
      </c>
      <c r="C23" s="422" t="e">
        <f>VLOOKUP(B23,'Matter &amp; CI#'!$D$4:$E$595,2,FALSE)</f>
        <v>#N/A</v>
      </c>
      <c r="D23" s="476" t="s">
        <v>1495</v>
      </c>
      <c r="E23" s="476" t="s">
        <v>8</v>
      </c>
      <c r="F23" s="476" t="s">
        <v>9</v>
      </c>
      <c r="G23" s="475" t="s">
        <v>2013</v>
      </c>
      <c r="H23" s="516"/>
      <c r="I23" s="477" t="s">
        <v>5</v>
      </c>
      <c r="J23" s="476" t="s">
        <v>6</v>
      </c>
      <c r="K23" s="476" t="s">
        <v>7</v>
      </c>
      <c r="L23" s="184">
        <v>40779</v>
      </c>
      <c r="M23" s="184">
        <v>41964</v>
      </c>
      <c r="N23" s="480">
        <v>700082.5</v>
      </c>
      <c r="O23" s="478" t="str">
        <f>IFERROR(VLOOKUP(A23,[1]Approval!A:C,3,FALSE),"")</f>
        <v>FIN Approval - Internal</v>
      </c>
      <c r="P23" s="184">
        <f>IFERROR(VLOOKUP(A23,[1]Approval!A:J,10,FALSE),"")</f>
        <v>41964</v>
      </c>
      <c r="R23" s="425">
        <f>2020-YEAR(Table227[[#This Row],[In-
Service
Date]])</f>
        <v>9</v>
      </c>
      <c r="S23" s="308">
        <f>+Table227[[#This Row],[Proj To Date
Actuals]]*1.02^R23</f>
        <v>836663.39317252894</v>
      </c>
    </row>
    <row r="24" spans="1:19" x14ac:dyDescent="0.25">
      <c r="A24" s="476" t="s">
        <v>745</v>
      </c>
      <c r="B24" s="475" t="s">
        <v>4014</v>
      </c>
      <c r="C24" s="422" t="e">
        <f>VLOOKUP(B24,'Matter &amp; CI#'!$D$4:$E$595,2,FALSE)</f>
        <v>#N/A</v>
      </c>
      <c r="D24" s="476" t="s">
        <v>746</v>
      </c>
      <c r="E24" s="476" t="s">
        <v>10</v>
      </c>
      <c r="F24" s="476" t="s">
        <v>9</v>
      </c>
      <c r="G24" s="475" t="s">
        <v>2013</v>
      </c>
      <c r="H24" s="516"/>
      <c r="I24" s="477" t="s">
        <v>5</v>
      </c>
      <c r="J24" s="476" t="s">
        <v>14</v>
      </c>
      <c r="K24" s="476" t="s">
        <v>7</v>
      </c>
      <c r="L24" s="184">
        <v>40779</v>
      </c>
      <c r="M24" s="184">
        <v>42124</v>
      </c>
      <c r="N24" s="480">
        <v>148484.46</v>
      </c>
      <c r="O24" s="478" t="str">
        <f>IFERROR(VLOOKUP(A24,[1]Approval!A:C,3,FALSE),"")</f>
        <v>FIN Approval - Internal</v>
      </c>
      <c r="P24" s="184">
        <f>IFERROR(VLOOKUP(A24,[1]Approval!A:J,10,FALSE),"")</f>
        <v>42418</v>
      </c>
      <c r="R24" s="425">
        <f>2020-YEAR(Table227[[#This Row],[In-
Service
Date]])</f>
        <v>9</v>
      </c>
      <c r="S24" s="308">
        <f>+Table227[[#This Row],[Proj To Date
Actuals]]*1.02^R24</f>
        <v>177452.67470189676</v>
      </c>
    </row>
    <row r="25" spans="1:19" x14ac:dyDescent="0.25">
      <c r="A25" s="476" t="s">
        <v>1769</v>
      </c>
      <c r="B25" s="475" t="s">
        <v>4034</v>
      </c>
      <c r="C25" s="422" t="e">
        <f>VLOOKUP(B25,'Matter &amp; CI#'!$D$4:$E$595,2,FALSE)</f>
        <v>#N/A</v>
      </c>
      <c r="D25" s="476" t="s">
        <v>1770</v>
      </c>
      <c r="E25" s="476" t="s">
        <v>8</v>
      </c>
      <c r="F25" s="476" t="s">
        <v>9</v>
      </c>
      <c r="G25" s="475" t="s">
        <v>2013</v>
      </c>
      <c r="H25" s="516"/>
      <c r="I25" s="477" t="s">
        <v>5</v>
      </c>
      <c r="J25" s="476" t="s">
        <v>8</v>
      </c>
      <c r="K25" s="476" t="s">
        <v>7</v>
      </c>
      <c r="L25" s="184">
        <v>40779</v>
      </c>
      <c r="M25" s="184">
        <v>41964</v>
      </c>
      <c r="N25" s="480">
        <v>287402.15000000002</v>
      </c>
      <c r="O25" s="478" t="str">
        <f>IFERROR(VLOOKUP(A25,[1]Approval!A:C,3,FALSE),"")</f>
        <v>FIN Approval - Internal</v>
      </c>
      <c r="P25" s="184">
        <f>IFERROR(VLOOKUP(A25,[1]Approval!A:J,10,FALSE),"")</f>
        <v>41964</v>
      </c>
      <c r="R25" s="425">
        <f>2020-YEAR(Table227[[#This Row],[In-
Service
Date]])</f>
        <v>9</v>
      </c>
      <c r="S25" s="308">
        <f>+Table227[[#This Row],[Proj To Date
Actuals]]*1.02^R25</f>
        <v>343472.17367107468</v>
      </c>
    </row>
    <row r="26" spans="1:19" x14ac:dyDescent="0.25">
      <c r="A26" s="476" t="s">
        <v>1488</v>
      </c>
      <c r="B26" s="475" t="s">
        <v>3971</v>
      </c>
      <c r="C26" s="422" t="e">
        <f>VLOOKUP(B26,'Matter &amp; CI#'!$D$4:$E$595,2,FALSE)</f>
        <v>#N/A</v>
      </c>
      <c r="D26" s="476" t="s">
        <v>1489</v>
      </c>
      <c r="E26" s="476" t="s">
        <v>8</v>
      </c>
      <c r="F26" s="476" t="s">
        <v>9</v>
      </c>
      <c r="G26" s="475" t="s">
        <v>2013</v>
      </c>
      <c r="H26" s="516"/>
      <c r="I26" s="477" t="s">
        <v>5</v>
      </c>
      <c r="J26" s="476" t="s">
        <v>14</v>
      </c>
      <c r="K26" s="476" t="s">
        <v>7</v>
      </c>
      <c r="L26" s="184">
        <v>40806</v>
      </c>
      <c r="M26" s="184">
        <v>41212</v>
      </c>
      <c r="N26" s="480">
        <v>99497.57</v>
      </c>
      <c r="O26" s="478" t="str">
        <f>IFERROR(VLOOKUP(A26,[1]Approval!A:C,3,FALSE),"")</f>
        <v>zINVALID FIN Approval - External</v>
      </c>
      <c r="P26" s="184">
        <f>IFERROR(VLOOKUP(A26,[1]Approval!A:J,10,FALSE),"")</f>
        <v>41179</v>
      </c>
      <c r="R26" s="425">
        <f>2020-YEAR(Table227[[#This Row],[In-
Service
Date]])</f>
        <v>9</v>
      </c>
      <c r="S26" s="308">
        <f>+Table227[[#This Row],[Proj To Date
Actuals]]*1.02^R26</f>
        <v>118908.80650297819</v>
      </c>
    </row>
    <row r="27" spans="1:19" x14ac:dyDescent="0.25">
      <c r="A27" s="476" t="s">
        <v>972</v>
      </c>
      <c r="B27" s="475" t="s">
        <v>4012</v>
      </c>
      <c r="C27" s="422" t="e">
        <f>VLOOKUP(B27,'Matter &amp; CI#'!$D$4:$E$595,2,FALSE)</f>
        <v>#N/A</v>
      </c>
      <c r="D27" s="476" t="s">
        <v>973</v>
      </c>
      <c r="E27" s="476" t="s">
        <v>8</v>
      </c>
      <c r="F27" s="476" t="s">
        <v>9</v>
      </c>
      <c r="G27" s="475" t="s">
        <v>2013</v>
      </c>
      <c r="H27" s="516"/>
      <c r="I27" s="477" t="s">
        <v>5</v>
      </c>
      <c r="J27" s="476" t="s">
        <v>14</v>
      </c>
      <c r="K27" s="476" t="s">
        <v>7</v>
      </c>
      <c r="L27" s="184">
        <v>40806</v>
      </c>
      <c r="M27" s="184">
        <v>41213</v>
      </c>
      <c r="N27" s="480">
        <v>201332.68</v>
      </c>
      <c r="O27" s="478" t="str">
        <f>IFERROR(VLOOKUP(A27,[1]Approval!A:C,3,FALSE),"")</f>
        <v>zINVALID FIN Approval - External</v>
      </c>
      <c r="P27" s="184">
        <f>IFERROR(VLOOKUP(A27,[1]Approval!A:J,10,FALSE),"")</f>
        <v>41197</v>
      </c>
      <c r="R27" s="425">
        <f>2020-YEAR(Table227[[#This Row],[In-
Service
Date]])</f>
        <v>9</v>
      </c>
      <c r="S27" s="308">
        <f>+Table227[[#This Row],[Proj To Date
Actuals]]*1.02^R27</f>
        <v>240611.18968881373</v>
      </c>
    </row>
    <row r="28" spans="1:19" x14ac:dyDescent="0.25">
      <c r="A28" s="476" t="s">
        <v>275</v>
      </c>
      <c r="B28" s="475" t="s">
        <v>4069</v>
      </c>
      <c r="C28" s="422" t="e">
        <f>VLOOKUP(B28,'Matter &amp; CI#'!$D$4:$E$595,2,FALSE)</f>
        <v>#N/A</v>
      </c>
      <c r="D28" s="476" t="s">
        <v>276</v>
      </c>
      <c r="E28" s="476" t="s">
        <v>8</v>
      </c>
      <c r="F28" s="476" t="s">
        <v>9</v>
      </c>
      <c r="G28" s="475" t="s">
        <v>2013</v>
      </c>
      <c r="H28" s="516"/>
      <c r="I28" s="477" t="s">
        <v>5</v>
      </c>
      <c r="J28" s="476" t="s">
        <v>43</v>
      </c>
      <c r="K28" s="476" t="s">
        <v>7</v>
      </c>
      <c r="L28" s="184">
        <v>40815</v>
      </c>
      <c r="M28" s="184">
        <v>40908</v>
      </c>
      <c r="N28" s="480">
        <v>230861.19</v>
      </c>
      <c r="O28" s="478" t="str">
        <f>IFERROR(VLOOKUP(A28,[1]Approval!A:C,3,FALSE),"")</f>
        <v/>
      </c>
      <c r="P28" s="184" t="str">
        <f>IFERROR(VLOOKUP(A28,[1]Approval!A:J,10,FALSE),"")</f>
        <v/>
      </c>
      <c r="R28" s="425">
        <f>2020-YEAR(Table227[[#This Row],[In-
Service
Date]])</f>
        <v>9</v>
      </c>
      <c r="S28" s="308">
        <f>+Table227[[#This Row],[Proj To Date
Actuals]]*1.02^R28</f>
        <v>275900.49255230336</v>
      </c>
    </row>
    <row r="29" spans="1:19" x14ac:dyDescent="0.25">
      <c r="A29" s="476" t="s">
        <v>749</v>
      </c>
      <c r="B29" s="475" t="s">
        <v>4004</v>
      </c>
      <c r="C29" s="422" t="e">
        <f>VLOOKUP(B29,'Matter &amp; CI#'!$D$4:$E$595,2,FALSE)</f>
        <v>#N/A</v>
      </c>
      <c r="D29" s="476" t="s">
        <v>750</v>
      </c>
      <c r="E29" s="476" t="s">
        <v>8</v>
      </c>
      <c r="F29" s="476" t="s">
        <v>9</v>
      </c>
      <c r="G29" s="475" t="s">
        <v>2013</v>
      </c>
      <c r="H29" s="516"/>
      <c r="I29" s="477" t="s">
        <v>5</v>
      </c>
      <c r="J29" s="476" t="s">
        <v>6</v>
      </c>
      <c r="K29" s="476" t="s">
        <v>7</v>
      </c>
      <c r="L29" s="184">
        <v>40816</v>
      </c>
      <c r="M29" s="184">
        <v>41213</v>
      </c>
      <c r="N29" s="480">
        <v>212259.95</v>
      </c>
      <c r="O29" s="478" t="str">
        <f>IFERROR(VLOOKUP(A29,[1]Approval!A:C,3,FALSE),"")</f>
        <v>zINVALID FIN Approval - External</v>
      </c>
      <c r="P29" s="184">
        <f>IFERROR(VLOOKUP(A29,[1]Approval!A:J,10,FALSE),"")</f>
        <v>41197</v>
      </c>
      <c r="R29" s="425">
        <f>2020-YEAR(Table227[[#This Row],[In-
Service
Date]])</f>
        <v>9</v>
      </c>
      <c r="S29" s="308">
        <f>+Table227[[#This Row],[Proj To Date
Actuals]]*1.02^R29</f>
        <v>253670.28886114329</v>
      </c>
    </row>
    <row r="30" spans="1:19" x14ac:dyDescent="0.25">
      <c r="A30" s="476" t="s">
        <v>741</v>
      </c>
      <c r="B30" s="475" t="s">
        <v>4023</v>
      </c>
      <c r="C30" s="422" t="e">
        <f>VLOOKUP(B30,'Matter &amp; CI#'!$D$4:$E$595,2,FALSE)</f>
        <v>#N/A</v>
      </c>
      <c r="D30" s="476" t="s">
        <v>742</v>
      </c>
      <c r="E30" s="476" t="s">
        <v>10</v>
      </c>
      <c r="F30" s="476" t="s">
        <v>9</v>
      </c>
      <c r="G30" s="475" t="s">
        <v>2013</v>
      </c>
      <c r="H30" s="516"/>
      <c r="I30" s="477" t="s">
        <v>5</v>
      </c>
      <c r="J30" s="476" t="s">
        <v>14</v>
      </c>
      <c r="K30" s="476" t="s">
        <v>7</v>
      </c>
      <c r="L30" s="184">
        <v>40816</v>
      </c>
      <c r="M30" s="184">
        <v>42400</v>
      </c>
      <c r="N30" s="480">
        <v>433244.01</v>
      </c>
      <c r="O30" s="478" t="str">
        <f>IFERROR(VLOOKUP(A30,[1]Approval!A:C,3,FALSE),"")</f>
        <v>FIN Approval - Internal</v>
      </c>
      <c r="P30" s="184">
        <f>IFERROR(VLOOKUP(A30,[1]Approval!A:J,10,FALSE),"")</f>
        <v>42418</v>
      </c>
      <c r="R30" s="425">
        <f>2020-YEAR(Table227[[#This Row],[In-
Service
Date]])</f>
        <v>9</v>
      </c>
      <c r="S30" s="308">
        <f>+Table227[[#This Row],[Proj To Date
Actuals]]*1.02^R30</f>
        <v>517766.6967511301</v>
      </c>
    </row>
    <row r="31" spans="1:19" x14ac:dyDescent="0.25">
      <c r="A31" s="476" t="s">
        <v>273</v>
      </c>
      <c r="B31" s="475" t="s">
        <v>4033</v>
      </c>
      <c r="C31" s="422" t="e">
        <f>VLOOKUP(B31,'Matter &amp; CI#'!$D$4:$E$595,2,FALSE)</f>
        <v>#N/A</v>
      </c>
      <c r="D31" s="476" t="s">
        <v>274</v>
      </c>
      <c r="E31" s="476" t="s">
        <v>8</v>
      </c>
      <c r="F31" s="476" t="s">
        <v>9</v>
      </c>
      <c r="G31" s="475" t="s">
        <v>2013</v>
      </c>
      <c r="H31" s="516"/>
      <c r="I31" s="477" t="s">
        <v>5</v>
      </c>
      <c r="J31" s="476" t="s">
        <v>12</v>
      </c>
      <c r="K31" s="476" t="s">
        <v>7</v>
      </c>
      <c r="L31" s="184">
        <v>40816</v>
      </c>
      <c r="M31" s="184">
        <v>41213</v>
      </c>
      <c r="N31" s="480">
        <v>139198.39000000001</v>
      </c>
      <c r="O31" s="478" t="str">
        <f>IFERROR(VLOOKUP(A31,[1]Approval!A:C,3,FALSE),"")</f>
        <v>zINVALID FIN Approval - External</v>
      </c>
      <c r="P31" s="184">
        <f>IFERROR(VLOOKUP(A31,[1]Approval!A:J,10,FALSE),"")</f>
        <v>41198</v>
      </c>
      <c r="R31" s="425">
        <f>2020-YEAR(Table227[[#This Row],[In-
Service
Date]])</f>
        <v>9</v>
      </c>
      <c r="S31" s="308">
        <f>+Table227[[#This Row],[Proj To Date
Actuals]]*1.02^R31</f>
        <v>166354.96145319019</v>
      </c>
    </row>
    <row r="32" spans="1:19" x14ac:dyDescent="0.25">
      <c r="A32" s="476" t="s">
        <v>1751</v>
      </c>
      <c r="B32" s="475" t="s">
        <v>4010</v>
      </c>
      <c r="C32" s="422" t="e">
        <f>VLOOKUP(B32,'Matter &amp; CI#'!$D$4:$E$595,2,FALSE)</f>
        <v>#N/A</v>
      </c>
      <c r="D32" s="476" t="s">
        <v>1752</v>
      </c>
      <c r="E32" s="476" t="s">
        <v>8</v>
      </c>
      <c r="F32" s="476" t="s">
        <v>9</v>
      </c>
      <c r="G32" s="475" t="s">
        <v>2013</v>
      </c>
      <c r="H32" s="516"/>
      <c r="I32" s="477" t="s">
        <v>5</v>
      </c>
      <c r="J32" s="476" t="s">
        <v>12</v>
      </c>
      <c r="K32" s="476" t="s">
        <v>7</v>
      </c>
      <c r="L32" s="184">
        <v>40819</v>
      </c>
      <c r="M32" s="184">
        <v>41213</v>
      </c>
      <c r="N32" s="480">
        <v>67301.14</v>
      </c>
      <c r="O32" s="478" t="str">
        <f>IFERROR(VLOOKUP(A32,[1]Approval!A:C,3,FALSE),"")</f>
        <v>zINVALID FIN Approval - External</v>
      </c>
      <c r="P32" s="184">
        <f>IFERROR(VLOOKUP(A32,[1]Approval!A:J,10,FALSE),"")</f>
        <v>41197</v>
      </c>
      <c r="R32" s="425">
        <f>2020-YEAR(Table227[[#This Row],[In-
Service
Date]])</f>
        <v>9</v>
      </c>
      <c r="S32" s="308">
        <f>+Table227[[#This Row],[Proj To Date
Actuals]]*1.02^R32</f>
        <v>80431.092273809743</v>
      </c>
    </row>
    <row r="33" spans="1:19" x14ac:dyDescent="0.25">
      <c r="A33" s="476" t="s">
        <v>1242</v>
      </c>
      <c r="B33" s="475" t="s">
        <v>4035</v>
      </c>
      <c r="C33" s="422" t="e">
        <f>VLOOKUP(B33,'Matter &amp; CI#'!$D$4:$E$595,2,FALSE)</f>
        <v>#N/A</v>
      </c>
      <c r="D33" s="476" t="s">
        <v>1243</v>
      </c>
      <c r="E33" s="476" t="s">
        <v>10</v>
      </c>
      <c r="F33" s="476" t="s">
        <v>9</v>
      </c>
      <c r="G33" s="475" t="s">
        <v>2013</v>
      </c>
      <c r="H33" s="516"/>
      <c r="I33" s="477" t="s">
        <v>5</v>
      </c>
      <c r="J33" s="476" t="s">
        <v>40</v>
      </c>
      <c r="K33" s="476" t="s">
        <v>7</v>
      </c>
      <c r="L33" s="184">
        <v>40819</v>
      </c>
      <c r="M33" s="184">
        <v>42752</v>
      </c>
      <c r="N33" s="480">
        <v>96988.28</v>
      </c>
      <c r="O33" s="478" t="str">
        <f>IFERROR(VLOOKUP(A33,[1]Approval!A:C,3,FALSE),"")</f>
        <v>FIN Approval - Internal</v>
      </c>
      <c r="P33" s="184">
        <f>IFERROR(VLOOKUP(A33,[1]Approval!A:J,10,FALSE),"")</f>
        <v>42752</v>
      </c>
      <c r="R33" s="425">
        <f>2020-YEAR(Table227[[#This Row],[In-
Service
Date]])</f>
        <v>9</v>
      </c>
      <c r="S33" s="308">
        <f>+Table227[[#This Row],[Proj To Date
Actuals]]*1.02^R33</f>
        <v>115909.97267145989</v>
      </c>
    </row>
    <row r="34" spans="1:19" x14ac:dyDescent="0.25">
      <c r="A34" s="476" t="s">
        <v>63</v>
      </c>
      <c r="B34" s="475" t="s">
        <v>4036</v>
      </c>
      <c r="C34" s="422" t="e">
        <f>VLOOKUP(B34,'Matter &amp; CI#'!$D$4:$E$595,2,FALSE)</f>
        <v>#N/A</v>
      </c>
      <c r="D34" s="476" t="s">
        <v>64</v>
      </c>
      <c r="E34" s="476" t="s">
        <v>27</v>
      </c>
      <c r="F34" s="476" t="s">
        <v>9</v>
      </c>
      <c r="G34" s="475" t="s">
        <v>2013</v>
      </c>
      <c r="H34" s="516"/>
      <c r="I34" s="477" t="s">
        <v>5</v>
      </c>
      <c r="J34" s="476" t="s">
        <v>40</v>
      </c>
      <c r="K34" s="476" t="s">
        <v>7</v>
      </c>
      <c r="L34" s="184">
        <v>40819</v>
      </c>
      <c r="M34" s="184">
        <v>42400</v>
      </c>
      <c r="N34" s="480">
        <v>68400.91</v>
      </c>
      <c r="O34" s="478" t="str">
        <f>IFERROR(VLOOKUP(A34,[1]Approval!A:C,3,FALSE),"")</f>
        <v>zINVALID FIN Approval - Internal</v>
      </c>
      <c r="P34" s="184">
        <f>IFERROR(VLOOKUP(A34,[1]Approval!A:J,10,FALSE),"")</f>
        <v>42418</v>
      </c>
      <c r="R34" s="425">
        <f>2020-YEAR(Table227[[#This Row],[In-
Service
Date]])</f>
        <v>9</v>
      </c>
      <c r="S34" s="308">
        <f>+Table227[[#This Row],[Proj To Date
Actuals]]*1.02^R34</f>
        <v>81745.419228003506</v>
      </c>
    </row>
    <row r="35" spans="1:19" x14ac:dyDescent="0.25">
      <c r="A35" s="476" t="s">
        <v>1230</v>
      </c>
      <c r="B35" s="475" t="s">
        <v>3972</v>
      </c>
      <c r="C35" s="422" t="e">
        <f>VLOOKUP(B35,'Matter &amp; CI#'!$D$4:$E$595,2,FALSE)</f>
        <v>#N/A</v>
      </c>
      <c r="D35" s="476" t="s">
        <v>1231</v>
      </c>
      <c r="E35" s="476" t="s">
        <v>8</v>
      </c>
      <c r="F35" s="476" t="s">
        <v>9</v>
      </c>
      <c r="G35" s="475" t="s">
        <v>2013</v>
      </c>
      <c r="H35" s="516"/>
      <c r="I35" s="477" t="s">
        <v>5</v>
      </c>
      <c r="J35" s="476" t="s">
        <v>43</v>
      </c>
      <c r="K35" s="476" t="s">
        <v>7</v>
      </c>
      <c r="L35" s="184">
        <v>40847</v>
      </c>
      <c r="M35" s="184">
        <v>42124</v>
      </c>
      <c r="N35" s="480">
        <v>7.79</v>
      </c>
      <c r="O35" s="478" t="str">
        <f>IFERROR(VLOOKUP(A35,[1]Approval!A:C,3,FALSE),"")</f>
        <v>FIN Approval - Internal</v>
      </c>
      <c r="P35" s="184">
        <f>IFERROR(VLOOKUP(A35,[1]Approval!A:J,10,FALSE),"")</f>
        <v>42111</v>
      </c>
      <c r="R35" s="425">
        <f>2020-YEAR(Table227[[#This Row],[In-
Service
Date]])</f>
        <v>9</v>
      </c>
      <c r="S35" s="308">
        <f>+Table227[[#This Row],[Proj To Date
Actuals]]*1.02^R35</f>
        <v>9.3097711095678015</v>
      </c>
    </row>
    <row r="36" spans="1:19" x14ac:dyDescent="0.25">
      <c r="A36" s="476" t="s">
        <v>516</v>
      </c>
      <c r="B36" s="475" t="s">
        <v>4114</v>
      </c>
      <c r="C36" s="422" t="e">
        <f>VLOOKUP(B36,'Matter &amp; CI#'!$D$4:$E$595,2,FALSE)</f>
        <v>#N/A</v>
      </c>
      <c r="D36" s="476" t="s">
        <v>517</v>
      </c>
      <c r="E36" s="476" t="s">
        <v>8</v>
      </c>
      <c r="F36" s="476" t="s">
        <v>9</v>
      </c>
      <c r="G36" s="475" t="s">
        <v>2013</v>
      </c>
      <c r="H36" s="516"/>
      <c r="I36" s="477" t="s">
        <v>5</v>
      </c>
      <c r="J36" s="476" t="s">
        <v>43</v>
      </c>
      <c r="K36" s="476" t="s">
        <v>7</v>
      </c>
      <c r="L36" s="184">
        <v>40847</v>
      </c>
      <c r="M36" s="184">
        <v>41213</v>
      </c>
      <c r="N36" s="480">
        <v>111201.72</v>
      </c>
      <c r="O36" s="478" t="str">
        <f>IFERROR(VLOOKUP(A36,[1]Approval!A:C,3,FALSE),"")</f>
        <v>zINVALID FIN Approval - External</v>
      </c>
      <c r="P36" s="184">
        <f>IFERROR(VLOOKUP(A36,[1]Approval!A:J,10,FALSE),"")</f>
        <v>41198</v>
      </c>
      <c r="R36" s="425">
        <f>2020-YEAR(Table227[[#This Row],[In-
Service
Date]])</f>
        <v>9</v>
      </c>
      <c r="S36" s="308">
        <f>+Table227[[#This Row],[Proj To Date
Actuals]]*1.02^R36</f>
        <v>132896.34919001898</v>
      </c>
    </row>
    <row r="37" spans="1:19" x14ac:dyDescent="0.25">
      <c r="A37" s="476" t="s">
        <v>498</v>
      </c>
      <c r="B37" s="475" t="s">
        <v>3946</v>
      </c>
      <c r="C37" s="422" t="e">
        <f>VLOOKUP(B37,'Matter &amp; CI#'!$D$4:$E$595,2,FALSE)</f>
        <v>#N/A</v>
      </c>
      <c r="D37" s="476" t="s">
        <v>499</v>
      </c>
      <c r="E37" s="476" t="s">
        <v>8</v>
      </c>
      <c r="F37" s="476" t="s">
        <v>9</v>
      </c>
      <c r="G37" s="475" t="s">
        <v>2013</v>
      </c>
      <c r="H37" s="516"/>
      <c r="I37" s="477" t="s">
        <v>5</v>
      </c>
      <c r="J37" s="476" t="s">
        <v>6</v>
      </c>
      <c r="K37" s="476" t="s">
        <v>7</v>
      </c>
      <c r="L37" s="184">
        <v>40897</v>
      </c>
      <c r="M37" s="184">
        <v>42460</v>
      </c>
      <c r="N37" s="480">
        <v>3217257.43</v>
      </c>
      <c r="O37" s="478" t="str">
        <f>IFERROR(VLOOKUP(A37,[1]Approval!A:C,3,FALSE),"")</f>
        <v>zINVALID FIN Approval - External</v>
      </c>
      <c r="P37" s="184">
        <f>IFERROR(VLOOKUP(A37,[1]Approval!A:J,10,FALSE),"")</f>
        <v>41380</v>
      </c>
      <c r="R37" s="425">
        <f>2020-YEAR(Table227[[#This Row],[In-
Service
Date]])</f>
        <v>9</v>
      </c>
      <c r="S37" s="308">
        <f>+Table227[[#This Row],[Proj To Date
Actuals]]*1.02^R37</f>
        <v>3844920.4459379148</v>
      </c>
    </row>
    <row r="38" spans="1:19" x14ac:dyDescent="0.25">
      <c r="A38" s="476" t="s">
        <v>44</v>
      </c>
      <c r="B38" s="475" t="s">
        <v>3976</v>
      </c>
      <c r="C38" s="422" t="e">
        <f>VLOOKUP(B38,'Matter &amp; CI#'!$D$4:$E$595,2,FALSE)</f>
        <v>#N/A</v>
      </c>
      <c r="D38" s="476" t="s">
        <v>45</v>
      </c>
      <c r="E38" s="476" t="s">
        <v>8</v>
      </c>
      <c r="F38" s="476" t="s">
        <v>9</v>
      </c>
      <c r="G38" s="475" t="s">
        <v>2013</v>
      </c>
      <c r="H38" s="516"/>
      <c r="I38" s="477" t="s">
        <v>5</v>
      </c>
      <c r="J38" s="476" t="s">
        <v>6</v>
      </c>
      <c r="K38" s="476" t="s">
        <v>7</v>
      </c>
      <c r="L38" s="184">
        <v>40897</v>
      </c>
      <c r="M38" s="184">
        <v>41569</v>
      </c>
      <c r="N38" s="480">
        <v>207921.82</v>
      </c>
      <c r="O38" s="478" t="str">
        <f>IFERROR(VLOOKUP(A38,[1]Approval!A:C,3,FALSE),"")</f>
        <v>zINVALID FIN Approval - External</v>
      </c>
      <c r="P38" s="184">
        <f>IFERROR(VLOOKUP(A38,[1]Approval!A:J,10,FALSE),"")</f>
        <v>41345</v>
      </c>
      <c r="R38" s="425">
        <f>2020-YEAR(Table227[[#This Row],[In-
Service
Date]])</f>
        <v>9</v>
      </c>
      <c r="S38" s="308">
        <f>+Table227[[#This Row],[Proj To Date
Actuals]]*1.02^R38</f>
        <v>248485.82193642578</v>
      </c>
    </row>
    <row r="39" spans="1:19" x14ac:dyDescent="0.25">
      <c r="A39" s="476" t="s">
        <v>1492</v>
      </c>
      <c r="B39" s="475" t="s">
        <v>3978</v>
      </c>
      <c r="C39" s="422" t="e">
        <f>VLOOKUP(B39,'Matter &amp; CI#'!$D$4:$E$595,2,FALSE)</f>
        <v>#N/A</v>
      </c>
      <c r="D39" s="476" t="s">
        <v>1493</v>
      </c>
      <c r="E39" s="476" t="s">
        <v>8</v>
      </c>
      <c r="F39" s="476" t="s">
        <v>9</v>
      </c>
      <c r="G39" s="475" t="s">
        <v>2013</v>
      </c>
      <c r="H39" s="516"/>
      <c r="I39" s="477" t="s">
        <v>5</v>
      </c>
      <c r="J39" s="476" t="s">
        <v>6</v>
      </c>
      <c r="K39" s="476" t="s">
        <v>7</v>
      </c>
      <c r="L39" s="184">
        <v>40897</v>
      </c>
      <c r="M39" s="184">
        <v>41228</v>
      </c>
      <c r="N39" s="480">
        <v>17747.45</v>
      </c>
      <c r="O39" s="478" t="str">
        <f>IFERROR(VLOOKUP(A39,[1]Approval!A:C,3,FALSE),"")</f>
        <v>zINVALID FIN Approval - External</v>
      </c>
      <c r="P39" s="184">
        <f>IFERROR(VLOOKUP(A39,[1]Approval!A:J,10,FALSE),"")</f>
        <v>41212</v>
      </c>
      <c r="R39" s="425">
        <f>2020-YEAR(Table227[[#This Row],[In-
Service
Date]])</f>
        <v>9</v>
      </c>
      <c r="S39" s="308">
        <f>+Table227[[#This Row],[Proj To Date
Actuals]]*1.02^R39</f>
        <v>21209.84560699603</v>
      </c>
    </row>
    <row r="40" spans="1:19" x14ac:dyDescent="0.25">
      <c r="A40" s="476" t="s">
        <v>55</v>
      </c>
      <c r="B40" s="475" t="s">
        <v>3979</v>
      </c>
      <c r="C40" s="422" t="e">
        <f>VLOOKUP(B40,'Matter &amp; CI#'!$D$4:$E$595,2,FALSE)</f>
        <v>#N/A</v>
      </c>
      <c r="D40" s="476" t="s">
        <v>56</v>
      </c>
      <c r="E40" s="476" t="s">
        <v>8</v>
      </c>
      <c r="F40" s="476" t="s">
        <v>9</v>
      </c>
      <c r="G40" s="475" t="s">
        <v>2013</v>
      </c>
      <c r="H40" s="516"/>
      <c r="I40" s="477" t="s">
        <v>5</v>
      </c>
      <c r="J40" s="476" t="s">
        <v>6</v>
      </c>
      <c r="K40" s="476" t="s">
        <v>7</v>
      </c>
      <c r="L40" s="184">
        <v>40897</v>
      </c>
      <c r="M40" s="184">
        <v>41964</v>
      </c>
      <c r="N40" s="480">
        <v>86767.92</v>
      </c>
      <c r="O40" s="478" t="str">
        <f>IFERROR(VLOOKUP(A40,[1]Approval!A:C,3,FALSE),"")</f>
        <v>FIN Approval - Internal</v>
      </c>
      <c r="P40" s="184">
        <f>IFERROR(VLOOKUP(A40,[1]Approval!A:J,10,FALSE),"")</f>
        <v>41964</v>
      </c>
      <c r="R40" s="425">
        <f>2020-YEAR(Table227[[#This Row],[In-
Service
Date]])</f>
        <v>9</v>
      </c>
      <c r="S40" s="308">
        <f>+Table227[[#This Row],[Proj To Date
Actuals]]*1.02^R40</f>
        <v>103695.69638681518</v>
      </c>
    </row>
    <row r="41" spans="1:19" x14ac:dyDescent="0.25">
      <c r="A41" s="476" t="s">
        <v>974</v>
      </c>
      <c r="B41" s="475" t="s">
        <v>3981</v>
      </c>
      <c r="C41" s="422" t="e">
        <f>VLOOKUP(B41,'Matter &amp; CI#'!$D$4:$E$595,2,FALSE)</f>
        <v>#N/A</v>
      </c>
      <c r="D41" s="476" t="s">
        <v>975</v>
      </c>
      <c r="E41" s="476" t="s">
        <v>8</v>
      </c>
      <c r="F41" s="476" t="s">
        <v>9</v>
      </c>
      <c r="G41" s="475" t="s">
        <v>2013</v>
      </c>
      <c r="H41" s="516"/>
      <c r="I41" s="477" t="s">
        <v>5</v>
      </c>
      <c r="J41" s="476" t="s">
        <v>6</v>
      </c>
      <c r="K41" s="476" t="s">
        <v>7</v>
      </c>
      <c r="L41" s="184">
        <v>40897</v>
      </c>
      <c r="M41" s="184">
        <v>42460</v>
      </c>
      <c r="N41" s="480">
        <v>54271.62</v>
      </c>
      <c r="O41" s="478" t="str">
        <f>IFERROR(VLOOKUP(A41,[1]Approval!A:C,3,FALSE),"")</f>
        <v>zINVALID FIN Approval - External</v>
      </c>
      <c r="P41" s="184">
        <f>IFERROR(VLOOKUP(A41,[1]Approval!A:J,10,FALSE),"")</f>
        <v>41212</v>
      </c>
      <c r="R41" s="425">
        <f>2020-YEAR(Table227[[#This Row],[In-
Service
Date]])</f>
        <v>9</v>
      </c>
      <c r="S41" s="308">
        <f>+Table227[[#This Row],[Proj To Date
Actuals]]*1.02^R41</f>
        <v>64859.609749093979</v>
      </c>
    </row>
    <row r="42" spans="1:19" x14ac:dyDescent="0.25">
      <c r="A42" s="476" t="s">
        <v>982</v>
      </c>
      <c r="B42" s="475" t="s">
        <v>3989</v>
      </c>
      <c r="C42" s="422" t="e">
        <f>VLOOKUP(B42,'Matter &amp; CI#'!$D$4:$E$595,2,FALSE)</f>
        <v>#N/A</v>
      </c>
      <c r="D42" s="476" t="s">
        <v>983</v>
      </c>
      <c r="E42" s="476" t="s">
        <v>8</v>
      </c>
      <c r="F42" s="476" t="s">
        <v>9</v>
      </c>
      <c r="G42" s="475" t="s">
        <v>2013</v>
      </c>
      <c r="H42" s="516"/>
      <c r="I42" s="477" t="s">
        <v>5</v>
      </c>
      <c r="J42" s="476" t="s">
        <v>6</v>
      </c>
      <c r="K42" s="476" t="s">
        <v>7</v>
      </c>
      <c r="L42" s="184">
        <v>40897</v>
      </c>
      <c r="M42" s="184">
        <v>41569</v>
      </c>
      <c r="N42" s="480">
        <v>47055.37</v>
      </c>
      <c r="O42" s="478" t="str">
        <f>IFERROR(VLOOKUP(A42,[1]Approval!A:C,3,FALSE),"")</f>
        <v>zINVALID FIN Approval - External</v>
      </c>
      <c r="P42" s="184">
        <f>IFERROR(VLOOKUP(A42,[1]Approval!A:J,10,FALSE),"")</f>
        <v>41345</v>
      </c>
      <c r="R42" s="425">
        <f>2020-YEAR(Table227[[#This Row],[In-
Service
Date]])</f>
        <v>9</v>
      </c>
      <c r="S42" s="308">
        <f>+Table227[[#This Row],[Proj To Date
Actuals]]*1.02^R42</f>
        <v>56235.523000773232</v>
      </c>
    </row>
    <row r="43" spans="1:19" x14ac:dyDescent="0.25">
      <c r="A43" s="476" t="s">
        <v>747</v>
      </c>
      <c r="B43" s="475" t="s">
        <v>3990</v>
      </c>
      <c r="C43" s="422" t="e">
        <f>VLOOKUP(B43,'Matter &amp; CI#'!$D$4:$E$595,2,FALSE)</f>
        <v>#N/A</v>
      </c>
      <c r="D43" s="476" t="s">
        <v>748</v>
      </c>
      <c r="E43" s="476" t="s">
        <v>21</v>
      </c>
      <c r="F43" s="476" t="s">
        <v>9</v>
      </c>
      <c r="G43" s="475" t="s">
        <v>2013</v>
      </c>
      <c r="H43" s="516"/>
      <c r="I43" s="477" t="s">
        <v>5</v>
      </c>
      <c r="J43" s="476" t="s">
        <v>6</v>
      </c>
      <c r="K43" s="476" t="s">
        <v>7</v>
      </c>
      <c r="L43" s="184">
        <v>40897</v>
      </c>
      <c r="M43" s="184">
        <v>42612</v>
      </c>
      <c r="N43" s="480">
        <v>87209.15</v>
      </c>
      <c r="O43" s="478" t="str">
        <f>IFERROR(VLOOKUP(A43,[1]Approval!A:C,3,FALSE),"")</f>
        <v>FIN Approval - External</v>
      </c>
      <c r="P43" s="184">
        <f>IFERROR(VLOOKUP(A43,[1]Approval!A:J,10,FALSE),"")</f>
        <v>42625</v>
      </c>
      <c r="R43" s="425">
        <f>2020-YEAR(Table227[[#This Row],[In-
Service
Date]])</f>
        <v>9</v>
      </c>
      <c r="S43" s="308">
        <f>+Table227[[#This Row],[Proj To Date
Actuals]]*1.02^R43</f>
        <v>104223.0070808684</v>
      </c>
    </row>
    <row r="44" spans="1:19" x14ac:dyDescent="0.25">
      <c r="A44" s="476" t="s">
        <v>986</v>
      </c>
      <c r="B44" s="475" t="s">
        <v>4037</v>
      </c>
      <c r="C44" s="422" t="e">
        <f>VLOOKUP(B44,'Matter &amp; CI#'!$D$4:$E$595,2,FALSE)</f>
        <v>#N/A</v>
      </c>
      <c r="D44" s="476" t="s">
        <v>987</v>
      </c>
      <c r="E44" s="476" t="s">
        <v>21</v>
      </c>
      <c r="F44" s="476" t="s">
        <v>9</v>
      </c>
      <c r="G44" s="475" t="s">
        <v>2013</v>
      </c>
      <c r="H44" s="516"/>
      <c r="I44" s="477" t="s">
        <v>5</v>
      </c>
      <c r="J44" s="476" t="s">
        <v>131</v>
      </c>
      <c r="K44" s="476" t="s">
        <v>7</v>
      </c>
      <c r="L44" s="184">
        <v>40897</v>
      </c>
      <c r="M44" s="184">
        <v>42490</v>
      </c>
      <c r="N44" s="480">
        <v>306130.90000000002</v>
      </c>
      <c r="O44" s="478" t="str">
        <f>IFERROR(VLOOKUP(A44,[1]Approval!A:C,3,FALSE),"")</f>
        <v>FIN Approval - Internal</v>
      </c>
      <c r="P44" s="184">
        <f>IFERROR(VLOOKUP(A44,[1]Approval!A:J,10,FALSE),"")</f>
        <v>42478</v>
      </c>
      <c r="R44" s="425">
        <f>2020-YEAR(Table227[[#This Row],[In-
Service
Date]])</f>
        <v>9</v>
      </c>
      <c r="S44" s="308">
        <f>+Table227[[#This Row],[Proj To Date
Actuals]]*1.02^R44</f>
        <v>365854.76361565979</v>
      </c>
    </row>
    <row r="45" spans="1:19" x14ac:dyDescent="0.25">
      <c r="A45" s="476" t="s">
        <v>1512</v>
      </c>
      <c r="B45" s="475" t="s">
        <v>4040</v>
      </c>
      <c r="C45" s="422" t="e">
        <f>VLOOKUP(B45,'Matter &amp; CI#'!$D$4:$E$595,2,FALSE)</f>
        <v>#N/A</v>
      </c>
      <c r="D45" s="476" t="s">
        <v>1513</v>
      </c>
      <c r="E45" s="476" t="s">
        <v>8</v>
      </c>
      <c r="F45" s="476" t="s">
        <v>9</v>
      </c>
      <c r="G45" s="475" t="s">
        <v>2013</v>
      </c>
      <c r="H45" s="516"/>
      <c r="I45" s="477" t="s">
        <v>5</v>
      </c>
      <c r="J45" s="476" t="s">
        <v>14</v>
      </c>
      <c r="K45" s="476" t="s">
        <v>7</v>
      </c>
      <c r="L45" s="184">
        <v>40897</v>
      </c>
      <c r="M45" s="184">
        <v>41494</v>
      </c>
      <c r="N45" s="480">
        <v>155509.23000000001</v>
      </c>
      <c r="O45" s="478" t="str">
        <f>IFERROR(VLOOKUP(A45,[1]Approval!A:C,3,FALSE),"")</f>
        <v>zINVALID FIN Approval - Internal</v>
      </c>
      <c r="P45" s="184">
        <f>IFERROR(VLOOKUP(A45,[1]Approval!A:J,10,FALSE),"")</f>
        <v>41494</v>
      </c>
      <c r="R45" s="425">
        <f>2020-YEAR(Table227[[#This Row],[In-
Service
Date]])</f>
        <v>9</v>
      </c>
      <c r="S45" s="308">
        <f>+Table227[[#This Row],[Proj To Date
Actuals]]*1.02^R45</f>
        <v>185847.92512517775</v>
      </c>
    </row>
    <row r="46" spans="1:19" x14ac:dyDescent="0.25">
      <c r="A46" s="476" t="s">
        <v>996</v>
      </c>
      <c r="B46" s="475" t="s">
        <v>3968</v>
      </c>
      <c r="C46" s="422" t="e">
        <f>VLOOKUP(B46,'Matter &amp; CI#'!$D$4:$E$595,2,FALSE)</f>
        <v>#N/A</v>
      </c>
      <c r="D46" s="476" t="s">
        <v>997</v>
      </c>
      <c r="E46" s="476" t="s">
        <v>8</v>
      </c>
      <c r="F46" s="476" t="s">
        <v>9</v>
      </c>
      <c r="G46" s="475" t="s">
        <v>2013</v>
      </c>
      <c r="H46" s="516"/>
      <c r="I46" s="477" t="s">
        <v>5</v>
      </c>
      <c r="J46" s="476" t="s">
        <v>6</v>
      </c>
      <c r="K46" s="476" t="s">
        <v>7</v>
      </c>
      <c r="L46" s="184">
        <v>40908</v>
      </c>
      <c r="M46" s="184">
        <v>41968</v>
      </c>
      <c r="N46" s="480">
        <v>2276117.63</v>
      </c>
      <c r="O46" s="478" t="str">
        <f>IFERROR(VLOOKUP(A46,[1]Approval!A:C,3,FALSE),"")</f>
        <v>zINVALID FIN Approval - Internal</v>
      </c>
      <c r="P46" s="184">
        <f>IFERROR(VLOOKUP(A46,[1]Approval!A:J,10,FALSE),"")</f>
        <v>41968</v>
      </c>
      <c r="R46" s="425">
        <f>2020-YEAR(Table227[[#This Row],[In-
Service
Date]])</f>
        <v>9</v>
      </c>
      <c r="S46" s="308">
        <f>+Table227[[#This Row],[Proj To Date
Actuals]]*1.02^R46</f>
        <v>2720171.2649232266</v>
      </c>
    </row>
    <row r="47" spans="1:19" x14ac:dyDescent="0.25">
      <c r="A47" s="476" t="s">
        <v>61</v>
      </c>
      <c r="B47" s="475" t="s">
        <v>3999</v>
      </c>
      <c r="C47" s="422" t="e">
        <f>VLOOKUP(B47,'Matter &amp; CI#'!$D$4:$E$595,2,FALSE)</f>
        <v>#N/A</v>
      </c>
      <c r="D47" s="476" t="s">
        <v>62</v>
      </c>
      <c r="E47" s="476" t="s">
        <v>8</v>
      </c>
      <c r="F47" s="476" t="s">
        <v>9</v>
      </c>
      <c r="G47" s="475" t="s">
        <v>2013</v>
      </c>
      <c r="H47" s="516"/>
      <c r="I47" s="477" t="s">
        <v>5</v>
      </c>
      <c r="J47" s="476" t="s">
        <v>6</v>
      </c>
      <c r="K47" s="476" t="s">
        <v>7</v>
      </c>
      <c r="L47" s="184">
        <v>40908</v>
      </c>
      <c r="M47" s="184">
        <v>41852</v>
      </c>
      <c r="N47" s="480">
        <v>485035.71</v>
      </c>
      <c r="O47" s="478" t="str">
        <f>IFERROR(VLOOKUP(A47,[1]Approval!A:C,3,FALSE),"")</f>
        <v>zINVALID FIN Approval - Internal</v>
      </c>
      <c r="P47" s="184">
        <f>IFERROR(VLOOKUP(A47,[1]Approval!A:J,10,FALSE),"")</f>
        <v>41859</v>
      </c>
      <c r="R47" s="425">
        <f>2020-YEAR(Table227[[#This Row],[In-
Service
Date]])</f>
        <v>9</v>
      </c>
      <c r="S47" s="308">
        <f>+Table227[[#This Row],[Proj To Date
Actuals]]*1.02^R47</f>
        <v>579662.57253744628</v>
      </c>
    </row>
    <row r="48" spans="1:19" x14ac:dyDescent="0.25">
      <c r="A48" s="476" t="s">
        <v>739</v>
      </c>
      <c r="B48" s="475" t="s">
        <v>4013</v>
      </c>
      <c r="C48" s="422" t="e">
        <f>VLOOKUP(B48,'Matter &amp; CI#'!$D$4:$E$595,2,FALSE)</f>
        <v>#N/A</v>
      </c>
      <c r="D48" s="476" t="s">
        <v>740</v>
      </c>
      <c r="E48" s="476" t="s">
        <v>21</v>
      </c>
      <c r="F48" s="476" t="s">
        <v>9</v>
      </c>
      <c r="G48" s="475" t="s">
        <v>2013</v>
      </c>
      <c r="H48" s="516"/>
      <c r="I48" s="477" t="s">
        <v>5</v>
      </c>
      <c r="J48" s="476" t="s">
        <v>14</v>
      </c>
      <c r="K48" s="476" t="s">
        <v>7</v>
      </c>
      <c r="L48" s="184">
        <v>40908</v>
      </c>
      <c r="M48" s="184">
        <v>42612</v>
      </c>
      <c r="N48" s="480">
        <v>648887.64</v>
      </c>
      <c r="O48" s="478" t="str">
        <f>IFERROR(VLOOKUP(A48,[1]Approval!A:C,3,FALSE),"")</f>
        <v>FIN Approval - Internal</v>
      </c>
      <c r="P48" s="184">
        <f>IFERROR(VLOOKUP(A48,[1]Approval!A:J,10,FALSE),"")</f>
        <v>42625</v>
      </c>
      <c r="R48" s="425">
        <f>2020-YEAR(Table227[[#This Row],[In-
Service
Date]])</f>
        <v>9</v>
      </c>
      <c r="S48" s="308">
        <f>+Table227[[#This Row],[Proj To Date
Actuals]]*1.02^R48</f>
        <v>775480.79643486929</v>
      </c>
    </row>
    <row r="49" spans="1:19" x14ac:dyDescent="0.25">
      <c r="A49" s="476" t="s">
        <v>1236</v>
      </c>
      <c r="B49" s="475" t="s">
        <v>4015</v>
      </c>
      <c r="C49" s="422" t="e">
        <f>VLOOKUP(B49,'Matter &amp; CI#'!$D$4:$E$595,2,FALSE)</f>
        <v>#N/A</v>
      </c>
      <c r="D49" s="476" t="s">
        <v>1237</v>
      </c>
      <c r="E49" s="476" t="s">
        <v>8</v>
      </c>
      <c r="F49" s="476" t="s">
        <v>9</v>
      </c>
      <c r="G49" s="475" t="s">
        <v>2013</v>
      </c>
      <c r="H49" s="516"/>
      <c r="I49" s="477" t="s">
        <v>5</v>
      </c>
      <c r="J49" s="476" t="s">
        <v>26</v>
      </c>
      <c r="K49" s="476" t="s">
        <v>7</v>
      </c>
      <c r="L49" s="184">
        <v>40908</v>
      </c>
      <c r="M49" s="184">
        <v>41382</v>
      </c>
      <c r="N49" s="480">
        <v>-3512.66</v>
      </c>
      <c r="O49" s="478" t="str">
        <f>IFERROR(VLOOKUP(A49,[1]Approval!A:C,3,FALSE),"")</f>
        <v>zINVALID FIN Approval - External</v>
      </c>
      <c r="P49" s="184">
        <f>IFERROR(VLOOKUP(A49,[1]Approval!A:J,10,FALSE),"")</f>
        <v>41198</v>
      </c>
      <c r="R49" s="425">
        <f>2020-YEAR(Table227[[#This Row],[In-
Service
Date]])</f>
        <v>9</v>
      </c>
      <c r="S49" s="308">
        <f>+Table227[[#This Row],[Proj To Date
Actuals]]*1.02^R49</f>
        <v>-4197.953862096846</v>
      </c>
    </row>
    <row r="50" spans="1:19" x14ac:dyDescent="0.25">
      <c r="A50" s="476" t="s">
        <v>1771</v>
      </c>
      <c r="B50" s="475" t="s">
        <v>4074</v>
      </c>
      <c r="C50" s="422" t="e">
        <f>VLOOKUP(B50,'Matter &amp; CI#'!$D$4:$E$595,2,FALSE)</f>
        <v>#N/A</v>
      </c>
      <c r="D50" s="476" t="s">
        <v>1772</v>
      </c>
      <c r="E50" s="476" t="s">
        <v>8</v>
      </c>
      <c r="F50" s="476" t="s">
        <v>9</v>
      </c>
      <c r="G50" s="475" t="s">
        <v>2013</v>
      </c>
      <c r="H50" s="516"/>
      <c r="I50" s="477" t="s">
        <v>5</v>
      </c>
      <c r="J50" s="476" t="s">
        <v>14</v>
      </c>
      <c r="K50" s="476" t="s">
        <v>7</v>
      </c>
      <c r="L50" s="184">
        <v>40908</v>
      </c>
      <c r="M50" s="184">
        <v>41213</v>
      </c>
      <c r="N50" s="480">
        <v>98509.94</v>
      </c>
      <c r="O50" s="478" t="str">
        <f>IFERROR(VLOOKUP(A50,[1]Approval!A:C,3,FALSE),"")</f>
        <v>zINVALID FIN Approval - External</v>
      </c>
      <c r="P50" s="184">
        <f>IFERROR(VLOOKUP(A50,[1]Approval!A:J,10,FALSE),"")</f>
        <v>41198</v>
      </c>
      <c r="R50" s="425">
        <f>2020-YEAR(Table227[[#This Row],[In-
Service
Date]])</f>
        <v>9</v>
      </c>
      <c r="S50" s="308">
        <f>+Table227[[#This Row],[Proj To Date
Actuals]]*1.02^R50</f>
        <v>117728.49722942973</v>
      </c>
    </row>
    <row r="51" spans="1:19" x14ac:dyDescent="0.25">
      <c r="A51" s="476" t="s">
        <v>755</v>
      </c>
      <c r="B51" s="475" t="s">
        <v>4120</v>
      </c>
      <c r="C51" s="422" t="e">
        <f>VLOOKUP(B51,'Matter &amp; CI#'!$D$4:$E$595,2,FALSE)</f>
        <v>#N/A</v>
      </c>
      <c r="D51" s="476" t="s">
        <v>756</v>
      </c>
      <c r="E51" s="476" t="s">
        <v>10</v>
      </c>
      <c r="F51" s="476" t="s">
        <v>9</v>
      </c>
      <c r="G51" s="475" t="s">
        <v>2013</v>
      </c>
      <c r="H51" s="516"/>
      <c r="I51" s="477" t="s">
        <v>5</v>
      </c>
      <c r="J51" s="476" t="s">
        <v>14</v>
      </c>
      <c r="K51" s="476" t="s">
        <v>7</v>
      </c>
      <c r="L51" s="184">
        <v>40908</v>
      </c>
      <c r="M51" s="184">
        <v>42400</v>
      </c>
      <c r="N51" s="480">
        <v>54086.94</v>
      </c>
      <c r="O51" s="478" t="str">
        <f>IFERROR(VLOOKUP(A51,[1]Approval!A:C,3,FALSE),"")</f>
        <v>FIN Approval - Internal</v>
      </c>
      <c r="P51" s="184">
        <f>IFERROR(VLOOKUP(A51,[1]Approval!A:J,10,FALSE),"")</f>
        <v>42418</v>
      </c>
      <c r="R51" s="425">
        <f>2020-YEAR(Table227[[#This Row],[In-
Service
Date]])</f>
        <v>9</v>
      </c>
      <c r="S51" s="308">
        <f>+Table227[[#This Row],[Proj To Date
Actuals]]*1.02^R51</f>
        <v>64638.900053520811</v>
      </c>
    </row>
    <row r="52" spans="1:19" x14ac:dyDescent="0.25">
      <c r="A52" s="476" t="s">
        <v>1779</v>
      </c>
      <c r="B52" s="475" t="s">
        <v>3945</v>
      </c>
      <c r="C52" s="422" t="e">
        <f>VLOOKUP(B52,'Matter &amp; CI#'!$D$4:$E$595,2,FALSE)</f>
        <v>#N/A</v>
      </c>
      <c r="D52" s="476" t="s">
        <v>1780</v>
      </c>
      <c r="E52" s="476" t="s">
        <v>10</v>
      </c>
      <c r="F52" s="476" t="s">
        <v>9</v>
      </c>
      <c r="G52" s="475" t="s">
        <v>2013</v>
      </c>
      <c r="H52" s="516"/>
      <c r="I52" s="477" t="s">
        <v>5</v>
      </c>
      <c r="J52" s="476" t="s">
        <v>6</v>
      </c>
      <c r="K52" s="476" t="s">
        <v>7</v>
      </c>
      <c r="L52" s="184">
        <v>40939</v>
      </c>
      <c r="M52" s="184">
        <v>41843</v>
      </c>
      <c r="N52" s="480">
        <v>494632.78</v>
      </c>
      <c r="O52" s="478" t="str">
        <f>IFERROR(VLOOKUP(A52,[1]Approval!A:C,3,FALSE),"")</f>
        <v>FIN Approval - Internal</v>
      </c>
      <c r="P52" s="184">
        <f>IFERROR(VLOOKUP(A52,[1]Approval!A:J,10,FALSE),"")</f>
        <v>41843</v>
      </c>
      <c r="R52" s="425">
        <f>2020-YEAR(Table227[[#This Row],[In-
Service
Date]])</f>
        <v>8</v>
      </c>
      <c r="S52" s="308">
        <f>+Table227[[#This Row],[Proj To Date
Actuals]]*1.02^R52</f>
        <v>579541.13683822984</v>
      </c>
    </row>
    <row r="53" spans="1:19" x14ac:dyDescent="0.25">
      <c r="A53" s="476" t="s">
        <v>291</v>
      </c>
      <c r="B53" s="475" t="s">
        <v>3964</v>
      </c>
      <c r="C53" s="422" t="e">
        <f>VLOOKUP(B53,'Matter &amp; CI#'!$D$4:$E$595,2,FALSE)</f>
        <v>#N/A</v>
      </c>
      <c r="D53" s="476" t="s">
        <v>292</v>
      </c>
      <c r="E53" s="476" t="s">
        <v>8</v>
      </c>
      <c r="F53" s="476" t="s">
        <v>9</v>
      </c>
      <c r="G53" s="475" t="s">
        <v>2013</v>
      </c>
      <c r="H53" s="516"/>
      <c r="I53" s="477" t="s">
        <v>5</v>
      </c>
      <c r="J53" s="476" t="s">
        <v>6</v>
      </c>
      <c r="K53" s="476" t="s">
        <v>7</v>
      </c>
      <c r="L53" s="184">
        <v>40939</v>
      </c>
      <c r="M53" s="184">
        <v>41831</v>
      </c>
      <c r="N53" s="480">
        <v>339521.89</v>
      </c>
      <c r="O53" s="478" t="str">
        <f>IFERROR(VLOOKUP(A53,[1]Approval!A:C,3,FALSE),"")</f>
        <v>zINVALID FIN Approval - Internal</v>
      </c>
      <c r="P53" s="184">
        <f>IFERROR(VLOOKUP(A53,[1]Approval!A:J,10,FALSE),"")</f>
        <v>41831</v>
      </c>
      <c r="R53" s="425">
        <f>2020-YEAR(Table227[[#This Row],[In-
Service
Date]])</f>
        <v>8</v>
      </c>
      <c r="S53" s="308">
        <f>+Table227[[#This Row],[Proj To Date
Actuals]]*1.02^R53</f>
        <v>397804.00747411931</v>
      </c>
    </row>
    <row r="54" spans="1:19" x14ac:dyDescent="0.25">
      <c r="A54" s="476" t="s">
        <v>1010</v>
      </c>
      <c r="B54" s="475" t="s">
        <v>4044</v>
      </c>
      <c r="C54" s="422" t="e">
        <f>VLOOKUP(B54,'Matter &amp; CI#'!$D$4:$E$595,2,FALSE)</f>
        <v>#N/A</v>
      </c>
      <c r="D54" s="476" t="s">
        <v>1011</v>
      </c>
      <c r="E54" s="476" t="s">
        <v>8</v>
      </c>
      <c r="F54" s="476" t="s">
        <v>9</v>
      </c>
      <c r="G54" s="475" t="s">
        <v>2013</v>
      </c>
      <c r="H54" s="516"/>
      <c r="I54" s="477" t="s">
        <v>5</v>
      </c>
      <c r="J54" s="476" t="s">
        <v>6</v>
      </c>
      <c r="K54" s="476" t="s">
        <v>7</v>
      </c>
      <c r="L54" s="184">
        <v>40966</v>
      </c>
      <c r="M54" s="184">
        <v>41852</v>
      </c>
      <c r="N54" s="480">
        <v>129542.05</v>
      </c>
      <c r="O54" s="478" t="str">
        <f>IFERROR(VLOOKUP(A54,[1]Approval!A:C,3,FALSE),"")</f>
        <v>zINVALID FIN Approval - Internal</v>
      </c>
      <c r="P54" s="184">
        <f>IFERROR(VLOOKUP(A54,[1]Approval!A:J,10,FALSE),"")</f>
        <v>41859</v>
      </c>
      <c r="R54" s="425">
        <f>2020-YEAR(Table227[[#This Row],[In-
Service
Date]])</f>
        <v>8</v>
      </c>
      <c r="S54" s="308">
        <f>+Table227[[#This Row],[Proj To Date
Actuals]]*1.02^R54</f>
        <v>151779.15811676453</v>
      </c>
    </row>
    <row r="55" spans="1:19" x14ac:dyDescent="0.25">
      <c r="A55" s="476" t="s">
        <v>1538</v>
      </c>
      <c r="B55" s="475" t="s">
        <v>4048</v>
      </c>
      <c r="C55" s="422" t="e">
        <f>VLOOKUP(B55,'Matter &amp; CI#'!$D$4:$E$595,2,FALSE)</f>
        <v>#N/A</v>
      </c>
      <c r="D55" s="476" t="s">
        <v>1539</v>
      </c>
      <c r="E55" s="476" t="s">
        <v>8</v>
      </c>
      <c r="F55" s="476" t="s">
        <v>9</v>
      </c>
      <c r="G55" s="475" t="s">
        <v>2013</v>
      </c>
      <c r="H55" s="516"/>
      <c r="I55" s="477" t="s">
        <v>5</v>
      </c>
      <c r="J55" s="476" t="s">
        <v>6</v>
      </c>
      <c r="K55" s="476" t="s">
        <v>7</v>
      </c>
      <c r="L55" s="184">
        <v>40966</v>
      </c>
      <c r="M55" s="184">
        <v>41852</v>
      </c>
      <c r="N55" s="480">
        <v>137791.06</v>
      </c>
      <c r="O55" s="478" t="str">
        <f>IFERROR(VLOOKUP(A55,[1]Approval!A:C,3,FALSE),"")</f>
        <v>zINVALID FIN Approval - Internal</v>
      </c>
      <c r="P55" s="184">
        <f>IFERROR(VLOOKUP(A55,[1]Approval!A:J,10,FALSE),"")</f>
        <v>41859</v>
      </c>
      <c r="R55" s="425">
        <f>2020-YEAR(Table227[[#This Row],[In-
Service
Date]])</f>
        <v>8</v>
      </c>
      <c r="S55" s="308">
        <f>+Table227[[#This Row],[Proj To Date
Actuals]]*1.02^R55</f>
        <v>161444.18806724602</v>
      </c>
    </row>
    <row r="56" spans="1:19" x14ac:dyDescent="0.25">
      <c r="A56" s="476" t="s">
        <v>1785</v>
      </c>
      <c r="B56" s="475" t="s">
        <v>4056</v>
      </c>
      <c r="C56" s="422" t="e">
        <f>VLOOKUP(B56,'Matter &amp; CI#'!$D$4:$E$595,2,FALSE)</f>
        <v>#N/A</v>
      </c>
      <c r="D56" s="476" t="s">
        <v>1786</v>
      </c>
      <c r="E56" s="476" t="s">
        <v>8</v>
      </c>
      <c r="F56" s="476" t="s">
        <v>9</v>
      </c>
      <c r="G56" s="475" t="s">
        <v>2013</v>
      </c>
      <c r="H56" s="516"/>
      <c r="I56" s="477" t="s">
        <v>5</v>
      </c>
      <c r="J56" s="476" t="s">
        <v>6</v>
      </c>
      <c r="K56" s="476" t="s">
        <v>7</v>
      </c>
      <c r="L56" s="184">
        <v>40966</v>
      </c>
      <c r="M56" s="184">
        <v>41852</v>
      </c>
      <c r="N56" s="480">
        <v>102991.38</v>
      </c>
      <c r="O56" s="478" t="str">
        <f>IFERROR(VLOOKUP(A56,[1]Approval!A:C,3,FALSE),"")</f>
        <v>zINVALID FIN Approval - Internal</v>
      </c>
      <c r="P56" s="184">
        <f>IFERROR(VLOOKUP(A56,[1]Approval!A:J,10,FALSE),"")</f>
        <v>41859</v>
      </c>
      <c r="R56" s="425">
        <f>2020-YEAR(Table227[[#This Row],[In-
Service
Date]])</f>
        <v>8</v>
      </c>
      <c r="S56" s="308">
        <f>+Table227[[#This Row],[Proj To Date
Actuals]]*1.02^R56</f>
        <v>120670.81653936912</v>
      </c>
    </row>
    <row r="57" spans="1:19" x14ac:dyDescent="0.25">
      <c r="A57" s="476" t="s">
        <v>51</v>
      </c>
      <c r="B57" s="475" t="s">
        <v>4057</v>
      </c>
      <c r="C57" s="422" t="e">
        <f>VLOOKUP(B57,'Matter &amp; CI#'!$D$4:$E$595,2,FALSE)</f>
        <v>#N/A</v>
      </c>
      <c r="D57" s="476" t="s">
        <v>52</v>
      </c>
      <c r="E57" s="476" t="s">
        <v>8</v>
      </c>
      <c r="F57" s="476" t="s">
        <v>9</v>
      </c>
      <c r="G57" s="475" t="s">
        <v>2013</v>
      </c>
      <c r="H57" s="516"/>
      <c r="I57" s="477" t="s">
        <v>5</v>
      </c>
      <c r="J57" s="476" t="s">
        <v>6</v>
      </c>
      <c r="K57" s="476" t="s">
        <v>7</v>
      </c>
      <c r="L57" s="184">
        <v>40966</v>
      </c>
      <c r="M57" s="184">
        <v>41852</v>
      </c>
      <c r="N57" s="480">
        <v>231673.46</v>
      </c>
      <c r="O57" s="478" t="str">
        <f>IFERROR(VLOOKUP(A57,[1]Approval!A:C,3,FALSE),"")</f>
        <v>zINVALID FIN Approval - Internal</v>
      </c>
      <c r="P57" s="184">
        <f>IFERROR(VLOOKUP(A57,[1]Approval!A:J,10,FALSE),"")</f>
        <v>41859</v>
      </c>
      <c r="R57" s="425">
        <f>2020-YEAR(Table227[[#This Row],[In-
Service
Date]])</f>
        <v>8</v>
      </c>
      <c r="S57" s="308">
        <f>+Table227[[#This Row],[Proj To Date
Actuals]]*1.02^R57</f>
        <v>271442.3827382531</v>
      </c>
    </row>
    <row r="58" spans="1:19" x14ac:dyDescent="0.25">
      <c r="A58" s="476" t="s">
        <v>1006</v>
      </c>
      <c r="B58" s="475" t="s">
        <v>4058</v>
      </c>
      <c r="C58" s="422" t="e">
        <f>VLOOKUP(B58,'Matter &amp; CI#'!$D$4:$E$595,2,FALSE)</f>
        <v>#N/A</v>
      </c>
      <c r="D58" s="476" t="s">
        <v>1007</v>
      </c>
      <c r="E58" s="476" t="s">
        <v>8</v>
      </c>
      <c r="F58" s="476" t="s">
        <v>9</v>
      </c>
      <c r="G58" s="475" t="s">
        <v>2013</v>
      </c>
      <c r="H58" s="516"/>
      <c r="I58" s="477" t="s">
        <v>5</v>
      </c>
      <c r="J58" s="476" t="s">
        <v>6</v>
      </c>
      <c r="K58" s="476" t="s">
        <v>7</v>
      </c>
      <c r="L58" s="184">
        <v>40966</v>
      </c>
      <c r="M58" s="184">
        <v>41852</v>
      </c>
      <c r="N58" s="480">
        <v>163894.79999999999</v>
      </c>
      <c r="O58" s="478" t="str">
        <f>IFERROR(VLOOKUP(A58,[1]Approval!A:C,3,FALSE),"")</f>
        <v>zINVALID FIN Approval - Internal</v>
      </c>
      <c r="P58" s="184">
        <f>IFERROR(VLOOKUP(A58,[1]Approval!A:J,10,FALSE),"")</f>
        <v>41859</v>
      </c>
      <c r="R58" s="425">
        <f>2020-YEAR(Table227[[#This Row],[In-
Service
Date]])</f>
        <v>8</v>
      </c>
      <c r="S58" s="308">
        <f>+Table227[[#This Row],[Proj To Date
Actuals]]*1.02^R58</f>
        <v>192028.87991749009</v>
      </c>
    </row>
    <row r="59" spans="1:19" x14ac:dyDescent="0.25">
      <c r="A59" s="476" t="s">
        <v>79</v>
      </c>
      <c r="B59" s="475" t="s">
        <v>4059</v>
      </c>
      <c r="C59" s="422" t="e">
        <f>VLOOKUP(B59,'Matter &amp; CI#'!$D$4:$E$595,2,FALSE)</f>
        <v>#N/A</v>
      </c>
      <c r="D59" s="476" t="s">
        <v>80</v>
      </c>
      <c r="E59" s="476" t="s">
        <v>8</v>
      </c>
      <c r="F59" s="476" t="s">
        <v>9</v>
      </c>
      <c r="G59" s="475" t="s">
        <v>2013</v>
      </c>
      <c r="H59" s="516"/>
      <c r="I59" s="477" t="s">
        <v>5</v>
      </c>
      <c r="J59" s="476" t="s">
        <v>6</v>
      </c>
      <c r="K59" s="476" t="s">
        <v>7</v>
      </c>
      <c r="L59" s="184">
        <v>40966</v>
      </c>
      <c r="M59" s="184">
        <v>41852</v>
      </c>
      <c r="N59" s="480">
        <v>133749.95000000001</v>
      </c>
      <c r="O59" s="478" t="str">
        <f>IFERROR(VLOOKUP(A59,[1]Approval!A:C,3,FALSE),"")</f>
        <v>zINVALID FIN Approval - Internal</v>
      </c>
      <c r="P59" s="184">
        <f>IFERROR(VLOOKUP(A59,[1]Approval!A:J,10,FALSE),"")</f>
        <v>41859</v>
      </c>
      <c r="R59" s="425">
        <f>2020-YEAR(Table227[[#This Row],[In-
Service
Date]])</f>
        <v>8</v>
      </c>
      <c r="S59" s="308">
        <f>+Table227[[#This Row],[Proj To Date
Actuals]]*1.02^R59</f>
        <v>156709.38362608399</v>
      </c>
    </row>
    <row r="60" spans="1:19" x14ac:dyDescent="0.25">
      <c r="A60" s="476" t="s">
        <v>988</v>
      </c>
      <c r="B60" s="475" t="s">
        <v>4011</v>
      </c>
      <c r="C60" s="422" t="e">
        <f>VLOOKUP(B60,'Matter &amp; CI#'!$D$4:$E$595,2,FALSE)</f>
        <v>#N/A</v>
      </c>
      <c r="D60" s="476" t="s">
        <v>989</v>
      </c>
      <c r="E60" s="476" t="s">
        <v>8</v>
      </c>
      <c r="F60" s="476" t="s">
        <v>9</v>
      </c>
      <c r="G60" s="475" t="s">
        <v>2013</v>
      </c>
      <c r="H60" s="516"/>
      <c r="I60" s="477" t="s">
        <v>5</v>
      </c>
      <c r="J60" s="476" t="s">
        <v>6</v>
      </c>
      <c r="K60" s="476" t="s">
        <v>7</v>
      </c>
      <c r="L60" s="184">
        <v>40968</v>
      </c>
      <c r="M60" s="184">
        <v>41843</v>
      </c>
      <c r="N60" s="480">
        <v>78896.509999999995</v>
      </c>
      <c r="O60" s="478" t="str">
        <f>IFERROR(VLOOKUP(A60,[1]Approval!A:C,3,FALSE),"")</f>
        <v>zINVALID FIN Approval - Internal</v>
      </c>
      <c r="P60" s="184">
        <f>IFERROR(VLOOKUP(A60,[1]Approval!A:J,10,FALSE),"")</f>
        <v>41843</v>
      </c>
      <c r="R60" s="425">
        <f>2020-YEAR(Table227[[#This Row],[In-
Service
Date]])</f>
        <v>8</v>
      </c>
      <c r="S60" s="308">
        <f>+Table227[[#This Row],[Proj To Date
Actuals]]*1.02^R60</f>
        <v>92439.836069839046</v>
      </c>
    </row>
    <row r="61" spans="1:19" x14ac:dyDescent="0.25">
      <c r="A61" s="476" t="s">
        <v>998</v>
      </c>
      <c r="B61" s="475" t="s">
        <v>4039</v>
      </c>
      <c r="C61" s="422" t="e">
        <f>VLOOKUP(B61,'Matter &amp; CI#'!$D$4:$E$595,2,FALSE)</f>
        <v>#N/A</v>
      </c>
      <c r="D61" s="476" t="s">
        <v>999</v>
      </c>
      <c r="E61" s="476" t="s">
        <v>21</v>
      </c>
      <c r="F61" s="476" t="s">
        <v>9</v>
      </c>
      <c r="G61" s="475" t="s">
        <v>2013</v>
      </c>
      <c r="H61" s="516"/>
      <c r="I61" s="477" t="s">
        <v>5</v>
      </c>
      <c r="J61" s="476" t="s">
        <v>40</v>
      </c>
      <c r="K61" s="476" t="s">
        <v>7</v>
      </c>
      <c r="L61" s="184">
        <v>40975</v>
      </c>
      <c r="M61" s="184">
        <v>42490</v>
      </c>
      <c r="N61" s="480">
        <v>24513.78</v>
      </c>
      <c r="O61" s="478" t="str">
        <f>IFERROR(VLOOKUP(A61,[1]Approval!A:C,3,FALSE),"")</f>
        <v>FIN Approval - Internal</v>
      </c>
      <c r="P61" s="184">
        <f>IFERROR(VLOOKUP(A61,[1]Approval!A:J,10,FALSE),"")</f>
        <v>42478</v>
      </c>
      <c r="R61" s="425">
        <f>2020-YEAR(Table227[[#This Row],[In-
Service
Date]])</f>
        <v>8</v>
      </c>
      <c r="S61" s="308">
        <f>+Table227[[#This Row],[Proj To Date
Actuals]]*1.02^R61</f>
        <v>28721.800300825715</v>
      </c>
    </row>
    <row r="62" spans="1:19" x14ac:dyDescent="0.25">
      <c r="A62" s="476" t="s">
        <v>518</v>
      </c>
      <c r="B62" s="475" t="s">
        <v>4042</v>
      </c>
      <c r="C62" s="422" t="e">
        <f>VLOOKUP(B62,'Matter &amp; CI#'!$D$4:$E$595,2,FALSE)</f>
        <v>#N/A</v>
      </c>
      <c r="D62" s="476" t="s">
        <v>519</v>
      </c>
      <c r="E62" s="476" t="s">
        <v>8</v>
      </c>
      <c r="F62" s="476" t="s">
        <v>9</v>
      </c>
      <c r="G62" s="475" t="s">
        <v>2013</v>
      </c>
      <c r="H62" s="516"/>
      <c r="I62" s="477" t="s">
        <v>5</v>
      </c>
      <c r="J62" s="476" t="s">
        <v>14</v>
      </c>
      <c r="K62" s="476" t="s">
        <v>7</v>
      </c>
      <c r="L62" s="184">
        <v>40980</v>
      </c>
      <c r="M62" s="184">
        <v>41606</v>
      </c>
      <c r="N62" s="480">
        <v>344057.16</v>
      </c>
      <c r="O62" s="478" t="str">
        <f>IFERROR(VLOOKUP(A62,[1]Approval!A:C,3,FALSE),"")</f>
        <v>zINVALID FIN Approval - Internal</v>
      </c>
      <c r="P62" s="184">
        <f>IFERROR(VLOOKUP(A62,[1]Approval!A:J,10,FALSE),"")</f>
        <v>41606</v>
      </c>
      <c r="R62" s="425">
        <f>2020-YEAR(Table227[[#This Row],[In-
Service
Date]])</f>
        <v>8</v>
      </c>
      <c r="S62" s="308">
        <f>+Table227[[#This Row],[Proj To Date
Actuals]]*1.02^R62</f>
        <v>403117.79911499738</v>
      </c>
    </row>
    <row r="63" spans="1:19" x14ac:dyDescent="0.25">
      <c r="A63" s="476" t="s">
        <v>524</v>
      </c>
      <c r="B63" s="475" t="s">
        <v>4046</v>
      </c>
      <c r="C63" s="422" t="e">
        <f>VLOOKUP(B63,'Matter &amp; CI#'!$D$4:$E$595,2,FALSE)</f>
        <v>#N/A</v>
      </c>
      <c r="D63" s="476" t="s">
        <v>525</v>
      </c>
      <c r="E63" s="476" t="s">
        <v>8</v>
      </c>
      <c r="F63" s="476" t="s">
        <v>9</v>
      </c>
      <c r="G63" s="475" t="s">
        <v>2013</v>
      </c>
      <c r="H63" s="516"/>
      <c r="I63" s="477" t="s">
        <v>5</v>
      </c>
      <c r="J63" s="476" t="s">
        <v>6</v>
      </c>
      <c r="K63" s="476" t="s">
        <v>7</v>
      </c>
      <c r="L63" s="184">
        <v>40980</v>
      </c>
      <c r="M63" s="184">
        <v>41831</v>
      </c>
      <c r="N63" s="480">
        <v>75136.12</v>
      </c>
      <c r="O63" s="478" t="str">
        <f>IFERROR(VLOOKUP(A63,[1]Approval!A:C,3,FALSE),"")</f>
        <v>zINVALID FIN Approval - Internal</v>
      </c>
      <c r="P63" s="184">
        <f>IFERROR(VLOOKUP(A63,[1]Approval!A:J,10,FALSE),"")</f>
        <v>41831</v>
      </c>
      <c r="R63" s="425">
        <f>2020-YEAR(Table227[[#This Row],[In-
Service
Date]])</f>
        <v>8</v>
      </c>
      <c r="S63" s="308">
        <f>+Table227[[#This Row],[Proj To Date
Actuals]]*1.02^R63</f>
        <v>88033.939850111943</v>
      </c>
    </row>
    <row r="64" spans="1:19" x14ac:dyDescent="0.25">
      <c r="A64" s="476" t="s">
        <v>514</v>
      </c>
      <c r="B64" s="475" t="s">
        <v>4110</v>
      </c>
      <c r="C64" s="422" t="e">
        <f>VLOOKUP(B64,'Matter &amp; CI#'!$D$4:$E$595,2,FALSE)</f>
        <v>#N/A</v>
      </c>
      <c r="D64" s="476" t="s">
        <v>515</v>
      </c>
      <c r="E64" s="476" t="s">
        <v>8</v>
      </c>
      <c r="F64" s="476" t="s">
        <v>9</v>
      </c>
      <c r="G64" s="475" t="s">
        <v>2013</v>
      </c>
      <c r="H64" s="516"/>
      <c r="I64" s="477" t="s">
        <v>5</v>
      </c>
      <c r="J64" s="476" t="s">
        <v>12</v>
      </c>
      <c r="K64" s="476" t="s">
        <v>7</v>
      </c>
      <c r="L64" s="184">
        <v>40980</v>
      </c>
      <c r="M64" s="184">
        <v>41852</v>
      </c>
      <c r="N64" s="480">
        <v>77021.14</v>
      </c>
      <c r="O64" s="478" t="str">
        <f>IFERROR(VLOOKUP(A64,[1]Approval!A:C,3,FALSE),"")</f>
        <v>zINVALID FIN Approval - Internal</v>
      </c>
      <c r="P64" s="184">
        <f>IFERROR(VLOOKUP(A64,[1]Approval!A:J,10,FALSE),"")</f>
        <v>41859</v>
      </c>
      <c r="R64" s="425">
        <f>2020-YEAR(Table227[[#This Row],[In-
Service
Date]])</f>
        <v>8</v>
      </c>
      <c r="S64" s="308">
        <f>+Table227[[#This Row],[Proj To Date
Actuals]]*1.02^R64</f>
        <v>90242.541216488826</v>
      </c>
    </row>
    <row r="65" spans="1:19" x14ac:dyDescent="0.25">
      <c r="A65" s="476" t="s">
        <v>1250</v>
      </c>
      <c r="B65" s="475" t="s">
        <v>4113</v>
      </c>
      <c r="C65" s="422" t="e">
        <f>VLOOKUP(B65,'Matter &amp; CI#'!$D$4:$E$595,2,FALSE)</f>
        <v>#N/A</v>
      </c>
      <c r="D65" s="476" t="s">
        <v>1251</v>
      </c>
      <c r="E65" s="476" t="s">
        <v>8</v>
      </c>
      <c r="F65" s="476" t="s">
        <v>9</v>
      </c>
      <c r="G65" s="475" t="s">
        <v>2013</v>
      </c>
      <c r="H65" s="516"/>
      <c r="I65" s="477" t="s">
        <v>5</v>
      </c>
      <c r="J65" s="476" t="s">
        <v>14</v>
      </c>
      <c r="K65" s="476" t="s">
        <v>7</v>
      </c>
      <c r="L65" s="184">
        <v>40980</v>
      </c>
      <c r="M65" s="184">
        <v>41843</v>
      </c>
      <c r="N65" s="480">
        <v>43857.68</v>
      </c>
      <c r="O65" s="478" t="str">
        <f>IFERROR(VLOOKUP(A65,[1]Approval!A:C,3,FALSE),"")</f>
        <v>zINVALID FIN Approval - Internal</v>
      </c>
      <c r="P65" s="184">
        <f>IFERROR(VLOOKUP(A65,[1]Approval!A:J,10,FALSE),"")</f>
        <v>41843</v>
      </c>
      <c r="R65" s="425">
        <f>2020-YEAR(Table227[[#This Row],[In-
Service
Date]])</f>
        <v>8</v>
      </c>
      <c r="S65" s="308">
        <f>+Table227[[#This Row],[Proj To Date
Actuals]]*1.02^R65</f>
        <v>51386.262200995443</v>
      </c>
    </row>
    <row r="66" spans="1:19" x14ac:dyDescent="0.25">
      <c r="A66" s="476" t="s">
        <v>1532</v>
      </c>
      <c r="B66" s="475" t="s">
        <v>4086</v>
      </c>
      <c r="C66" s="422" t="e">
        <f>VLOOKUP(B66,'Matter &amp; CI#'!$D$4:$E$595,2,FALSE)</f>
        <v>#N/A</v>
      </c>
      <c r="D66" s="476" t="s">
        <v>1533</v>
      </c>
      <c r="E66" s="476" t="s">
        <v>10</v>
      </c>
      <c r="F66" s="476" t="s">
        <v>9</v>
      </c>
      <c r="G66" s="475" t="s">
        <v>2013</v>
      </c>
      <c r="H66" s="516"/>
      <c r="I66" s="477" t="s">
        <v>5</v>
      </c>
      <c r="J66" s="476" t="s">
        <v>6</v>
      </c>
      <c r="K66" s="476" t="s">
        <v>7</v>
      </c>
      <c r="L66" s="184">
        <v>40999</v>
      </c>
      <c r="M66" s="184">
        <v>41843</v>
      </c>
      <c r="N66" s="480">
        <v>777646.34</v>
      </c>
      <c r="O66" s="478" t="str">
        <f>IFERROR(VLOOKUP(A66,[1]Approval!A:C,3,FALSE),"")</f>
        <v>FIN Approval - Internal</v>
      </c>
      <c r="P66" s="184">
        <f>IFERROR(VLOOKUP(A66,[1]Approval!A:J,10,FALSE),"")</f>
        <v>41843</v>
      </c>
      <c r="R66" s="425">
        <f>2020-YEAR(Table227[[#This Row],[In-
Service
Date]])</f>
        <v>8</v>
      </c>
      <c r="S66" s="308">
        <f>+Table227[[#This Row],[Proj To Date
Actuals]]*1.02^R66</f>
        <v>911136.62936307723</v>
      </c>
    </row>
    <row r="67" spans="1:19" x14ac:dyDescent="0.25">
      <c r="A67" s="476" t="s">
        <v>520</v>
      </c>
      <c r="B67" s="475" t="s">
        <v>4118</v>
      </c>
      <c r="C67" s="422" t="e">
        <f>VLOOKUP(B67,'Matter &amp; CI#'!$D$4:$E$595,2,FALSE)</f>
        <v>#N/A</v>
      </c>
      <c r="D67" s="476" t="s">
        <v>521</v>
      </c>
      <c r="E67" s="476" t="s">
        <v>8</v>
      </c>
      <c r="F67" s="476" t="s">
        <v>9</v>
      </c>
      <c r="G67" s="475" t="s">
        <v>2013</v>
      </c>
      <c r="H67" s="516"/>
      <c r="I67" s="477" t="s">
        <v>5</v>
      </c>
      <c r="J67" s="476" t="s">
        <v>14</v>
      </c>
      <c r="K67" s="476" t="s">
        <v>7</v>
      </c>
      <c r="L67" s="184">
        <v>41024</v>
      </c>
      <c r="M67" s="184">
        <v>41831</v>
      </c>
      <c r="N67" s="480">
        <v>155526.76999999999</v>
      </c>
      <c r="O67" s="478" t="str">
        <f>IFERROR(VLOOKUP(A67,[1]Approval!A:C,3,FALSE),"")</f>
        <v>zINVALID FIN Approval - Internal</v>
      </c>
      <c r="P67" s="184">
        <f>IFERROR(VLOOKUP(A67,[1]Approval!A:J,10,FALSE),"")</f>
        <v>41831</v>
      </c>
      <c r="R67" s="425">
        <f>2020-YEAR(Table227[[#This Row],[In-
Service
Date]])</f>
        <v>8</v>
      </c>
      <c r="S67" s="308">
        <f>+Table227[[#This Row],[Proj To Date
Actuals]]*1.02^R67</f>
        <v>182224.39906748172</v>
      </c>
    </row>
    <row r="68" spans="1:19" x14ac:dyDescent="0.25">
      <c r="A68" s="476" t="s">
        <v>287</v>
      </c>
      <c r="B68" s="475" t="s">
        <v>4116</v>
      </c>
      <c r="C68" s="422" t="e">
        <f>VLOOKUP(B68,'Matter &amp; CI#'!$D$4:$E$595,2,FALSE)</f>
        <v>#N/A</v>
      </c>
      <c r="D68" s="476" t="s">
        <v>288</v>
      </c>
      <c r="E68" s="476" t="s">
        <v>10</v>
      </c>
      <c r="F68" s="476" t="s">
        <v>9</v>
      </c>
      <c r="G68" s="475" t="s">
        <v>2013</v>
      </c>
      <c r="H68" s="516"/>
      <c r="I68" s="477" t="s">
        <v>5</v>
      </c>
      <c r="J68" s="476" t="s">
        <v>14</v>
      </c>
      <c r="K68" s="476" t="s">
        <v>7</v>
      </c>
      <c r="L68" s="184">
        <v>41085</v>
      </c>
      <c r="M68" s="184">
        <v>42400</v>
      </c>
      <c r="N68" s="480">
        <v>81582.97</v>
      </c>
      <c r="O68" s="478" t="str">
        <f>IFERROR(VLOOKUP(A68,[1]Approval!A:C,3,FALSE),"")</f>
        <v>FIN Approval - Internal</v>
      </c>
      <c r="P68" s="184">
        <f>IFERROR(VLOOKUP(A68,[1]Approval!A:J,10,FALSE),"")</f>
        <v>42418</v>
      </c>
      <c r="R68" s="425">
        <f>2020-YEAR(Table227[[#This Row],[In-
Service
Date]])</f>
        <v>8</v>
      </c>
      <c r="S68" s="308">
        <f>+Table227[[#This Row],[Proj To Date
Actuals]]*1.02^R68</f>
        <v>95587.452130526406</v>
      </c>
    </row>
    <row r="69" spans="1:19" x14ac:dyDescent="0.25">
      <c r="A69" s="476" t="s">
        <v>542</v>
      </c>
      <c r="B69" s="475" t="s">
        <v>3994</v>
      </c>
      <c r="C69" s="422" t="e">
        <f>VLOOKUP(B69,'Matter &amp; CI#'!$D$4:$E$595,2,FALSE)</f>
        <v>#N/A</v>
      </c>
      <c r="D69" s="476" t="s">
        <v>543</v>
      </c>
      <c r="E69" s="476" t="s">
        <v>544</v>
      </c>
      <c r="F69" s="476" t="s">
        <v>9</v>
      </c>
      <c r="G69" s="475" t="s">
        <v>2013</v>
      </c>
      <c r="H69" s="516"/>
      <c r="I69" s="477" t="s">
        <v>5</v>
      </c>
      <c r="J69" s="476" t="s">
        <v>6</v>
      </c>
      <c r="K69" s="476" t="s">
        <v>28</v>
      </c>
      <c r="L69" s="184">
        <v>41170</v>
      </c>
      <c r="N69" s="480">
        <v>37754459.079999998</v>
      </c>
      <c r="O69" s="478" t="str">
        <f>IFERROR(VLOOKUP(A69,[1]Approval!A:C,3,FALSE),"")</f>
        <v/>
      </c>
      <c r="P69" s="184" t="str">
        <f>IFERROR(VLOOKUP(A69,[1]Approval!A:J,10,FALSE),"")</f>
        <v/>
      </c>
      <c r="R69" s="425">
        <f>2020-YEAR(Table227[[#This Row],[In-
Service
Date]])</f>
        <v>8</v>
      </c>
      <c r="S69" s="308">
        <f>+Table227[[#This Row],[Proj To Date
Actuals]]*1.02^R69</f>
        <v>44235366.155748159</v>
      </c>
    </row>
    <row r="70" spans="1:19" x14ac:dyDescent="0.25">
      <c r="A70" s="476" t="s">
        <v>301</v>
      </c>
      <c r="B70" s="475" t="s">
        <v>4047</v>
      </c>
      <c r="C70" s="422" t="e">
        <f>VLOOKUP(B70,'Matter &amp; CI#'!$D$4:$E$595,2,FALSE)</f>
        <v>#N/A</v>
      </c>
      <c r="D70" s="476" t="s">
        <v>302</v>
      </c>
      <c r="E70" s="476" t="s">
        <v>8</v>
      </c>
      <c r="F70" s="476" t="s">
        <v>9</v>
      </c>
      <c r="G70" s="475" t="s">
        <v>2013</v>
      </c>
      <c r="H70" s="516"/>
      <c r="I70" s="477" t="s">
        <v>5</v>
      </c>
      <c r="J70" s="476" t="s">
        <v>6</v>
      </c>
      <c r="K70" s="476" t="s">
        <v>7</v>
      </c>
      <c r="L70" s="184">
        <v>41176</v>
      </c>
      <c r="M70" s="184">
        <v>41852</v>
      </c>
      <c r="N70" s="480">
        <v>120766.55</v>
      </c>
      <c r="O70" s="478" t="str">
        <f>IFERROR(VLOOKUP(A70,[1]Approval!A:C,3,FALSE),"")</f>
        <v>zINVALID FIN Approval - Internal</v>
      </c>
      <c r="P70" s="184">
        <f>IFERROR(VLOOKUP(A70,[1]Approval!A:J,10,FALSE),"")</f>
        <v>41859</v>
      </c>
      <c r="R70" s="425">
        <f>2020-YEAR(Table227[[#This Row],[In-
Service
Date]])</f>
        <v>8</v>
      </c>
      <c r="S70" s="308">
        <f>+Table227[[#This Row],[Proj To Date
Actuals]]*1.02^R70</f>
        <v>141497.26121877914</v>
      </c>
    </row>
    <row r="71" spans="1:19" x14ac:dyDescent="0.25">
      <c r="A71" s="476" t="s">
        <v>74</v>
      </c>
      <c r="B71" s="475" t="s">
        <v>4050</v>
      </c>
      <c r="C71" s="422" t="e">
        <f>VLOOKUP(B71,'Matter &amp; CI#'!$D$4:$E$595,2,FALSE)</f>
        <v>#N/A</v>
      </c>
      <c r="D71" s="476" t="s">
        <v>75</v>
      </c>
      <c r="E71" s="476" t="s">
        <v>8</v>
      </c>
      <c r="F71" s="476" t="s">
        <v>9</v>
      </c>
      <c r="G71" s="475" t="s">
        <v>2013</v>
      </c>
      <c r="H71" s="516"/>
      <c r="I71" s="477" t="s">
        <v>5</v>
      </c>
      <c r="J71" s="476" t="s">
        <v>6</v>
      </c>
      <c r="K71" s="476" t="s">
        <v>7</v>
      </c>
      <c r="L71" s="184">
        <v>41176</v>
      </c>
      <c r="M71" s="184">
        <v>41831</v>
      </c>
      <c r="N71" s="480">
        <v>178591.03</v>
      </c>
      <c r="O71" s="478" t="str">
        <f>IFERROR(VLOOKUP(A71,[1]Approval!A:C,3,FALSE),"")</f>
        <v>zINVALID FIN Approval - Internal</v>
      </c>
      <c r="P71" s="184">
        <f>IFERROR(VLOOKUP(A71,[1]Approval!A:J,10,FALSE),"")</f>
        <v>41831</v>
      </c>
      <c r="R71" s="425">
        <f>2020-YEAR(Table227[[#This Row],[In-
Service
Date]])</f>
        <v>8</v>
      </c>
      <c r="S71" s="308">
        <f>+Table227[[#This Row],[Proj To Date
Actuals]]*1.02^R71</f>
        <v>209247.85566235703</v>
      </c>
    </row>
    <row r="72" spans="1:19" x14ac:dyDescent="0.25">
      <c r="A72" s="476" t="s">
        <v>763</v>
      </c>
      <c r="B72" s="475" t="s">
        <v>4051</v>
      </c>
      <c r="C72" s="422" t="e">
        <f>VLOOKUP(B72,'Matter &amp; CI#'!$D$4:$E$595,2,FALSE)</f>
        <v>#N/A</v>
      </c>
      <c r="D72" s="476" t="s">
        <v>764</v>
      </c>
      <c r="E72" s="476" t="s">
        <v>8</v>
      </c>
      <c r="F72" s="476" t="s">
        <v>9</v>
      </c>
      <c r="G72" s="475" t="s">
        <v>2013</v>
      </c>
      <c r="H72" s="516"/>
      <c r="I72" s="477" t="s">
        <v>5</v>
      </c>
      <c r="J72" s="476" t="s">
        <v>6</v>
      </c>
      <c r="K72" s="476" t="s">
        <v>7</v>
      </c>
      <c r="L72" s="184">
        <v>41176</v>
      </c>
      <c r="M72" s="184">
        <v>41831</v>
      </c>
      <c r="N72" s="480">
        <v>184808</v>
      </c>
      <c r="O72" s="478" t="str">
        <f>IFERROR(VLOOKUP(A72,[1]Approval!A:C,3,FALSE),"")</f>
        <v>zINVALID FIN Approval - Internal</v>
      </c>
      <c r="P72" s="184">
        <f>IFERROR(VLOOKUP(A72,[1]Approval!A:J,10,FALSE),"")</f>
        <v>41831</v>
      </c>
      <c r="R72" s="425">
        <f>2020-YEAR(Table227[[#This Row],[In-
Service
Date]])</f>
        <v>8</v>
      </c>
      <c r="S72" s="308">
        <f>+Table227[[#This Row],[Proj To Date
Actuals]]*1.02^R72</f>
        <v>216532.0268842667</v>
      </c>
    </row>
    <row r="73" spans="1:19" x14ac:dyDescent="0.25">
      <c r="A73" s="476" t="s">
        <v>1789</v>
      </c>
      <c r="B73" s="475" t="s">
        <v>4052</v>
      </c>
      <c r="C73" s="422" t="e">
        <f>VLOOKUP(B73,'Matter &amp; CI#'!$D$4:$E$595,2,FALSE)</f>
        <v>#N/A</v>
      </c>
      <c r="D73" s="476" t="s">
        <v>1790</v>
      </c>
      <c r="E73" s="476" t="s">
        <v>8</v>
      </c>
      <c r="F73" s="476" t="s">
        <v>9</v>
      </c>
      <c r="G73" s="475" t="s">
        <v>2013</v>
      </c>
      <c r="H73" s="516"/>
      <c r="I73" s="477" t="s">
        <v>5</v>
      </c>
      <c r="J73" s="476" t="s">
        <v>6</v>
      </c>
      <c r="K73" s="476" t="s">
        <v>7</v>
      </c>
      <c r="L73" s="184">
        <v>41176</v>
      </c>
      <c r="M73" s="184">
        <v>41831</v>
      </c>
      <c r="N73" s="480">
        <v>610418.81999999995</v>
      </c>
      <c r="O73" s="478" t="str">
        <f>IFERROR(VLOOKUP(A73,[1]Approval!A:C,3,FALSE),"")</f>
        <v>zINVALID FIN Approval - Internal</v>
      </c>
      <c r="P73" s="184">
        <f>IFERROR(VLOOKUP(A73,[1]Approval!A:J,10,FALSE),"")</f>
        <v>41831</v>
      </c>
      <c r="R73" s="425">
        <f>2020-YEAR(Table227[[#This Row],[In-
Service
Date]])</f>
        <v>8</v>
      </c>
      <c r="S73" s="308">
        <f>+Table227[[#This Row],[Proj To Date
Actuals]]*1.02^R73</f>
        <v>715202.93679333327</v>
      </c>
    </row>
    <row r="74" spans="1:19" x14ac:dyDescent="0.25">
      <c r="A74" s="476" t="s">
        <v>526</v>
      </c>
      <c r="B74" s="475" t="s">
        <v>4054</v>
      </c>
      <c r="C74" s="422" t="e">
        <f>VLOOKUP(B74,'Matter &amp; CI#'!$D$4:$E$595,2,FALSE)</f>
        <v>#N/A</v>
      </c>
      <c r="D74" s="476" t="s">
        <v>527</v>
      </c>
      <c r="E74" s="476" t="s">
        <v>8</v>
      </c>
      <c r="F74" s="476" t="s">
        <v>9</v>
      </c>
      <c r="G74" s="475" t="s">
        <v>2013</v>
      </c>
      <c r="H74" s="516"/>
      <c r="I74" s="477" t="s">
        <v>5</v>
      </c>
      <c r="J74" s="476" t="s">
        <v>6</v>
      </c>
      <c r="K74" s="476" t="s">
        <v>7</v>
      </c>
      <c r="L74" s="184">
        <v>41176</v>
      </c>
      <c r="M74" s="184">
        <v>41831</v>
      </c>
      <c r="N74" s="480">
        <v>146834.32999999999</v>
      </c>
      <c r="O74" s="478" t="str">
        <f>IFERROR(VLOOKUP(A74,[1]Approval!A:C,3,FALSE),"")</f>
        <v>zINVALID FIN Approval - Internal</v>
      </c>
      <c r="P74" s="184">
        <f>IFERROR(VLOOKUP(A74,[1]Approval!A:J,10,FALSE),"")</f>
        <v>41831</v>
      </c>
      <c r="R74" s="425">
        <f>2020-YEAR(Table227[[#This Row],[In-
Service
Date]])</f>
        <v>8</v>
      </c>
      <c r="S74" s="308">
        <f>+Table227[[#This Row],[Proj To Date
Actuals]]*1.02^R74</f>
        <v>172039.82019768236</v>
      </c>
    </row>
    <row r="75" spans="1:19" x14ac:dyDescent="0.25">
      <c r="A75" s="476" t="s">
        <v>1274</v>
      </c>
      <c r="B75" s="475" t="s">
        <v>4066</v>
      </c>
      <c r="C75" s="422" t="e">
        <f>VLOOKUP(B75,'Matter &amp; CI#'!$D$4:$E$595,2,FALSE)</f>
        <v>#N/A</v>
      </c>
      <c r="D75" s="476" t="s">
        <v>1275</v>
      </c>
      <c r="E75" s="476" t="s">
        <v>8</v>
      </c>
      <c r="F75" s="476" t="s">
        <v>9</v>
      </c>
      <c r="G75" s="475" t="s">
        <v>2013</v>
      </c>
      <c r="H75" s="516"/>
      <c r="I75" s="477" t="s">
        <v>5</v>
      </c>
      <c r="J75" s="476" t="s">
        <v>6</v>
      </c>
      <c r="K75" s="476" t="s">
        <v>7</v>
      </c>
      <c r="L75" s="184">
        <v>41176</v>
      </c>
      <c r="M75" s="184">
        <v>41852</v>
      </c>
      <c r="N75" s="480">
        <v>232933.62</v>
      </c>
      <c r="O75" s="478" t="str">
        <f>IFERROR(VLOOKUP(A75,[1]Approval!A:C,3,FALSE),"")</f>
        <v>zINVALID FIN Approval - Internal</v>
      </c>
      <c r="P75" s="184">
        <f>IFERROR(VLOOKUP(A75,[1]Approval!A:J,10,FALSE),"")</f>
        <v>41859</v>
      </c>
      <c r="R75" s="425">
        <f>2020-YEAR(Table227[[#This Row],[In-
Service
Date]])</f>
        <v>8</v>
      </c>
      <c r="S75" s="308">
        <f>+Table227[[#This Row],[Proj To Date
Actuals]]*1.02^R75</f>
        <v>272918.86102381692</v>
      </c>
    </row>
    <row r="76" spans="1:19" x14ac:dyDescent="0.25">
      <c r="A76" s="476" t="s">
        <v>1254</v>
      </c>
      <c r="B76" s="475" t="s">
        <v>4112</v>
      </c>
      <c r="C76" s="422" t="e">
        <f>VLOOKUP(B76,'Matter &amp; CI#'!$D$4:$E$595,2,FALSE)</f>
        <v>#N/A</v>
      </c>
      <c r="D76" s="476" t="s">
        <v>1255</v>
      </c>
      <c r="E76" s="476" t="s">
        <v>8</v>
      </c>
      <c r="F76" s="476" t="s">
        <v>9</v>
      </c>
      <c r="G76" s="475" t="s">
        <v>2013</v>
      </c>
      <c r="H76" s="516"/>
      <c r="I76" s="477" t="s">
        <v>5</v>
      </c>
      <c r="J76" s="476" t="s">
        <v>12</v>
      </c>
      <c r="K76" s="476" t="s">
        <v>7</v>
      </c>
      <c r="L76" s="184">
        <v>41176</v>
      </c>
      <c r="M76" s="184">
        <v>41606</v>
      </c>
      <c r="N76" s="480">
        <v>65841.490000000005</v>
      </c>
      <c r="O76" s="478" t="str">
        <f>IFERROR(VLOOKUP(A76,[1]Approval!A:C,3,FALSE),"")</f>
        <v>zINVALID FIN Approval - Internal</v>
      </c>
      <c r="P76" s="184">
        <f>IFERROR(VLOOKUP(A76,[1]Approval!A:J,10,FALSE),"")</f>
        <v>41606</v>
      </c>
      <c r="R76" s="425">
        <f>2020-YEAR(Table227[[#This Row],[In-
Service
Date]])</f>
        <v>8</v>
      </c>
      <c r="S76" s="308">
        <f>+Table227[[#This Row],[Proj To Date
Actuals]]*1.02^R76</f>
        <v>77143.799417666858</v>
      </c>
    </row>
    <row r="77" spans="1:19" x14ac:dyDescent="0.25">
      <c r="A77" s="476" t="s">
        <v>295</v>
      </c>
      <c r="B77" s="475" t="s">
        <v>4124</v>
      </c>
      <c r="C77" s="422" t="e">
        <f>VLOOKUP(B77,'Matter &amp; CI#'!$D$4:$E$595,2,FALSE)</f>
        <v>#N/A</v>
      </c>
      <c r="D77" s="476" t="s">
        <v>296</v>
      </c>
      <c r="E77" s="476" t="s">
        <v>8</v>
      </c>
      <c r="F77" s="476" t="s">
        <v>9</v>
      </c>
      <c r="G77" s="475" t="s">
        <v>2013</v>
      </c>
      <c r="H77" s="516"/>
      <c r="I77" s="477" t="s">
        <v>5</v>
      </c>
      <c r="J77" s="476" t="s">
        <v>14</v>
      </c>
      <c r="K77" s="476" t="s">
        <v>7</v>
      </c>
      <c r="L77" s="184">
        <v>41176</v>
      </c>
      <c r="M77" s="184">
        <v>41843</v>
      </c>
      <c r="N77" s="480">
        <v>29665.08</v>
      </c>
      <c r="O77" s="478" t="str">
        <f>IFERROR(VLOOKUP(A77,[1]Approval!A:C,3,FALSE),"")</f>
        <v>zINVALID FIN Approval - Internal</v>
      </c>
      <c r="P77" s="184">
        <f>IFERROR(VLOOKUP(A77,[1]Approval!A:J,10,FALSE),"")</f>
        <v>41843</v>
      </c>
      <c r="R77" s="425">
        <f>2020-YEAR(Table227[[#This Row],[In-
Service
Date]])</f>
        <v>8</v>
      </c>
      <c r="S77" s="308">
        <f>+Table227[[#This Row],[Proj To Date
Actuals]]*1.02^R77</f>
        <v>34757.369270182688</v>
      </c>
    </row>
    <row r="78" spans="1:19" x14ac:dyDescent="0.25">
      <c r="A78" s="476" t="s">
        <v>299</v>
      </c>
      <c r="B78" s="475" t="s">
        <v>4127</v>
      </c>
      <c r="C78" s="422" t="e">
        <f>VLOOKUP(B78,'Matter &amp; CI#'!$D$4:$E$595,2,FALSE)</f>
        <v>#N/A</v>
      </c>
      <c r="D78" s="476" t="s">
        <v>300</v>
      </c>
      <c r="E78" s="476" t="s">
        <v>8</v>
      </c>
      <c r="F78" s="476" t="s">
        <v>9</v>
      </c>
      <c r="G78" s="475" t="s">
        <v>2013</v>
      </c>
      <c r="H78" s="516"/>
      <c r="I78" s="477" t="s">
        <v>5</v>
      </c>
      <c r="J78" s="476" t="s">
        <v>14</v>
      </c>
      <c r="K78" s="476" t="s">
        <v>7</v>
      </c>
      <c r="L78" s="184">
        <v>41176</v>
      </c>
      <c r="M78" s="184">
        <v>41843</v>
      </c>
      <c r="N78" s="480">
        <v>110082</v>
      </c>
      <c r="O78" s="478" t="str">
        <f>IFERROR(VLOOKUP(A78,[1]Approval!A:C,3,FALSE),"")</f>
        <v>zINVALID FIN Approval - Internal</v>
      </c>
      <c r="P78" s="184">
        <f>IFERROR(VLOOKUP(A78,[1]Approval!A:J,10,FALSE),"")</f>
        <v>41843</v>
      </c>
      <c r="R78" s="425">
        <f>2020-YEAR(Table227[[#This Row],[In-
Service
Date]])</f>
        <v>8</v>
      </c>
      <c r="S78" s="308">
        <f>+Table227[[#This Row],[Proj To Date
Actuals]]*1.02^R78</f>
        <v>128978.6079794914</v>
      </c>
    </row>
    <row r="79" spans="1:19" x14ac:dyDescent="0.25">
      <c r="A79" s="476" t="s">
        <v>1536</v>
      </c>
      <c r="B79" s="475" t="s">
        <v>4128</v>
      </c>
      <c r="C79" s="422" t="e">
        <f>VLOOKUP(B79,'Matter &amp; CI#'!$D$4:$E$595,2,FALSE)</f>
        <v>#N/A</v>
      </c>
      <c r="D79" s="476" t="s">
        <v>1537</v>
      </c>
      <c r="E79" s="476" t="s">
        <v>8</v>
      </c>
      <c r="F79" s="476" t="s">
        <v>9</v>
      </c>
      <c r="G79" s="475" t="s">
        <v>2013</v>
      </c>
      <c r="H79" s="516"/>
      <c r="I79" s="477" t="s">
        <v>5</v>
      </c>
      <c r="J79" s="476" t="s">
        <v>14</v>
      </c>
      <c r="K79" s="476" t="s">
        <v>7</v>
      </c>
      <c r="L79" s="184">
        <v>41176</v>
      </c>
      <c r="M79" s="184">
        <v>41852</v>
      </c>
      <c r="N79" s="480">
        <v>291049.77</v>
      </c>
      <c r="O79" s="478" t="str">
        <f>IFERROR(VLOOKUP(A79,[1]Approval!A:C,3,FALSE),"")</f>
        <v>zINVALID FIN Approval - Internal</v>
      </c>
      <c r="P79" s="184">
        <f>IFERROR(VLOOKUP(A79,[1]Approval!A:J,10,FALSE),"")</f>
        <v>41859</v>
      </c>
      <c r="R79" s="425">
        <f>2020-YEAR(Table227[[#This Row],[In-
Service
Date]])</f>
        <v>8</v>
      </c>
      <c r="S79" s="308">
        <f>+Table227[[#This Row],[Proj To Date
Actuals]]*1.02^R79</f>
        <v>341011.19335905177</v>
      </c>
    </row>
    <row r="80" spans="1:19" x14ac:dyDescent="0.25">
      <c r="A80" s="476" t="s">
        <v>1042</v>
      </c>
      <c r="B80" s="475" t="s">
        <v>4201</v>
      </c>
      <c r="C80" s="422" t="e">
        <f>VLOOKUP(B80,'Matter &amp; CI#'!$D$4:$E$595,2,FALSE)</f>
        <v>#N/A</v>
      </c>
      <c r="D80" s="476" t="s">
        <v>1043</v>
      </c>
      <c r="E80" s="476" t="s">
        <v>8</v>
      </c>
      <c r="F80" s="476" t="s">
        <v>9</v>
      </c>
      <c r="G80" s="475" t="s">
        <v>2013</v>
      </c>
      <c r="H80" s="516"/>
      <c r="I80" s="477" t="s">
        <v>5</v>
      </c>
      <c r="J80" s="476" t="s">
        <v>40</v>
      </c>
      <c r="K80" s="476" t="s">
        <v>7</v>
      </c>
      <c r="L80" s="184">
        <v>41177</v>
      </c>
      <c r="M80" s="184">
        <v>41606</v>
      </c>
      <c r="N80" s="480">
        <v>64200.94</v>
      </c>
      <c r="O80" s="478" t="str">
        <f>IFERROR(VLOOKUP(A80,[1]Approval!A:C,3,FALSE),"")</f>
        <v>zINVALID FIN Approval - Internal</v>
      </c>
      <c r="P80" s="184">
        <f>IFERROR(VLOOKUP(A80,[1]Approval!A:J,10,FALSE),"")</f>
        <v>41606</v>
      </c>
      <c r="R80" s="425">
        <f>2020-YEAR(Table227[[#This Row],[In-
Service
Date]])</f>
        <v>8</v>
      </c>
      <c r="S80" s="308">
        <f>+Table227[[#This Row],[Proj To Date
Actuals]]*1.02^R80</f>
        <v>75221.633620163586</v>
      </c>
    </row>
    <row r="81" spans="1:19" x14ac:dyDescent="0.25">
      <c r="A81" s="476" t="s">
        <v>522</v>
      </c>
      <c r="B81" s="475" t="s">
        <v>4083</v>
      </c>
      <c r="C81" s="422" t="e">
        <f>VLOOKUP(B81,'Matter &amp; CI#'!$D$4:$E$595,2,FALSE)</f>
        <v>#N/A</v>
      </c>
      <c r="D81" s="476" t="s">
        <v>523</v>
      </c>
      <c r="E81" s="476" t="s">
        <v>21</v>
      </c>
      <c r="F81" s="476" t="s">
        <v>9</v>
      </c>
      <c r="G81" s="475" t="s">
        <v>2013</v>
      </c>
      <c r="H81" s="516"/>
      <c r="I81" s="477" t="s">
        <v>5</v>
      </c>
      <c r="J81" s="476" t="s">
        <v>6</v>
      </c>
      <c r="K81" s="476" t="s">
        <v>7</v>
      </c>
      <c r="L81" s="184">
        <v>41182</v>
      </c>
      <c r="M81" s="184">
        <v>42400</v>
      </c>
      <c r="N81" s="480">
        <v>2528062.7999999998</v>
      </c>
      <c r="O81" s="478" t="str">
        <f>IFERROR(VLOOKUP(A81,[1]Approval!A:C,3,FALSE),"")</f>
        <v>FIN Approval - Internal</v>
      </c>
      <c r="P81" s="184">
        <f>IFERROR(VLOOKUP(A81,[1]Approval!A:J,10,FALSE),"")</f>
        <v>42418</v>
      </c>
      <c r="R81" s="425">
        <f>2020-YEAR(Table227[[#This Row],[In-
Service
Date]])</f>
        <v>8</v>
      </c>
      <c r="S81" s="308">
        <f>+Table227[[#This Row],[Proj To Date
Actuals]]*1.02^R81</f>
        <v>2962028.4953828538</v>
      </c>
    </row>
    <row r="82" spans="1:19" x14ac:dyDescent="0.25">
      <c r="A82" s="476" t="s">
        <v>1026</v>
      </c>
      <c r="B82" s="475" t="s">
        <v>4053</v>
      </c>
      <c r="C82" s="422" t="e">
        <f>VLOOKUP(B82,'Matter &amp; CI#'!$D$4:$E$595,2,FALSE)</f>
        <v>#N/A</v>
      </c>
      <c r="D82" s="476" t="s">
        <v>1027</v>
      </c>
      <c r="E82" s="476" t="s">
        <v>10</v>
      </c>
      <c r="F82" s="476" t="s">
        <v>9</v>
      </c>
      <c r="G82" s="475" t="s">
        <v>2013</v>
      </c>
      <c r="H82" s="516"/>
      <c r="I82" s="477" t="s">
        <v>5</v>
      </c>
      <c r="J82" s="476" t="s">
        <v>6</v>
      </c>
      <c r="K82" s="476" t="s">
        <v>7</v>
      </c>
      <c r="L82" s="184">
        <v>41200</v>
      </c>
      <c r="M82" s="184">
        <v>42937</v>
      </c>
      <c r="N82" s="480">
        <v>736612</v>
      </c>
      <c r="O82" s="478" t="str">
        <f>IFERROR(VLOOKUP(A82,[1]Approval!A:C,3,FALSE),"")</f>
        <v>FIN Approval - Internal</v>
      </c>
      <c r="P82" s="184">
        <f>IFERROR(VLOOKUP(A82,[1]Approval!A:J,10,FALSE),"")</f>
        <v>42937</v>
      </c>
      <c r="R82" s="425">
        <f>2020-YEAR(Table227[[#This Row],[In-
Service
Date]])</f>
        <v>8</v>
      </c>
      <c r="S82" s="308">
        <f>+Table227[[#This Row],[Proj To Date
Actuals]]*1.02^R82</f>
        <v>863058.35995884077</v>
      </c>
    </row>
    <row r="83" spans="1:19" x14ac:dyDescent="0.25">
      <c r="A83" s="476" t="s">
        <v>779</v>
      </c>
      <c r="B83" s="475" t="s">
        <v>4072</v>
      </c>
      <c r="C83" s="422" t="e">
        <f>VLOOKUP(B83,'Matter &amp; CI#'!$D$4:$E$595,2,FALSE)</f>
        <v>#N/A</v>
      </c>
      <c r="D83" s="476" t="s">
        <v>780</v>
      </c>
      <c r="E83" s="476" t="s">
        <v>10</v>
      </c>
      <c r="F83" s="476" t="s">
        <v>9</v>
      </c>
      <c r="G83" s="475" t="s">
        <v>2013</v>
      </c>
      <c r="H83" s="516"/>
      <c r="I83" s="477" t="s">
        <v>5</v>
      </c>
      <c r="J83" s="476" t="s">
        <v>6</v>
      </c>
      <c r="K83" s="476" t="s">
        <v>7</v>
      </c>
      <c r="L83" s="184">
        <v>41200</v>
      </c>
      <c r="M83" s="184">
        <v>41852</v>
      </c>
      <c r="N83" s="480">
        <v>660248.68000000005</v>
      </c>
      <c r="O83" s="478" t="str">
        <f>IFERROR(VLOOKUP(A83,[1]Approval!A:C,3,FALSE),"")</f>
        <v>zINVALID FIN Approval - Internal</v>
      </c>
      <c r="P83" s="184">
        <f>IFERROR(VLOOKUP(A83,[1]Approval!A:J,10,FALSE),"")</f>
        <v>41859</v>
      </c>
      <c r="R83" s="425">
        <f>2020-YEAR(Table227[[#This Row],[In-
Service
Date]])</f>
        <v>8</v>
      </c>
      <c r="S83" s="308">
        <f>+Table227[[#This Row],[Proj To Date
Actuals]]*1.02^R83</f>
        <v>773586.55971636297</v>
      </c>
    </row>
    <row r="84" spans="1:19" x14ac:dyDescent="0.25">
      <c r="A84" s="476" t="s">
        <v>257</v>
      </c>
      <c r="B84" s="475" t="s">
        <v>3952</v>
      </c>
      <c r="C84" s="422" t="e">
        <f>VLOOKUP(B84,'Matter &amp; CI#'!$D$4:$E$595,2,FALSE)</f>
        <v>#N/A</v>
      </c>
      <c r="D84" s="476" t="s">
        <v>258</v>
      </c>
      <c r="E84" s="476" t="s">
        <v>8</v>
      </c>
      <c r="F84" s="476" t="s">
        <v>9</v>
      </c>
      <c r="G84" s="475" t="s">
        <v>2013</v>
      </c>
      <c r="H84" s="516"/>
      <c r="I84" s="477" t="s">
        <v>5</v>
      </c>
      <c r="J84" s="476" t="s">
        <v>14</v>
      </c>
      <c r="K84" s="476" t="s">
        <v>7</v>
      </c>
      <c r="L84" s="184">
        <v>41204</v>
      </c>
      <c r="M84" s="184">
        <v>41606</v>
      </c>
      <c r="N84" s="480">
        <v>159445.37</v>
      </c>
      <c r="O84" s="478" t="str">
        <f>IFERROR(VLOOKUP(A84,[1]Approval!A:C,3,FALSE),"")</f>
        <v>zINVALID FIN Approval - Internal</v>
      </c>
      <c r="P84" s="184">
        <f>IFERROR(VLOOKUP(A84,[1]Approval!A:J,10,FALSE),"")</f>
        <v>41606</v>
      </c>
      <c r="R84" s="425">
        <f>2020-YEAR(Table227[[#This Row],[In-
Service
Date]])</f>
        <v>8</v>
      </c>
      <c r="S84" s="308">
        <f>+Table227[[#This Row],[Proj To Date
Actuals]]*1.02^R84</f>
        <v>186815.6635178772</v>
      </c>
    </row>
    <row r="85" spans="1:19" x14ac:dyDescent="0.25">
      <c r="A85" s="476" t="s">
        <v>1783</v>
      </c>
      <c r="B85" s="475" t="s">
        <v>4122</v>
      </c>
      <c r="C85" s="422" t="e">
        <f>VLOOKUP(B85,'Matter &amp; CI#'!$D$4:$E$595,2,FALSE)</f>
        <v>#N/A</v>
      </c>
      <c r="D85" s="476" t="s">
        <v>1784</v>
      </c>
      <c r="E85" s="476" t="s">
        <v>10</v>
      </c>
      <c r="F85" s="476" t="s">
        <v>9</v>
      </c>
      <c r="G85" s="475" t="s">
        <v>2013</v>
      </c>
      <c r="H85" s="516"/>
      <c r="I85" s="477" t="s">
        <v>5</v>
      </c>
      <c r="J85" s="476" t="s">
        <v>43</v>
      </c>
      <c r="K85" s="476" t="s">
        <v>7</v>
      </c>
      <c r="L85" s="184">
        <v>41233</v>
      </c>
      <c r="M85" s="184">
        <v>43738</v>
      </c>
      <c r="N85" s="480">
        <v>0.03</v>
      </c>
      <c r="O85" s="478" t="str">
        <f>IFERROR(VLOOKUP(A85,[1]Approval!A:C,3,FALSE),"")</f>
        <v>FIN Approval - Internal</v>
      </c>
      <c r="P85" s="184">
        <f>IFERROR(VLOOKUP(A85,[1]Approval!A:J,10,FALSE),"")</f>
        <v>43677</v>
      </c>
      <c r="R85" s="425">
        <f>2020-YEAR(Table227[[#This Row],[In-
Service
Date]])</f>
        <v>8</v>
      </c>
      <c r="S85" s="308">
        <f>+Table227[[#This Row],[Proj To Date
Actuals]]*1.02^R85</f>
        <v>3.5149781430067965E-2</v>
      </c>
    </row>
    <row r="86" spans="1:19" x14ac:dyDescent="0.25">
      <c r="A86" s="476" t="s">
        <v>83</v>
      </c>
      <c r="B86" s="475" t="s">
        <v>4150</v>
      </c>
      <c r="C86" s="422" t="e">
        <f>VLOOKUP(B86,'Matter &amp; CI#'!$D$4:$E$595,2,FALSE)</f>
        <v>#N/A</v>
      </c>
      <c r="D86" s="476" t="s">
        <v>84</v>
      </c>
      <c r="E86" s="476" t="s">
        <v>8</v>
      </c>
      <c r="F86" s="476" t="s">
        <v>9</v>
      </c>
      <c r="G86" s="475" t="s">
        <v>2013</v>
      </c>
      <c r="H86" s="516"/>
      <c r="I86" s="477" t="s">
        <v>5</v>
      </c>
      <c r="J86" s="476" t="s">
        <v>26</v>
      </c>
      <c r="K86" s="476" t="s">
        <v>7</v>
      </c>
      <c r="L86" s="184">
        <v>41244</v>
      </c>
      <c r="M86" s="184">
        <v>41852</v>
      </c>
      <c r="N86" s="480">
        <v>115612.54</v>
      </c>
      <c r="O86" s="478" t="str">
        <f>IFERROR(VLOOKUP(A86,[1]Approval!A:C,3,FALSE),"")</f>
        <v>zINVALID FIN Approval - Internal</v>
      </c>
      <c r="P86" s="184">
        <f>IFERROR(VLOOKUP(A86,[1]Approval!A:J,10,FALSE),"")</f>
        <v>41859</v>
      </c>
      <c r="R86" s="425">
        <f>2020-YEAR(Table227[[#This Row],[In-
Service
Date]])</f>
        <v>8</v>
      </c>
      <c r="S86" s="308">
        <f>+Table227[[#This Row],[Proj To Date
Actuals]]*1.02^R86</f>
        <v>135458.51705249966</v>
      </c>
    </row>
    <row r="87" spans="1:19" x14ac:dyDescent="0.25">
      <c r="A87" s="476" t="s">
        <v>315</v>
      </c>
      <c r="B87" s="475" t="s">
        <v>3966</v>
      </c>
      <c r="C87" s="422" t="e">
        <f>VLOOKUP(B87,'Matter &amp; CI#'!$D$4:$E$595,2,FALSE)</f>
        <v>#N/A</v>
      </c>
      <c r="D87" s="476" t="s">
        <v>316</v>
      </c>
      <c r="E87" s="476" t="s">
        <v>21</v>
      </c>
      <c r="F87" s="476" t="s">
        <v>9</v>
      </c>
      <c r="G87" s="475" t="s">
        <v>2013</v>
      </c>
      <c r="H87" s="516"/>
      <c r="I87" s="477" t="s">
        <v>5</v>
      </c>
      <c r="J87" s="476" t="s">
        <v>6</v>
      </c>
      <c r="K87" s="476" t="s">
        <v>7</v>
      </c>
      <c r="L87" s="184">
        <v>41262</v>
      </c>
      <c r="M87" s="184">
        <v>42490</v>
      </c>
      <c r="N87" s="480">
        <v>623495.14</v>
      </c>
      <c r="O87" s="478" t="str">
        <f>IFERROR(VLOOKUP(A87,[1]Approval!A:C,3,FALSE),"")</f>
        <v>FIN Approval - Internal</v>
      </c>
      <c r="P87" s="184">
        <f>IFERROR(VLOOKUP(A87,[1]Approval!A:J,10,FALSE),"")</f>
        <v>42478</v>
      </c>
      <c r="R87" s="425">
        <f>2020-YEAR(Table227[[#This Row],[In-
Service
Date]])</f>
        <v>8</v>
      </c>
      <c r="S87" s="308">
        <f>+Table227[[#This Row],[Proj To Date
Actuals]]*1.02^R87</f>
        <v>730523.92979032092</v>
      </c>
    </row>
    <row r="88" spans="1:19" x14ac:dyDescent="0.25">
      <c r="A88" s="476" t="s">
        <v>1524</v>
      </c>
      <c r="B88" s="475" t="s">
        <v>4000</v>
      </c>
      <c r="C88" s="422" t="e">
        <f>VLOOKUP(B88,'Matter &amp; CI#'!$D$4:$E$595,2,FALSE)</f>
        <v>#N/A</v>
      </c>
      <c r="D88" s="476" t="s">
        <v>1525</v>
      </c>
      <c r="E88" s="476" t="s">
        <v>8</v>
      </c>
      <c r="F88" s="476" t="s">
        <v>9</v>
      </c>
      <c r="G88" s="475" t="s">
        <v>2013</v>
      </c>
      <c r="H88" s="516"/>
      <c r="I88" s="477" t="s">
        <v>5</v>
      </c>
      <c r="J88" s="476" t="s">
        <v>6</v>
      </c>
      <c r="K88" s="476" t="s">
        <v>7</v>
      </c>
      <c r="L88" s="184">
        <v>41262</v>
      </c>
      <c r="M88" s="184">
        <v>41843</v>
      </c>
      <c r="N88" s="480">
        <v>70101.009999999995</v>
      </c>
      <c r="O88" s="478" t="str">
        <f>IFERROR(VLOOKUP(A88,[1]Approval!A:C,3,FALSE),"")</f>
        <v>zINVALID FIN Approval - Internal</v>
      </c>
      <c r="P88" s="184">
        <f>IFERROR(VLOOKUP(A88,[1]Approval!A:J,10,FALSE),"")</f>
        <v>41843</v>
      </c>
      <c r="R88" s="425">
        <f>2020-YEAR(Table227[[#This Row],[In-
Service
Date]])</f>
        <v>8</v>
      </c>
      <c r="S88" s="308">
        <f>+Table227[[#This Row],[Proj To Date
Actuals]]*1.02^R88</f>
        <v>82134.50598423362</v>
      </c>
    </row>
    <row r="89" spans="1:19" x14ac:dyDescent="0.25">
      <c r="A89" s="476" t="s">
        <v>1546</v>
      </c>
      <c r="B89" s="475" t="s">
        <v>4043</v>
      </c>
      <c r="C89" s="422" t="e">
        <f>VLOOKUP(B89,'Matter &amp; CI#'!$D$4:$E$595,2,FALSE)</f>
        <v>#N/A</v>
      </c>
      <c r="D89" s="476" t="s">
        <v>1547</v>
      </c>
      <c r="E89" s="476" t="s">
        <v>10</v>
      </c>
      <c r="F89" s="476" t="s">
        <v>9</v>
      </c>
      <c r="G89" s="475" t="s">
        <v>2013</v>
      </c>
      <c r="H89" s="516"/>
      <c r="I89" s="477" t="s">
        <v>5</v>
      </c>
      <c r="J89" s="476" t="s">
        <v>6</v>
      </c>
      <c r="K89" s="476" t="s">
        <v>7</v>
      </c>
      <c r="L89" s="184">
        <v>41262</v>
      </c>
      <c r="M89" s="184">
        <v>42909</v>
      </c>
      <c r="N89" s="480">
        <v>346783.22</v>
      </c>
      <c r="O89" s="478" t="str">
        <f>IFERROR(VLOOKUP(A89,[1]Approval!A:C,3,FALSE),"")</f>
        <v>FIN Approval - Internal</v>
      </c>
      <c r="P89" s="184">
        <f>IFERROR(VLOOKUP(A89,[1]Approval!A:J,10,FALSE),"")</f>
        <v>42909</v>
      </c>
      <c r="R89" s="425">
        <f>2020-YEAR(Table227[[#This Row],[In-
Service
Date]])</f>
        <v>8</v>
      </c>
      <c r="S89" s="308">
        <f>+Table227[[#This Row],[Proj To Date
Actuals]]*1.02^R89</f>
        <v>406311.81288717245</v>
      </c>
    </row>
    <row r="90" spans="1:19" x14ac:dyDescent="0.25">
      <c r="A90" s="476" t="s">
        <v>1030</v>
      </c>
      <c r="B90" s="475" t="s">
        <v>4064</v>
      </c>
      <c r="C90" s="422" t="e">
        <f>VLOOKUP(B90,'Matter &amp; CI#'!$D$4:$E$595,2,FALSE)</f>
        <v>#N/A</v>
      </c>
      <c r="D90" s="476" t="s">
        <v>1031</v>
      </c>
      <c r="E90" s="476" t="s">
        <v>27</v>
      </c>
      <c r="F90" s="476" t="s">
        <v>9</v>
      </c>
      <c r="G90" s="475" t="s">
        <v>2013</v>
      </c>
      <c r="H90" s="516"/>
      <c r="I90" s="477" t="s">
        <v>5</v>
      </c>
      <c r="J90" s="476" t="s">
        <v>6</v>
      </c>
      <c r="K90" s="476" t="s">
        <v>7</v>
      </c>
      <c r="L90" s="184">
        <v>41262</v>
      </c>
      <c r="M90" s="184">
        <v>42718</v>
      </c>
      <c r="N90" s="480">
        <v>270943.83</v>
      </c>
      <c r="O90" s="478" t="str">
        <f>IFERROR(VLOOKUP(A90,[1]Approval!A:C,3,FALSE),"")</f>
        <v>FIN Approval - External</v>
      </c>
      <c r="P90" s="184">
        <f>IFERROR(VLOOKUP(A90,[1]Approval!A:J,10,FALSE),"")</f>
        <v>42718</v>
      </c>
      <c r="R90" s="425">
        <f>2020-YEAR(Table227[[#This Row],[In-
Service
Date]])</f>
        <v>8</v>
      </c>
      <c r="S90" s="308">
        <f>+Table227[[#This Row],[Proj To Date
Actuals]]*1.02^R90</f>
        <v>317453.88014418306</v>
      </c>
    </row>
    <row r="91" spans="1:19" x14ac:dyDescent="0.25">
      <c r="A91" s="476" t="s">
        <v>1022</v>
      </c>
      <c r="B91" s="475" t="s">
        <v>4065</v>
      </c>
      <c r="C91" s="422" t="e">
        <f>VLOOKUP(B91,'Matter &amp; CI#'!$D$4:$E$595,2,FALSE)</f>
        <v>#N/A</v>
      </c>
      <c r="D91" s="476" t="s">
        <v>1023</v>
      </c>
      <c r="E91" s="476" t="s">
        <v>8</v>
      </c>
      <c r="F91" s="476" t="s">
        <v>9</v>
      </c>
      <c r="G91" s="475" t="s">
        <v>2013</v>
      </c>
      <c r="H91" s="516"/>
      <c r="I91" s="477" t="s">
        <v>5</v>
      </c>
      <c r="J91" s="476" t="s">
        <v>6</v>
      </c>
      <c r="K91" s="476" t="s">
        <v>7</v>
      </c>
      <c r="L91" s="184">
        <v>41262</v>
      </c>
      <c r="M91" s="184">
        <v>41831</v>
      </c>
      <c r="N91" s="480">
        <v>543663.85</v>
      </c>
      <c r="O91" s="478" t="str">
        <f>IFERROR(VLOOKUP(A91,[1]Approval!A:C,3,FALSE),"")</f>
        <v>zINVALID FIN Approval - Internal</v>
      </c>
      <c r="P91" s="184">
        <f>IFERROR(VLOOKUP(A91,[1]Approval!A:J,10,FALSE),"")</f>
        <v>41831</v>
      </c>
      <c r="R91" s="425">
        <f>2020-YEAR(Table227[[#This Row],[In-
Service
Date]])</f>
        <v>8</v>
      </c>
      <c r="S91" s="308">
        <f>+Table227[[#This Row],[Proj To Date
Actuals]]*1.02^R91</f>
        <v>636988.84996430855</v>
      </c>
    </row>
    <row r="92" spans="1:19" x14ac:dyDescent="0.25">
      <c r="A92" s="476" t="s">
        <v>1803</v>
      </c>
      <c r="B92" s="475" t="s">
        <v>4068</v>
      </c>
      <c r="C92" s="422" t="e">
        <f>VLOOKUP(B92,'Matter &amp; CI#'!$D$4:$E$595,2,FALSE)</f>
        <v>#N/A</v>
      </c>
      <c r="D92" s="476" t="s">
        <v>1804</v>
      </c>
      <c r="E92" s="476" t="s">
        <v>8</v>
      </c>
      <c r="F92" s="476" t="s">
        <v>9</v>
      </c>
      <c r="G92" s="475" t="s">
        <v>2013</v>
      </c>
      <c r="H92" s="516"/>
      <c r="I92" s="477" t="s">
        <v>5</v>
      </c>
      <c r="J92" s="476" t="s">
        <v>6</v>
      </c>
      <c r="K92" s="476" t="s">
        <v>7</v>
      </c>
      <c r="L92" s="184">
        <v>41262</v>
      </c>
      <c r="M92" s="184">
        <v>41852</v>
      </c>
      <c r="N92" s="480">
        <v>285010.01</v>
      </c>
      <c r="O92" s="478" t="str">
        <f>IFERROR(VLOOKUP(A92,[1]Approval!A:C,3,FALSE),"")</f>
        <v>zINVALID FIN Approval - Internal</v>
      </c>
      <c r="P92" s="184">
        <f>IFERROR(VLOOKUP(A92,[1]Approval!A:J,10,FALSE),"")</f>
        <v>41859</v>
      </c>
      <c r="R92" s="425">
        <f>2020-YEAR(Table227[[#This Row],[In-
Service
Date]])</f>
        <v>8</v>
      </c>
      <c r="S92" s="308">
        <f>+Table227[[#This Row],[Proj To Date
Actuals]]*1.02^R92</f>
        <v>333934.6518960495</v>
      </c>
    </row>
    <row r="93" spans="1:19" x14ac:dyDescent="0.25">
      <c r="A93" s="476" t="s">
        <v>773</v>
      </c>
      <c r="B93" s="475" t="s">
        <v>4085</v>
      </c>
      <c r="C93" s="422" t="e">
        <f>VLOOKUP(B93,'Matter &amp; CI#'!$D$4:$E$595,2,FALSE)</f>
        <v>#N/A</v>
      </c>
      <c r="D93" s="476" t="s">
        <v>774</v>
      </c>
      <c r="E93" s="476" t="s">
        <v>8</v>
      </c>
      <c r="F93" s="476" t="s">
        <v>9</v>
      </c>
      <c r="G93" s="475" t="s">
        <v>2013</v>
      </c>
      <c r="H93" s="516"/>
      <c r="I93" s="477" t="s">
        <v>5</v>
      </c>
      <c r="J93" s="476" t="s">
        <v>6</v>
      </c>
      <c r="K93" s="476" t="s">
        <v>7</v>
      </c>
      <c r="L93" s="184">
        <v>41262</v>
      </c>
      <c r="M93" s="184">
        <v>41852</v>
      </c>
      <c r="N93" s="480">
        <v>128388.56</v>
      </c>
      <c r="O93" s="478" t="str">
        <f>IFERROR(VLOOKUP(A93,[1]Approval!A:C,3,FALSE),"")</f>
        <v>zINVALID FIN Approval - Internal</v>
      </c>
      <c r="P93" s="184">
        <f>IFERROR(VLOOKUP(A93,[1]Approval!A:J,10,FALSE),"")</f>
        <v>41859</v>
      </c>
      <c r="R93" s="425">
        <f>2020-YEAR(Table227[[#This Row],[In-
Service
Date]])</f>
        <v>8</v>
      </c>
      <c r="S93" s="308">
        <f>+Table227[[#This Row],[Proj To Date
Actuals]]*1.02^R93</f>
        <v>150427.66073737224</v>
      </c>
    </row>
    <row r="94" spans="1:19" x14ac:dyDescent="0.25">
      <c r="A94" s="476" t="s">
        <v>1801</v>
      </c>
      <c r="B94" s="475" t="s">
        <v>4132</v>
      </c>
      <c r="C94" s="422" t="e">
        <f>VLOOKUP(B94,'Matter &amp; CI#'!$D$4:$E$595,2,FALSE)</f>
        <v>#N/A</v>
      </c>
      <c r="D94" s="476" t="s">
        <v>1802</v>
      </c>
      <c r="E94" s="476" t="s">
        <v>8</v>
      </c>
      <c r="F94" s="476" t="s">
        <v>9</v>
      </c>
      <c r="G94" s="475" t="s">
        <v>2013</v>
      </c>
      <c r="H94" s="516"/>
      <c r="I94" s="477" t="s">
        <v>5</v>
      </c>
      <c r="J94" s="476" t="s">
        <v>131</v>
      </c>
      <c r="K94" s="476" t="s">
        <v>7</v>
      </c>
      <c r="L94" s="184">
        <v>41262</v>
      </c>
      <c r="M94" s="184">
        <v>41852</v>
      </c>
      <c r="N94" s="480">
        <v>139061.37</v>
      </c>
      <c r="O94" s="478" t="str">
        <f>IFERROR(VLOOKUP(A94,[1]Approval!A:C,3,FALSE),"")</f>
        <v>zINVALID FIN Approval - Internal</v>
      </c>
      <c r="P94" s="184">
        <f>IFERROR(VLOOKUP(A94,[1]Approval!A:J,10,FALSE),"")</f>
        <v>41859</v>
      </c>
      <c r="R94" s="425">
        <f>2020-YEAR(Table227[[#This Row],[In-
Service
Date]])</f>
        <v>8</v>
      </c>
      <c r="S94" s="308">
        <f>+Table227[[#This Row],[Proj To Date
Actuals]]*1.02^R94</f>
        <v>162932.558695527</v>
      </c>
    </row>
    <row r="95" spans="1:19" x14ac:dyDescent="0.25">
      <c r="A95" s="476" t="s">
        <v>1262</v>
      </c>
      <c r="B95" s="475" t="s">
        <v>4146</v>
      </c>
      <c r="C95" s="422" t="e">
        <f>VLOOKUP(B95,'Matter &amp; CI#'!$D$4:$E$595,2,FALSE)</f>
        <v>#N/A</v>
      </c>
      <c r="D95" s="476" t="s">
        <v>1263</v>
      </c>
      <c r="E95" s="476" t="s">
        <v>8</v>
      </c>
      <c r="F95" s="476" t="s">
        <v>9</v>
      </c>
      <c r="G95" s="475" t="s">
        <v>2013</v>
      </c>
      <c r="H95" s="516"/>
      <c r="I95" s="477" t="s">
        <v>5</v>
      </c>
      <c r="J95" s="476" t="s">
        <v>14</v>
      </c>
      <c r="K95" s="476" t="s">
        <v>7</v>
      </c>
      <c r="L95" s="184">
        <v>41262</v>
      </c>
      <c r="M95" s="184">
        <v>41831</v>
      </c>
      <c r="N95" s="480">
        <v>97990.28</v>
      </c>
      <c r="O95" s="478" t="str">
        <f>IFERROR(VLOOKUP(A95,[1]Approval!A:C,3,FALSE),"")</f>
        <v>zINVALID FIN Approval - Internal</v>
      </c>
      <c r="P95" s="184">
        <f>IFERROR(VLOOKUP(A95,[1]Approval!A:J,10,FALSE),"")</f>
        <v>41831</v>
      </c>
      <c r="R95" s="425">
        <f>2020-YEAR(Table227[[#This Row],[In-
Service
Date]])</f>
        <v>8</v>
      </c>
      <c r="S95" s="308">
        <f>+Table227[[#This Row],[Proj To Date
Actuals]]*1.02^R95</f>
        <v>114811.23080903868</v>
      </c>
    </row>
    <row r="96" spans="1:19" x14ac:dyDescent="0.25">
      <c r="A96" s="476" t="s">
        <v>1266</v>
      </c>
      <c r="B96" s="475" t="s">
        <v>4148</v>
      </c>
      <c r="C96" s="422" t="e">
        <f>VLOOKUP(B96,'Matter &amp; CI#'!$D$4:$E$595,2,FALSE)</f>
        <v>#N/A</v>
      </c>
      <c r="D96" s="476" t="s">
        <v>1267</v>
      </c>
      <c r="E96" s="476" t="s">
        <v>8</v>
      </c>
      <c r="F96" s="476" t="s">
        <v>9</v>
      </c>
      <c r="G96" s="475" t="s">
        <v>2013</v>
      </c>
      <c r="H96" s="516"/>
      <c r="I96" s="477" t="s">
        <v>5</v>
      </c>
      <c r="J96" s="476" t="s">
        <v>12</v>
      </c>
      <c r="K96" s="476" t="s">
        <v>7</v>
      </c>
      <c r="L96" s="184">
        <v>41262</v>
      </c>
      <c r="M96" s="184">
        <v>41831</v>
      </c>
      <c r="N96" s="480">
        <v>464824.54</v>
      </c>
      <c r="O96" s="478" t="str">
        <f>IFERROR(VLOOKUP(A96,[1]Approval!A:C,3,FALSE),"")</f>
        <v>zINVALID FIN Approval - Internal</v>
      </c>
      <c r="P96" s="184">
        <f>IFERROR(VLOOKUP(A96,[1]Approval!A:J,10,FALSE),"")</f>
        <v>41831</v>
      </c>
      <c r="R96" s="425">
        <f>2020-YEAR(Table227[[#This Row],[In-
Service
Date]])</f>
        <v>8</v>
      </c>
      <c r="S96" s="308">
        <f>+Table227[[#This Row],[Proj To Date
Actuals]]*1.02^R96</f>
        <v>544616.03281106276</v>
      </c>
    </row>
    <row r="97" spans="1:19" x14ac:dyDescent="0.25">
      <c r="A97" s="476" t="s">
        <v>1270</v>
      </c>
      <c r="B97" s="475" t="s">
        <v>4149</v>
      </c>
      <c r="C97" s="422" t="e">
        <f>VLOOKUP(B97,'Matter &amp; CI#'!$D$4:$E$595,2,FALSE)</f>
        <v>#N/A</v>
      </c>
      <c r="D97" s="476" t="s">
        <v>1271</v>
      </c>
      <c r="E97" s="476" t="s">
        <v>8</v>
      </c>
      <c r="F97" s="476" t="s">
        <v>9</v>
      </c>
      <c r="G97" s="475" t="s">
        <v>2013</v>
      </c>
      <c r="H97" s="516"/>
      <c r="I97" s="477" t="s">
        <v>5</v>
      </c>
      <c r="J97" s="476" t="s">
        <v>14</v>
      </c>
      <c r="K97" s="476" t="s">
        <v>7</v>
      </c>
      <c r="L97" s="184">
        <v>41262</v>
      </c>
      <c r="M97" s="184">
        <v>41831</v>
      </c>
      <c r="N97" s="480">
        <v>184821.85</v>
      </c>
      <c r="O97" s="478" t="str">
        <f>IFERROR(VLOOKUP(A97,[1]Approval!A:C,3,FALSE),"")</f>
        <v>zINVALID FIN Approval - Internal</v>
      </c>
      <c r="P97" s="184">
        <f>IFERROR(VLOOKUP(A97,[1]Approval!A:J,10,FALSE),"")</f>
        <v>41831</v>
      </c>
      <c r="R97" s="425">
        <f>2020-YEAR(Table227[[#This Row],[In-
Service
Date]])</f>
        <v>8</v>
      </c>
      <c r="S97" s="308">
        <f>+Table227[[#This Row],[Proj To Date
Actuals]]*1.02^R97</f>
        <v>216548.25436669358</v>
      </c>
    </row>
    <row r="98" spans="1:19" x14ac:dyDescent="0.25">
      <c r="A98" s="476" t="s">
        <v>1040</v>
      </c>
      <c r="B98" s="475" t="s">
        <v>4151</v>
      </c>
      <c r="C98" s="422" t="e">
        <f>VLOOKUP(B98,'Matter &amp; CI#'!$D$4:$E$595,2,FALSE)</f>
        <v>#N/A</v>
      </c>
      <c r="D98" s="476" t="s">
        <v>1041</v>
      </c>
      <c r="E98" s="476" t="s">
        <v>8</v>
      </c>
      <c r="F98" s="476" t="s">
        <v>9</v>
      </c>
      <c r="G98" s="475" t="s">
        <v>2013</v>
      </c>
      <c r="H98" s="516"/>
      <c r="I98" s="477" t="s">
        <v>5</v>
      </c>
      <c r="J98" s="476" t="s">
        <v>6</v>
      </c>
      <c r="K98" s="476" t="s">
        <v>7</v>
      </c>
      <c r="L98" s="184">
        <v>41262</v>
      </c>
      <c r="M98" s="184">
        <v>41843</v>
      </c>
      <c r="N98" s="480">
        <v>214307.27</v>
      </c>
      <c r="O98" s="478" t="str">
        <f>IFERROR(VLOOKUP(A98,[1]Approval!A:C,3,FALSE),"")</f>
        <v>zINVALID FIN Approval - Internal</v>
      </c>
      <c r="P98" s="184">
        <f>IFERROR(VLOOKUP(A98,[1]Approval!A:J,10,FALSE),"")</f>
        <v>41843</v>
      </c>
      <c r="R98" s="425">
        <f>2020-YEAR(Table227[[#This Row],[In-
Service
Date]])</f>
        <v>8</v>
      </c>
      <c r="S98" s="308">
        <f>+Table227[[#This Row],[Proj To Date
Actuals]]*1.02^R98</f>
        <v>251095.12331248538</v>
      </c>
    </row>
    <row r="99" spans="1:19" x14ac:dyDescent="0.25">
      <c r="A99" s="476" t="s">
        <v>1811</v>
      </c>
      <c r="B99" s="475" t="s">
        <v>4154</v>
      </c>
      <c r="C99" s="422" t="e">
        <f>VLOOKUP(B99,'Matter &amp; CI#'!$D$4:$E$595,2,FALSE)</f>
        <v>#N/A</v>
      </c>
      <c r="D99" s="476" t="s">
        <v>1812</v>
      </c>
      <c r="E99" s="476" t="s">
        <v>8</v>
      </c>
      <c r="F99" s="476" t="s">
        <v>9</v>
      </c>
      <c r="G99" s="475" t="s">
        <v>2013</v>
      </c>
      <c r="H99" s="516"/>
      <c r="I99" s="477" t="s">
        <v>5</v>
      </c>
      <c r="J99" s="476" t="s">
        <v>6</v>
      </c>
      <c r="K99" s="476" t="s">
        <v>7</v>
      </c>
      <c r="L99" s="184">
        <v>41262</v>
      </c>
      <c r="M99" s="184">
        <v>41843</v>
      </c>
      <c r="N99" s="480">
        <v>72048.710000000006</v>
      </c>
      <c r="O99" s="478" t="str">
        <f>IFERROR(VLOOKUP(A99,[1]Approval!A:C,3,FALSE),"")</f>
        <v>zINVALID FIN Approval - Internal</v>
      </c>
      <c r="P99" s="184">
        <f>IFERROR(VLOOKUP(A99,[1]Approval!A:J,10,FALSE),"")</f>
        <v>41843</v>
      </c>
      <c r="R99" s="425">
        <f>2020-YEAR(Table227[[#This Row],[In-
Service
Date]])</f>
        <v>8</v>
      </c>
      <c r="S99" s="308">
        <f>+Table227[[#This Row],[Proj To Date
Actuals]]*1.02^R99</f>
        <v>84416.54696061174</v>
      </c>
    </row>
    <row r="100" spans="1:19" x14ac:dyDescent="0.25">
      <c r="A100" s="476" t="s">
        <v>313</v>
      </c>
      <c r="B100" s="475" t="s">
        <v>4157</v>
      </c>
      <c r="C100" s="422" t="e">
        <f>VLOOKUP(B100,'Matter &amp; CI#'!$D$4:$E$595,2,FALSE)</f>
        <v>#N/A</v>
      </c>
      <c r="D100" s="476" t="s">
        <v>314</v>
      </c>
      <c r="E100" s="476" t="s">
        <v>8</v>
      </c>
      <c r="F100" s="476" t="s">
        <v>9</v>
      </c>
      <c r="G100" s="475" t="s">
        <v>2013</v>
      </c>
      <c r="H100" s="516"/>
      <c r="I100" s="477" t="s">
        <v>5</v>
      </c>
      <c r="J100" s="476" t="s">
        <v>6</v>
      </c>
      <c r="K100" s="476" t="s">
        <v>7</v>
      </c>
      <c r="L100" s="184">
        <v>41262</v>
      </c>
      <c r="M100" s="184">
        <v>41852</v>
      </c>
      <c r="N100" s="480">
        <v>68135.33</v>
      </c>
      <c r="O100" s="478" t="str">
        <f>IFERROR(VLOOKUP(A100,[1]Approval!A:C,3,FALSE),"")</f>
        <v>zINVALID FIN Approval - Internal</v>
      </c>
      <c r="P100" s="184">
        <f>IFERROR(VLOOKUP(A100,[1]Approval!A:J,10,FALSE),"")</f>
        <v>41859</v>
      </c>
      <c r="R100" s="425">
        <f>2020-YEAR(Table227[[#This Row],[In-
Service
Date]])</f>
        <v>8</v>
      </c>
      <c r="S100" s="308">
        <f>+Table227[[#This Row],[Proj To Date
Actuals]]*1.02^R100</f>
        <v>79831.398572185091</v>
      </c>
    </row>
    <row r="101" spans="1:19" x14ac:dyDescent="0.25">
      <c r="A101" s="476" t="s">
        <v>550</v>
      </c>
      <c r="B101" s="475" t="s">
        <v>4159</v>
      </c>
      <c r="C101" s="422" t="e">
        <f>VLOOKUP(B101,'Matter &amp; CI#'!$D$4:$E$595,2,FALSE)</f>
        <v>#N/A</v>
      </c>
      <c r="D101" s="476" t="s">
        <v>551</v>
      </c>
      <c r="E101" s="476" t="s">
        <v>10</v>
      </c>
      <c r="F101" s="476" t="s">
        <v>9</v>
      </c>
      <c r="G101" s="475" t="s">
        <v>2013</v>
      </c>
      <c r="H101" s="516"/>
      <c r="I101" s="477" t="s">
        <v>5</v>
      </c>
      <c r="J101" s="476" t="s">
        <v>6</v>
      </c>
      <c r="K101" s="476" t="s">
        <v>7</v>
      </c>
      <c r="L101" s="184">
        <v>41262</v>
      </c>
      <c r="M101" s="184">
        <v>41843</v>
      </c>
      <c r="N101" s="480">
        <v>32942.449999999997</v>
      </c>
      <c r="O101" s="478" t="str">
        <f>IFERROR(VLOOKUP(A101,[1]Approval!A:C,3,FALSE),"")</f>
        <v>FIN Approval - Internal</v>
      </c>
      <c r="P101" s="184">
        <f>IFERROR(VLOOKUP(A101,[1]Approval!A:J,10,FALSE),"")</f>
        <v>41843</v>
      </c>
      <c r="R101" s="425">
        <f>2020-YEAR(Table227[[#This Row],[In-
Service
Date]])</f>
        <v>8</v>
      </c>
      <c r="S101" s="308">
        <f>+Table227[[#This Row],[Proj To Date
Actuals]]*1.02^R101</f>
        <v>38597.330575698077</v>
      </c>
    </row>
    <row r="102" spans="1:19" x14ac:dyDescent="0.25">
      <c r="A102" s="476" t="s">
        <v>552</v>
      </c>
      <c r="B102" s="475" t="s">
        <v>4166</v>
      </c>
      <c r="C102" s="422" t="e">
        <f>VLOOKUP(B102,'Matter &amp; CI#'!$D$4:$E$595,2,FALSE)</f>
        <v>#N/A</v>
      </c>
      <c r="D102" s="476" t="s">
        <v>553</v>
      </c>
      <c r="E102" s="476" t="s">
        <v>8</v>
      </c>
      <c r="F102" s="476" t="s">
        <v>9</v>
      </c>
      <c r="G102" s="475" t="s">
        <v>2013</v>
      </c>
      <c r="H102" s="516"/>
      <c r="I102" s="477" t="s">
        <v>5</v>
      </c>
      <c r="J102" s="476" t="s">
        <v>6</v>
      </c>
      <c r="K102" s="476" t="s">
        <v>7</v>
      </c>
      <c r="L102" s="184">
        <v>41262</v>
      </c>
      <c r="M102" s="184">
        <v>41964</v>
      </c>
      <c r="N102" s="480">
        <v>62553.279999999999</v>
      </c>
      <c r="O102" s="478" t="str">
        <f>IFERROR(VLOOKUP(A102,[1]Approval!A:C,3,FALSE),"")</f>
        <v>zINVALID FIN Approval - Internal</v>
      </c>
      <c r="P102" s="184">
        <f>IFERROR(VLOOKUP(A102,[1]Approval!A:J,10,FALSE),"")</f>
        <v>41964</v>
      </c>
      <c r="R102" s="425">
        <f>2020-YEAR(Table227[[#This Row],[In-
Service
Date]])</f>
        <v>8</v>
      </c>
      <c r="S102" s="308">
        <f>+Table227[[#This Row],[Proj To Date
Actuals]]*1.02^R102</f>
        <v>73291.137324461393</v>
      </c>
    </row>
    <row r="103" spans="1:19" x14ac:dyDescent="0.25">
      <c r="A103" s="476" t="s">
        <v>787</v>
      </c>
      <c r="B103" s="475" t="s">
        <v>4167</v>
      </c>
      <c r="C103" s="422" t="e">
        <f>VLOOKUP(B103,'Matter &amp; CI#'!$D$4:$E$595,2,FALSE)</f>
        <v>#N/A</v>
      </c>
      <c r="D103" s="476" t="s">
        <v>788</v>
      </c>
      <c r="E103" s="476" t="s">
        <v>8</v>
      </c>
      <c r="F103" s="476" t="s">
        <v>9</v>
      </c>
      <c r="G103" s="475" t="s">
        <v>2013</v>
      </c>
      <c r="H103" s="516"/>
      <c r="I103" s="477" t="s">
        <v>5</v>
      </c>
      <c r="J103" s="476" t="s">
        <v>6</v>
      </c>
      <c r="K103" s="476" t="s">
        <v>7</v>
      </c>
      <c r="L103" s="184">
        <v>41262</v>
      </c>
      <c r="M103" s="184">
        <v>41964</v>
      </c>
      <c r="N103" s="480">
        <v>123466.21</v>
      </c>
      <c r="O103" s="478" t="str">
        <f>IFERROR(VLOOKUP(A103,[1]Approval!A:C,3,FALSE),"")</f>
        <v>zINVALID FIN Approval - Internal</v>
      </c>
      <c r="P103" s="184">
        <f>IFERROR(VLOOKUP(A103,[1]Approval!A:J,10,FALSE),"")</f>
        <v>41964</v>
      </c>
      <c r="R103" s="425">
        <f>2020-YEAR(Table227[[#This Row],[In-
Service
Date]])</f>
        <v>8</v>
      </c>
      <c r="S103" s="308">
        <f>+Table227[[#This Row],[Proj To Date
Actuals]]*1.02^R103</f>
        <v>144660.34318329574</v>
      </c>
    </row>
    <row r="104" spans="1:19" x14ac:dyDescent="0.25">
      <c r="A104" s="476" t="s">
        <v>1809</v>
      </c>
      <c r="B104" s="475" t="s">
        <v>4197</v>
      </c>
      <c r="C104" s="422" t="e">
        <f>VLOOKUP(B104,'Matter &amp; CI#'!$D$4:$E$595,2,FALSE)</f>
        <v>#N/A</v>
      </c>
      <c r="D104" s="476" t="s">
        <v>1810</v>
      </c>
      <c r="E104" s="476" t="s">
        <v>8</v>
      </c>
      <c r="F104" s="476" t="s">
        <v>9</v>
      </c>
      <c r="G104" s="475" t="s">
        <v>2013</v>
      </c>
      <c r="H104" s="516"/>
      <c r="I104" s="477" t="s">
        <v>5</v>
      </c>
      <c r="J104" s="476" t="s">
        <v>14</v>
      </c>
      <c r="K104" s="476" t="s">
        <v>7</v>
      </c>
      <c r="L104" s="184">
        <v>41262</v>
      </c>
      <c r="M104" s="184">
        <v>41831</v>
      </c>
      <c r="N104" s="480">
        <v>70804.06</v>
      </c>
      <c r="O104" s="478" t="str">
        <f>IFERROR(VLOOKUP(A104,[1]Approval!A:C,3,FALSE),"")</f>
        <v>zINVALID FIN Approval - Internal</v>
      </c>
      <c r="P104" s="184">
        <f>IFERROR(VLOOKUP(A104,[1]Approval!A:J,10,FALSE),"")</f>
        <v>41831</v>
      </c>
      <c r="R104" s="425">
        <f>2020-YEAR(Table227[[#This Row],[In-
Service
Date]])</f>
        <v>8</v>
      </c>
      <c r="S104" s="308">
        <f>+Table227[[#This Row],[Proj To Date
Actuals]]*1.02^R104</f>
        <v>82958.241112047268</v>
      </c>
    </row>
    <row r="105" spans="1:19" x14ac:dyDescent="0.25">
      <c r="A105" s="476" t="s">
        <v>1276</v>
      </c>
      <c r="B105" s="475" t="s">
        <v>4200</v>
      </c>
      <c r="C105" s="422" t="e">
        <f>VLOOKUP(B105,'Matter &amp; CI#'!$D$4:$E$595,2,FALSE)</f>
        <v>#N/A</v>
      </c>
      <c r="D105" s="476" t="s">
        <v>1277</v>
      </c>
      <c r="E105" s="476" t="s">
        <v>8</v>
      </c>
      <c r="F105" s="476" t="s">
        <v>9</v>
      </c>
      <c r="G105" s="475" t="s">
        <v>2013</v>
      </c>
      <c r="H105" s="516"/>
      <c r="I105" s="477" t="s">
        <v>5</v>
      </c>
      <c r="J105" s="476" t="s">
        <v>14</v>
      </c>
      <c r="K105" s="476" t="s">
        <v>7</v>
      </c>
      <c r="L105" s="184">
        <v>41262</v>
      </c>
      <c r="M105" s="184">
        <v>41843</v>
      </c>
      <c r="N105" s="480">
        <v>17720.349999999999</v>
      </c>
      <c r="O105" s="478" t="str">
        <f>IFERROR(VLOOKUP(A105,[1]Approval!A:C,3,FALSE),"")</f>
        <v>zINVALID FIN Approval - Internal</v>
      </c>
      <c r="P105" s="184">
        <f>IFERROR(VLOOKUP(A105,[1]Approval!A:J,10,FALSE),"")</f>
        <v>41843</v>
      </c>
      <c r="R105" s="425">
        <f>2020-YEAR(Table227[[#This Row],[In-
Service
Date]])</f>
        <v>8</v>
      </c>
      <c r="S105" s="308">
        <f>+Table227[[#This Row],[Proj To Date
Actuals]]*1.02^R105</f>
        <v>20762.214312143493</v>
      </c>
    </row>
    <row r="106" spans="1:19" x14ac:dyDescent="0.25">
      <c r="A106" s="476" t="s">
        <v>1264</v>
      </c>
      <c r="B106" s="475" t="s">
        <v>4152</v>
      </c>
      <c r="C106" s="422" t="e">
        <f>VLOOKUP(B106,'Matter &amp; CI#'!$D$4:$E$595,2,FALSE)</f>
        <v>#N/A</v>
      </c>
      <c r="D106" s="476" t="s">
        <v>1265</v>
      </c>
      <c r="E106" s="476" t="s">
        <v>10</v>
      </c>
      <c r="F106" s="476" t="s">
        <v>9</v>
      </c>
      <c r="G106" s="475" t="s">
        <v>2013</v>
      </c>
      <c r="H106" s="516"/>
      <c r="I106" s="477" t="s">
        <v>5</v>
      </c>
      <c r="J106" s="476" t="s">
        <v>14</v>
      </c>
      <c r="K106" s="476" t="s">
        <v>7</v>
      </c>
      <c r="L106" s="184">
        <v>41274</v>
      </c>
      <c r="M106" s="184">
        <v>42752</v>
      </c>
      <c r="N106" s="480">
        <v>162695.4</v>
      </c>
      <c r="O106" s="478" t="str">
        <f>IFERROR(VLOOKUP(A106,[1]Approval!A:C,3,FALSE),"")</f>
        <v>FIN Approval - Internal</v>
      </c>
      <c r="P106" s="184">
        <f>IFERROR(VLOOKUP(A106,[1]Approval!A:J,10,FALSE),"")</f>
        <v>42752</v>
      </c>
      <c r="R106" s="425">
        <f>2020-YEAR(Table227[[#This Row],[In-
Service
Date]])</f>
        <v>8</v>
      </c>
      <c r="S106" s="308">
        <f>+Table227[[#This Row],[Proj To Date
Actuals]]*1.02^R106</f>
        <v>190623.59165591598</v>
      </c>
    </row>
    <row r="107" spans="1:19" x14ac:dyDescent="0.25">
      <c r="A107" s="476" t="s">
        <v>1272</v>
      </c>
      <c r="B107" s="475" t="s">
        <v>4079</v>
      </c>
      <c r="C107" s="422" t="e">
        <f>VLOOKUP(B107,'Matter &amp; CI#'!$D$4:$E$595,2,FALSE)</f>
        <v>#N/A</v>
      </c>
      <c r="D107" s="476" t="s">
        <v>1273</v>
      </c>
      <c r="E107" s="476" t="s">
        <v>8</v>
      </c>
      <c r="F107" s="476" t="s">
        <v>9</v>
      </c>
      <c r="G107" s="475" t="s">
        <v>2013</v>
      </c>
      <c r="H107" s="516"/>
      <c r="I107" s="477" t="s">
        <v>5</v>
      </c>
      <c r="J107" s="476" t="s">
        <v>6</v>
      </c>
      <c r="K107" s="476" t="s">
        <v>7</v>
      </c>
      <c r="L107" s="184">
        <v>41292</v>
      </c>
      <c r="M107" s="184">
        <v>41852</v>
      </c>
      <c r="N107" s="480">
        <v>347534.27</v>
      </c>
      <c r="O107" s="478" t="str">
        <f>IFERROR(VLOOKUP(A107,[1]Approval!A:C,3,FALSE),"")</f>
        <v>zINVALID FIN Approval - Internal</v>
      </c>
      <c r="P107" s="184">
        <f>IFERROR(VLOOKUP(A107,[1]Approval!A:J,10,FALSE),"")</f>
        <v>41859</v>
      </c>
      <c r="R107" s="425">
        <f>2020-YEAR(Table227[[#This Row],[In-
Service
Date]])</f>
        <v>7</v>
      </c>
      <c r="S107" s="308">
        <f>+Table227[[#This Row],[Proj To Date
Actuals]]*1.02^R107</f>
        <v>399207.63496595511</v>
      </c>
    </row>
    <row r="108" spans="1:19" x14ac:dyDescent="0.25">
      <c r="A108" s="476" t="s">
        <v>1258</v>
      </c>
      <c r="B108" s="475" t="s">
        <v>4084</v>
      </c>
      <c r="C108" s="422" t="e">
        <f>VLOOKUP(B108,'Matter &amp; CI#'!$D$4:$E$595,2,FALSE)</f>
        <v>#N/A</v>
      </c>
      <c r="D108" s="476" t="s">
        <v>1259</v>
      </c>
      <c r="E108" s="476" t="s">
        <v>8</v>
      </c>
      <c r="F108" s="476" t="s">
        <v>9</v>
      </c>
      <c r="G108" s="475" t="s">
        <v>2013</v>
      </c>
      <c r="H108" s="516"/>
      <c r="I108" s="477" t="s">
        <v>5</v>
      </c>
      <c r="J108" s="476" t="s">
        <v>6</v>
      </c>
      <c r="K108" s="476" t="s">
        <v>7</v>
      </c>
      <c r="L108" s="184">
        <v>41292</v>
      </c>
      <c r="M108" s="184">
        <v>41852</v>
      </c>
      <c r="N108" s="480">
        <v>283143.37</v>
      </c>
      <c r="O108" s="478" t="str">
        <f>IFERROR(VLOOKUP(A108,[1]Approval!A:C,3,FALSE),"")</f>
        <v>zINVALID FIN Approval - Internal</v>
      </c>
      <c r="P108" s="184">
        <f>IFERROR(VLOOKUP(A108,[1]Approval!A:J,10,FALSE),"")</f>
        <v>41859</v>
      </c>
      <c r="R108" s="425">
        <f>2020-YEAR(Table227[[#This Row],[In-
Service
Date]])</f>
        <v>7</v>
      </c>
      <c r="S108" s="308">
        <f>+Table227[[#This Row],[Proj To Date
Actuals]]*1.02^R108</f>
        <v>325242.73100891704</v>
      </c>
    </row>
    <row r="109" spans="1:19" x14ac:dyDescent="0.25">
      <c r="A109" s="476" t="s">
        <v>1044</v>
      </c>
      <c r="B109" s="475" t="s">
        <v>4169</v>
      </c>
      <c r="C109" s="422" t="e">
        <f>VLOOKUP(B109,'Matter &amp; CI#'!$D$4:$E$595,2,FALSE)</f>
        <v>#N/A</v>
      </c>
      <c r="D109" s="476" t="s">
        <v>1045</v>
      </c>
      <c r="E109" s="476" t="s">
        <v>8</v>
      </c>
      <c r="F109" s="476" t="s">
        <v>9</v>
      </c>
      <c r="G109" s="475" t="s">
        <v>2013</v>
      </c>
      <c r="H109" s="516"/>
      <c r="I109" s="477" t="s">
        <v>5</v>
      </c>
      <c r="J109" s="476" t="s">
        <v>6</v>
      </c>
      <c r="K109" s="476" t="s">
        <v>7</v>
      </c>
      <c r="L109" s="184">
        <v>41324</v>
      </c>
      <c r="M109" s="184">
        <v>41831</v>
      </c>
      <c r="N109" s="480">
        <v>9756.1299999999992</v>
      </c>
      <c r="O109" s="478" t="str">
        <f>IFERROR(VLOOKUP(A109,[1]Approval!A:C,3,FALSE),"")</f>
        <v>zINVALID FIN Approval - Internal</v>
      </c>
      <c r="P109" s="184">
        <f>IFERROR(VLOOKUP(A109,[1]Approval!A:J,10,FALSE),"")</f>
        <v>41831</v>
      </c>
      <c r="R109" s="425">
        <f>2020-YEAR(Table227[[#This Row],[In-
Service
Date]])</f>
        <v>7</v>
      </c>
      <c r="S109" s="308">
        <f>+Table227[[#This Row],[Proj To Date
Actuals]]*1.02^R109</f>
        <v>11206.726702723168</v>
      </c>
    </row>
    <row r="110" spans="1:19" x14ac:dyDescent="0.25">
      <c r="A110" s="476" t="s">
        <v>1554</v>
      </c>
      <c r="B110" s="475" t="s">
        <v>4209</v>
      </c>
      <c r="C110" s="422" t="e">
        <f>VLOOKUP(B110,'Matter &amp; CI#'!$D$4:$E$595,2,FALSE)</f>
        <v>#N/A</v>
      </c>
      <c r="D110" s="476" t="s">
        <v>1555</v>
      </c>
      <c r="E110" s="476" t="s">
        <v>27</v>
      </c>
      <c r="F110" s="476" t="s">
        <v>9</v>
      </c>
      <c r="G110" s="475" t="s">
        <v>2013</v>
      </c>
      <c r="H110" s="516"/>
      <c r="I110" s="477" t="s">
        <v>5</v>
      </c>
      <c r="J110" s="476" t="s">
        <v>12</v>
      </c>
      <c r="K110" s="476" t="s">
        <v>7</v>
      </c>
      <c r="L110" s="184">
        <v>41324</v>
      </c>
      <c r="M110" s="184">
        <v>42400</v>
      </c>
      <c r="N110" s="480">
        <v>257620.22</v>
      </c>
      <c r="O110" s="478" t="str">
        <f>IFERROR(VLOOKUP(A110,[1]Approval!A:C,3,FALSE),"")</f>
        <v>FIN Approval - Internal</v>
      </c>
      <c r="P110" s="184">
        <f>IFERROR(VLOOKUP(A110,[1]Approval!A:J,10,FALSE),"")</f>
        <v>42418</v>
      </c>
      <c r="R110" s="425">
        <f>2020-YEAR(Table227[[#This Row],[In-
Service
Date]])</f>
        <v>7</v>
      </c>
      <c r="S110" s="308">
        <f>+Table227[[#This Row],[Proj To Date
Actuals]]*1.02^R110</f>
        <v>295924.65441065433</v>
      </c>
    </row>
    <row r="111" spans="1:19" x14ac:dyDescent="0.25">
      <c r="A111" s="476" t="s">
        <v>1038</v>
      </c>
      <c r="B111" s="475" t="s">
        <v>4062</v>
      </c>
      <c r="C111" s="422" t="e">
        <f>VLOOKUP(B111,'Matter &amp; CI#'!$D$4:$E$595,2,FALSE)</f>
        <v>#N/A</v>
      </c>
      <c r="D111" s="476" t="s">
        <v>1039</v>
      </c>
      <c r="E111" s="476" t="s">
        <v>10</v>
      </c>
      <c r="F111" s="476" t="s">
        <v>9</v>
      </c>
      <c r="G111" s="475" t="s">
        <v>2013</v>
      </c>
      <c r="H111" s="516"/>
      <c r="I111" s="477" t="s">
        <v>5</v>
      </c>
      <c r="J111" s="476" t="s">
        <v>6</v>
      </c>
      <c r="K111" s="476" t="s">
        <v>7</v>
      </c>
      <c r="L111" s="184">
        <v>41360</v>
      </c>
      <c r="M111" s="184">
        <v>42909</v>
      </c>
      <c r="N111" s="480">
        <v>883413.71</v>
      </c>
      <c r="O111" s="478" t="str">
        <f>IFERROR(VLOOKUP(A111,[1]Approval!A:C,3,FALSE),"")</f>
        <v>FIN Approval - Internal</v>
      </c>
      <c r="P111" s="184">
        <f>IFERROR(VLOOKUP(A111,[1]Approval!A:J,10,FALSE),"")</f>
        <v>42909</v>
      </c>
      <c r="R111" s="425">
        <f>2020-YEAR(Table227[[#This Row],[In-
Service
Date]])</f>
        <v>7</v>
      </c>
      <c r="S111" s="308">
        <f>+Table227[[#This Row],[Proj To Date
Actuals]]*1.02^R111</f>
        <v>1014764.6672818772</v>
      </c>
    </row>
    <row r="112" spans="1:19" x14ac:dyDescent="0.25">
      <c r="A112" s="476" t="s">
        <v>1024</v>
      </c>
      <c r="B112" s="475" t="s">
        <v>4119</v>
      </c>
      <c r="C112" s="422" t="e">
        <f>VLOOKUP(B112,'Matter &amp; CI#'!$D$4:$E$595,2,FALSE)</f>
        <v>#N/A</v>
      </c>
      <c r="D112" s="476" t="s">
        <v>1025</v>
      </c>
      <c r="E112" s="476" t="s">
        <v>10</v>
      </c>
      <c r="F112" s="476" t="s">
        <v>9</v>
      </c>
      <c r="G112" s="475" t="s">
        <v>2013</v>
      </c>
      <c r="H112" s="516"/>
      <c r="I112" s="477" t="s">
        <v>5</v>
      </c>
      <c r="J112" s="476" t="s">
        <v>6</v>
      </c>
      <c r="K112" s="476" t="s">
        <v>7</v>
      </c>
      <c r="L112" s="184">
        <v>41360</v>
      </c>
      <c r="M112" s="184">
        <v>42909</v>
      </c>
      <c r="N112" s="480">
        <v>2579601.63</v>
      </c>
      <c r="O112" s="478" t="str">
        <f>IFERROR(VLOOKUP(A112,[1]Approval!A:C,3,FALSE),"")</f>
        <v>FIN Approval - Internal</v>
      </c>
      <c r="P112" s="184">
        <f>IFERROR(VLOOKUP(A112,[1]Approval!A:J,10,FALSE),"")</f>
        <v>42909</v>
      </c>
      <c r="R112" s="425">
        <f>2020-YEAR(Table227[[#This Row],[In-
Service
Date]])</f>
        <v>7</v>
      </c>
      <c r="S112" s="308">
        <f>+Table227[[#This Row],[Proj To Date
Actuals]]*1.02^R112</f>
        <v>2963151.4206257202</v>
      </c>
    </row>
    <row r="113" spans="1:19" x14ac:dyDescent="0.25">
      <c r="A113" s="476" t="s">
        <v>771</v>
      </c>
      <c r="B113" s="475" t="s">
        <v>4125</v>
      </c>
      <c r="C113" s="422" t="e">
        <f>VLOOKUP(B113,'Matter &amp; CI#'!$D$4:$E$595,2,FALSE)</f>
        <v>#N/A</v>
      </c>
      <c r="D113" s="476" t="s">
        <v>772</v>
      </c>
      <c r="E113" s="476" t="s">
        <v>10</v>
      </c>
      <c r="F113" s="476" t="s">
        <v>9</v>
      </c>
      <c r="G113" s="475" t="s">
        <v>2013</v>
      </c>
      <c r="H113" s="516"/>
      <c r="I113" s="477" t="s">
        <v>5</v>
      </c>
      <c r="J113" s="476" t="s">
        <v>14</v>
      </c>
      <c r="K113" s="476" t="s">
        <v>7</v>
      </c>
      <c r="L113" s="184">
        <v>41360</v>
      </c>
      <c r="M113" s="184">
        <v>42032</v>
      </c>
      <c r="N113" s="480">
        <v>932305.9</v>
      </c>
      <c r="O113" s="478" t="str">
        <f>IFERROR(VLOOKUP(A113,[1]Approval!A:C,3,FALSE),"")</f>
        <v>FIN Approval - Internal</v>
      </c>
      <c r="P113" s="184">
        <f>IFERROR(VLOOKUP(A113,[1]Approval!A:J,10,FALSE),"")</f>
        <v>42032</v>
      </c>
      <c r="R113" s="425">
        <f>2020-YEAR(Table227[[#This Row],[In-
Service
Date]])</f>
        <v>7</v>
      </c>
      <c r="S113" s="308">
        <f>+Table227[[#This Row],[Proj To Date
Actuals]]*1.02^R113</f>
        <v>1070926.4251948628</v>
      </c>
    </row>
    <row r="114" spans="1:19" x14ac:dyDescent="0.25">
      <c r="A114" s="476" t="s">
        <v>1050</v>
      </c>
      <c r="B114" s="475" t="s">
        <v>4235</v>
      </c>
      <c r="C114" s="422" t="e">
        <f>VLOOKUP(B114,'Matter &amp; CI#'!$D$4:$E$595,2,FALSE)</f>
        <v>#N/A</v>
      </c>
      <c r="D114" s="476" t="s">
        <v>1051</v>
      </c>
      <c r="E114" s="476" t="s">
        <v>8</v>
      </c>
      <c r="F114" s="476" t="s">
        <v>9</v>
      </c>
      <c r="G114" s="475" t="s">
        <v>2013</v>
      </c>
      <c r="H114" s="516"/>
      <c r="I114" s="477" t="s">
        <v>5</v>
      </c>
      <c r="J114" s="476" t="s">
        <v>14</v>
      </c>
      <c r="K114" s="476" t="s">
        <v>7</v>
      </c>
      <c r="L114" s="184">
        <v>41360</v>
      </c>
      <c r="M114" s="184">
        <v>41843</v>
      </c>
      <c r="N114" s="480">
        <v>23970.29</v>
      </c>
      <c r="O114" s="478" t="str">
        <f>IFERROR(VLOOKUP(A114,[1]Approval!A:C,3,FALSE),"")</f>
        <v>FIN Approval - Internal</v>
      </c>
      <c r="P114" s="184">
        <f>IFERROR(VLOOKUP(A114,[1]Approval!A:J,10,FALSE),"")</f>
        <v>41843</v>
      </c>
      <c r="R114" s="425">
        <f>2020-YEAR(Table227[[#This Row],[In-
Service
Date]])</f>
        <v>7</v>
      </c>
      <c r="S114" s="308">
        <f>+Table227[[#This Row],[Proj To Date
Actuals]]*1.02^R114</f>
        <v>27534.328572396855</v>
      </c>
    </row>
    <row r="115" spans="1:19" x14ac:dyDescent="0.25">
      <c r="A115" s="476" t="s">
        <v>558</v>
      </c>
      <c r="B115" s="475" t="s">
        <v>4228</v>
      </c>
      <c r="C115" s="422" t="e">
        <f>VLOOKUP(B115,'Matter &amp; CI#'!$D$4:$E$595,2,FALSE)</f>
        <v>#N/A</v>
      </c>
      <c r="D115" s="476" t="s">
        <v>559</v>
      </c>
      <c r="E115" s="476" t="s">
        <v>8</v>
      </c>
      <c r="F115" s="476" t="s">
        <v>9</v>
      </c>
      <c r="G115" s="475" t="s">
        <v>2013</v>
      </c>
      <c r="H115" s="516"/>
      <c r="I115" s="477" t="s">
        <v>5</v>
      </c>
      <c r="J115" s="476" t="s">
        <v>14</v>
      </c>
      <c r="K115" s="476" t="s">
        <v>7</v>
      </c>
      <c r="L115" s="184">
        <v>41416</v>
      </c>
      <c r="M115" s="184">
        <v>41831</v>
      </c>
      <c r="N115" s="480">
        <v>43745.11</v>
      </c>
      <c r="O115" s="478" t="str">
        <f>IFERROR(VLOOKUP(A115,[1]Approval!A:C,3,FALSE),"")</f>
        <v>FIN Approval - Internal</v>
      </c>
      <c r="P115" s="184">
        <f>IFERROR(VLOOKUP(A115,[1]Approval!A:J,10,FALSE),"")</f>
        <v>41830</v>
      </c>
      <c r="R115" s="425">
        <f>2020-YEAR(Table227[[#This Row],[In-
Service
Date]])</f>
        <v>7</v>
      </c>
      <c r="S115" s="308">
        <f>+Table227[[#This Row],[Proj To Date
Actuals]]*1.02^R115</f>
        <v>50249.380886741186</v>
      </c>
    </row>
    <row r="116" spans="1:19" x14ac:dyDescent="0.25">
      <c r="A116" s="476" t="s">
        <v>1288</v>
      </c>
      <c r="B116" s="475" t="s">
        <v>4232</v>
      </c>
      <c r="C116" s="422" t="e">
        <f>VLOOKUP(B116,'Matter &amp; CI#'!$D$4:$E$595,2,FALSE)</f>
        <v>#N/A</v>
      </c>
      <c r="D116" s="476" t="s">
        <v>1289</v>
      </c>
      <c r="E116" s="476" t="s">
        <v>21</v>
      </c>
      <c r="F116" s="476" t="s">
        <v>9</v>
      </c>
      <c r="G116" s="475" t="s">
        <v>2013</v>
      </c>
      <c r="H116" s="516"/>
      <c r="I116" s="477" t="s">
        <v>5</v>
      </c>
      <c r="J116" s="476" t="s">
        <v>14</v>
      </c>
      <c r="K116" s="476" t="s">
        <v>7</v>
      </c>
      <c r="L116" s="184">
        <v>41421</v>
      </c>
      <c r="M116" s="184">
        <v>41852</v>
      </c>
      <c r="N116" s="480">
        <v>46011.55</v>
      </c>
      <c r="O116" s="478" t="str">
        <f>IFERROR(VLOOKUP(A116,[1]Approval!A:C,3,FALSE),"")</f>
        <v>FIN Approval - Internal</v>
      </c>
      <c r="P116" s="184">
        <f>IFERROR(VLOOKUP(A116,[1]Approval!A:J,10,FALSE),"")</f>
        <v>41859</v>
      </c>
      <c r="R116" s="425">
        <f>2020-YEAR(Table227[[#This Row],[In-
Service
Date]])</f>
        <v>7</v>
      </c>
      <c r="S116" s="308">
        <f>+Table227[[#This Row],[Proj To Date
Actuals]]*1.02^R116</f>
        <v>52852.808031328226</v>
      </c>
    </row>
    <row r="117" spans="1:19" x14ac:dyDescent="0.25">
      <c r="A117" s="476" t="s">
        <v>85</v>
      </c>
      <c r="B117" s="475" t="s">
        <v>4080</v>
      </c>
      <c r="C117" s="422" t="e">
        <f>VLOOKUP(B117,'Matter &amp; CI#'!$D$4:$E$595,2,FALSE)</f>
        <v>#N/A</v>
      </c>
      <c r="D117" s="476" t="s">
        <v>86</v>
      </c>
      <c r="E117" s="476" t="s">
        <v>10</v>
      </c>
      <c r="F117" s="476" t="s">
        <v>9</v>
      </c>
      <c r="G117" s="475" t="s">
        <v>2013</v>
      </c>
      <c r="H117" s="516"/>
      <c r="I117" s="477" t="s">
        <v>5</v>
      </c>
      <c r="J117" s="476" t="s">
        <v>6</v>
      </c>
      <c r="K117" s="476" t="s">
        <v>7</v>
      </c>
      <c r="L117" s="184">
        <v>41443</v>
      </c>
      <c r="M117" s="184">
        <v>42726</v>
      </c>
      <c r="N117" s="480">
        <v>1093420.49</v>
      </c>
      <c r="O117" s="478" t="str">
        <f>IFERROR(VLOOKUP(A117,[1]Approval!A:C,3,FALSE),"")</f>
        <v>FIN Approval - Internal</v>
      </c>
      <c r="P117" s="184">
        <f>IFERROR(VLOOKUP(A117,[1]Approval!A:J,10,FALSE),"")</f>
        <v>42726</v>
      </c>
      <c r="R117" s="425">
        <f>2020-YEAR(Table227[[#This Row],[In-
Service
Date]])</f>
        <v>7</v>
      </c>
      <c r="S117" s="308">
        <f>+Table227[[#This Row],[Proj To Date
Actuals]]*1.02^R117</f>
        <v>1255996.4455770527</v>
      </c>
    </row>
    <row r="118" spans="1:19" x14ac:dyDescent="0.25">
      <c r="A118" s="476" t="s">
        <v>1807</v>
      </c>
      <c r="B118" s="475" t="s">
        <v>4145</v>
      </c>
      <c r="C118" s="422" t="e">
        <f>VLOOKUP(B118,'Matter &amp; CI#'!$D$4:$E$595,2,FALSE)</f>
        <v>#N/A</v>
      </c>
      <c r="D118" s="476" t="s">
        <v>1808</v>
      </c>
      <c r="E118" s="476" t="s">
        <v>10</v>
      </c>
      <c r="F118" s="476" t="s">
        <v>9</v>
      </c>
      <c r="G118" s="475" t="s">
        <v>2013</v>
      </c>
      <c r="H118" s="516"/>
      <c r="I118" s="477" t="s">
        <v>5</v>
      </c>
      <c r="J118" s="476" t="s">
        <v>14</v>
      </c>
      <c r="K118" s="476" t="s">
        <v>7</v>
      </c>
      <c r="L118" s="184">
        <v>41443</v>
      </c>
      <c r="M118" s="184">
        <v>42400</v>
      </c>
      <c r="N118" s="480">
        <v>166745.44</v>
      </c>
      <c r="O118" s="478" t="str">
        <f>IFERROR(VLOOKUP(A118,[1]Approval!A:C,3,FALSE),"")</f>
        <v>FIN Approval - Internal</v>
      </c>
      <c r="P118" s="184">
        <f>IFERROR(VLOOKUP(A118,[1]Approval!A:J,10,FALSE),"")</f>
        <v>42418</v>
      </c>
      <c r="R118" s="425">
        <f>2020-YEAR(Table227[[#This Row],[In-
Service
Date]])</f>
        <v>7</v>
      </c>
      <c r="S118" s="308">
        <f>+Table227[[#This Row],[Proj To Date
Actuals]]*1.02^R118</f>
        <v>191538.09707387292</v>
      </c>
    </row>
    <row r="119" spans="1:19" x14ac:dyDescent="0.25">
      <c r="A119" s="476" t="s">
        <v>1556</v>
      </c>
      <c r="B119" s="475" t="s">
        <v>4155</v>
      </c>
      <c r="C119" s="422" t="e">
        <f>VLOOKUP(B119,'Matter &amp; CI#'!$D$4:$E$595,2,FALSE)</f>
        <v>#N/A</v>
      </c>
      <c r="D119" s="476" t="s">
        <v>1557</v>
      </c>
      <c r="E119" s="476" t="s">
        <v>21</v>
      </c>
      <c r="F119" s="476" t="s">
        <v>9</v>
      </c>
      <c r="G119" s="475" t="s">
        <v>2013</v>
      </c>
      <c r="H119" s="516"/>
      <c r="I119" s="477" t="s">
        <v>5</v>
      </c>
      <c r="J119" s="476" t="s">
        <v>6</v>
      </c>
      <c r="K119" s="476" t="s">
        <v>7</v>
      </c>
      <c r="L119" s="184">
        <v>41443</v>
      </c>
      <c r="M119" s="184">
        <v>42718</v>
      </c>
      <c r="N119" s="480">
        <v>329693</v>
      </c>
      <c r="O119" s="478" t="str">
        <f>IFERROR(VLOOKUP(A119,[1]Approval!A:C,3,FALSE),"")</f>
        <v>FIN Approval - Internal</v>
      </c>
      <c r="P119" s="184">
        <f>IFERROR(VLOOKUP(A119,[1]Approval!A:J,10,FALSE),"")</f>
        <v>42718</v>
      </c>
      <c r="R119" s="425">
        <f>2020-YEAR(Table227[[#This Row],[In-
Service
Date]])</f>
        <v>7</v>
      </c>
      <c r="S119" s="308">
        <f>+Table227[[#This Row],[Proj To Date
Actuals]]*1.02^R119</f>
        <v>378713.62382429402</v>
      </c>
    </row>
    <row r="120" spans="1:19" x14ac:dyDescent="0.25">
      <c r="A120" s="476" t="s">
        <v>1046</v>
      </c>
      <c r="B120" s="475" t="s">
        <v>4168</v>
      </c>
      <c r="C120" s="422" t="e">
        <f>VLOOKUP(B120,'Matter &amp; CI#'!$D$4:$E$595,2,FALSE)</f>
        <v>#N/A</v>
      </c>
      <c r="D120" s="476" t="s">
        <v>1047</v>
      </c>
      <c r="E120" s="476" t="s">
        <v>10</v>
      </c>
      <c r="F120" s="476" t="s">
        <v>9</v>
      </c>
      <c r="G120" s="475" t="s">
        <v>2013</v>
      </c>
      <c r="H120" s="516"/>
      <c r="I120" s="477" t="s">
        <v>5</v>
      </c>
      <c r="J120" s="476" t="s">
        <v>6</v>
      </c>
      <c r="K120" s="476" t="s">
        <v>7</v>
      </c>
      <c r="L120" s="184">
        <v>41443</v>
      </c>
      <c r="M120" s="184">
        <v>41843</v>
      </c>
      <c r="N120" s="480">
        <v>124001.87</v>
      </c>
      <c r="O120" s="478" t="str">
        <f>IFERROR(VLOOKUP(A120,[1]Approval!A:C,3,FALSE),"")</f>
        <v>FIN Approval - Internal</v>
      </c>
      <c r="P120" s="184">
        <f>IFERROR(VLOOKUP(A120,[1]Approval!A:J,10,FALSE),"")</f>
        <v>41843</v>
      </c>
      <c r="R120" s="425">
        <f>2020-YEAR(Table227[[#This Row],[In-
Service
Date]])</f>
        <v>7</v>
      </c>
      <c r="S120" s="308">
        <f>+Table227[[#This Row],[Proj To Date
Actuals]]*1.02^R120</f>
        <v>142439.17083070919</v>
      </c>
    </row>
    <row r="121" spans="1:19" x14ac:dyDescent="0.25">
      <c r="A121" s="476" t="s">
        <v>331</v>
      </c>
      <c r="B121" s="475" t="s">
        <v>4231</v>
      </c>
      <c r="C121" s="422" t="e">
        <f>VLOOKUP(B121,'Matter &amp; CI#'!$D$4:$E$595,2,FALSE)</f>
        <v>#N/A</v>
      </c>
      <c r="D121" s="476" t="s">
        <v>332</v>
      </c>
      <c r="E121" s="476" t="s">
        <v>10</v>
      </c>
      <c r="F121" s="476" t="s">
        <v>9</v>
      </c>
      <c r="G121" s="475" t="s">
        <v>2013</v>
      </c>
      <c r="H121" s="516"/>
      <c r="I121" s="477" t="s">
        <v>5</v>
      </c>
      <c r="J121" s="476" t="s">
        <v>14</v>
      </c>
      <c r="K121" s="476" t="s">
        <v>7</v>
      </c>
      <c r="L121" s="184">
        <v>41443</v>
      </c>
      <c r="M121" s="184">
        <v>41843</v>
      </c>
      <c r="N121" s="480">
        <v>44612.99</v>
      </c>
      <c r="O121" s="478" t="str">
        <f>IFERROR(VLOOKUP(A121,[1]Approval!A:C,3,FALSE),"")</f>
        <v>FIN Approval - Internal</v>
      </c>
      <c r="P121" s="184">
        <f>IFERROR(VLOOKUP(A121,[1]Approval!A:J,10,FALSE),"")</f>
        <v>41843</v>
      </c>
      <c r="R121" s="425">
        <f>2020-YEAR(Table227[[#This Row],[In-
Service
Date]])</f>
        <v>7</v>
      </c>
      <c r="S121" s="308">
        <f>+Table227[[#This Row],[Proj To Date
Actuals]]*1.02^R121</f>
        <v>51246.302203980638</v>
      </c>
    </row>
    <row r="122" spans="1:19" x14ac:dyDescent="0.25">
      <c r="A122" s="476" t="s">
        <v>1286</v>
      </c>
      <c r="B122" s="475" t="s">
        <v>4244</v>
      </c>
      <c r="C122" s="422" t="e">
        <f>VLOOKUP(B122,'Matter &amp; CI#'!$D$4:$E$595,2,FALSE)</f>
        <v>#N/A</v>
      </c>
      <c r="D122" s="476" t="s">
        <v>1287</v>
      </c>
      <c r="E122" s="476" t="s">
        <v>21</v>
      </c>
      <c r="F122" s="476" t="s">
        <v>9</v>
      </c>
      <c r="G122" s="475" t="s">
        <v>2013</v>
      </c>
      <c r="H122" s="516"/>
      <c r="I122" s="477" t="s">
        <v>5</v>
      </c>
      <c r="J122" s="476" t="s">
        <v>14</v>
      </c>
      <c r="K122" s="476" t="s">
        <v>7</v>
      </c>
      <c r="L122" s="184">
        <v>41443</v>
      </c>
      <c r="M122" s="184">
        <v>42400</v>
      </c>
      <c r="N122" s="480">
        <v>321120.96999999997</v>
      </c>
      <c r="O122" s="478" t="str">
        <f>IFERROR(VLOOKUP(A122,[1]Approval!A:C,3,FALSE),"")</f>
        <v>FIN Approval - Internal</v>
      </c>
      <c r="P122" s="184">
        <f>IFERROR(VLOOKUP(A122,[1]Approval!A:J,10,FALSE),"")</f>
        <v>42418</v>
      </c>
      <c r="R122" s="425">
        <f>2020-YEAR(Table227[[#This Row],[In-
Service
Date]])</f>
        <v>7</v>
      </c>
      <c r="S122" s="308">
        <f>+Table227[[#This Row],[Proj To Date
Actuals]]*1.02^R122</f>
        <v>368867.0558206343</v>
      </c>
    </row>
    <row r="123" spans="1:19" x14ac:dyDescent="0.25">
      <c r="A123" s="476" t="s">
        <v>1282</v>
      </c>
      <c r="B123" s="475" t="s">
        <v>4181</v>
      </c>
      <c r="C123" s="422" t="e">
        <f>VLOOKUP(B123,'Matter &amp; CI#'!$D$4:$E$595,2,FALSE)</f>
        <v>#N/A</v>
      </c>
      <c r="D123" s="476" t="s">
        <v>1283</v>
      </c>
      <c r="E123" s="476" t="s">
        <v>10</v>
      </c>
      <c r="F123" s="476" t="s">
        <v>9</v>
      </c>
      <c r="G123" s="475" t="s">
        <v>2013</v>
      </c>
      <c r="H123" s="516"/>
      <c r="I123" s="477" t="s">
        <v>5</v>
      </c>
      <c r="J123" s="476" t="s">
        <v>6</v>
      </c>
      <c r="K123" s="476" t="s">
        <v>7</v>
      </c>
      <c r="L123" s="184">
        <v>41451</v>
      </c>
      <c r="M123" s="184">
        <v>42625</v>
      </c>
      <c r="N123" s="480">
        <v>398784.19</v>
      </c>
      <c r="O123" s="478" t="str">
        <f>IFERROR(VLOOKUP(A123,[1]Approval!A:C,3,FALSE),"")</f>
        <v>FIN Approval - Internal</v>
      </c>
      <c r="P123" s="184">
        <f>IFERROR(VLOOKUP(A123,[1]Approval!A:J,10,FALSE),"")</f>
        <v>42625</v>
      </c>
      <c r="R123" s="425">
        <f>2020-YEAR(Table227[[#This Row],[In-
Service
Date]])</f>
        <v>7</v>
      </c>
      <c r="S123" s="308">
        <f>+Table227[[#This Row],[Proj To Date
Actuals]]*1.02^R123</f>
        <v>458077.68353812728</v>
      </c>
    </row>
    <row r="124" spans="1:19" x14ac:dyDescent="0.25">
      <c r="A124" s="476" t="s">
        <v>1831</v>
      </c>
      <c r="B124" s="475" t="s">
        <v>4260</v>
      </c>
      <c r="C124" s="422" t="e">
        <f>VLOOKUP(B124,'Matter &amp; CI#'!$D$4:$E$595,2,FALSE)</f>
        <v>#N/A</v>
      </c>
      <c r="D124" s="476" t="s">
        <v>1832</v>
      </c>
      <c r="E124" s="476" t="s">
        <v>10</v>
      </c>
      <c r="F124" s="476" t="s">
        <v>9</v>
      </c>
      <c r="G124" s="475" t="s">
        <v>2013</v>
      </c>
      <c r="H124" s="516"/>
      <c r="I124" s="477" t="s">
        <v>5</v>
      </c>
      <c r="J124" s="476" t="s">
        <v>40</v>
      </c>
      <c r="K124" s="476" t="s">
        <v>7</v>
      </c>
      <c r="L124" s="184">
        <v>41472</v>
      </c>
      <c r="M124" s="184">
        <v>42460</v>
      </c>
      <c r="N124" s="480">
        <v>-0.42</v>
      </c>
      <c r="O124" s="478" t="str">
        <f>IFERROR(VLOOKUP(A124,[1]Approval!A:C,3,FALSE),"")</f>
        <v>FIN Approval - Internal</v>
      </c>
      <c r="P124" s="184">
        <f>IFERROR(VLOOKUP(A124,[1]Approval!A:J,10,FALSE),"")</f>
        <v>41841</v>
      </c>
      <c r="R124" s="425">
        <f>2020-YEAR(Table227[[#This Row],[In-
Service
Date]])</f>
        <v>7</v>
      </c>
      <c r="S124" s="308">
        <f>+Table227[[#This Row],[Proj To Date
Actuals]]*1.02^R124</f>
        <v>-0.48244798041269749</v>
      </c>
    </row>
    <row r="125" spans="1:19" x14ac:dyDescent="0.25">
      <c r="A125" s="476" t="s">
        <v>319</v>
      </c>
      <c r="B125" s="475" t="s">
        <v>4060</v>
      </c>
      <c r="C125" s="422" t="e">
        <f>VLOOKUP(B125,'Matter &amp; CI#'!$D$4:$E$595,2,FALSE)</f>
        <v>#N/A</v>
      </c>
      <c r="D125" s="476" t="s">
        <v>320</v>
      </c>
      <c r="E125" s="476" t="s">
        <v>10</v>
      </c>
      <c r="F125" s="476" t="s">
        <v>9</v>
      </c>
      <c r="G125" s="475" t="s">
        <v>2013</v>
      </c>
      <c r="H125" s="516"/>
      <c r="I125" s="477" t="s">
        <v>5</v>
      </c>
      <c r="J125" s="476" t="s">
        <v>6</v>
      </c>
      <c r="K125" s="476" t="s">
        <v>7</v>
      </c>
      <c r="L125" s="184">
        <v>41517</v>
      </c>
      <c r="M125" s="184">
        <v>42909</v>
      </c>
      <c r="N125" s="480">
        <v>273918.46000000002</v>
      </c>
      <c r="O125" s="478" t="str">
        <f>IFERROR(VLOOKUP(A125,[1]Approval!A:C,3,FALSE),"")</f>
        <v>FIN Approval - Internal</v>
      </c>
      <c r="P125" s="184">
        <f>IFERROR(VLOOKUP(A125,[1]Approval!A:J,10,FALSE),"")</f>
        <v>42909</v>
      </c>
      <c r="R125" s="425">
        <f>2020-YEAR(Table227[[#This Row],[In-
Service
Date]])</f>
        <v>7</v>
      </c>
      <c r="S125" s="308">
        <f>+Table227[[#This Row],[Proj To Date
Actuals]]*1.02^R125</f>
        <v>314646.2091065626</v>
      </c>
    </row>
    <row r="126" spans="1:19" x14ac:dyDescent="0.25">
      <c r="A126" s="476" t="s">
        <v>87</v>
      </c>
      <c r="B126" s="475" t="s">
        <v>4158</v>
      </c>
      <c r="C126" s="422" t="e">
        <f>VLOOKUP(B126,'Matter &amp; CI#'!$D$4:$E$595,2,FALSE)</f>
        <v>#N/A</v>
      </c>
      <c r="D126" s="476" t="s">
        <v>88</v>
      </c>
      <c r="E126" s="476" t="s">
        <v>21</v>
      </c>
      <c r="F126" s="476" t="s">
        <v>9</v>
      </c>
      <c r="G126" s="475" t="s">
        <v>2013</v>
      </c>
      <c r="H126" s="516"/>
      <c r="I126" s="477" t="s">
        <v>5</v>
      </c>
      <c r="J126" s="476" t="s">
        <v>6</v>
      </c>
      <c r="K126" s="476" t="s">
        <v>7</v>
      </c>
      <c r="L126" s="184">
        <v>41517</v>
      </c>
      <c r="M126" s="184">
        <v>42718</v>
      </c>
      <c r="N126" s="480">
        <v>193970.48</v>
      </c>
      <c r="O126" s="478" t="str">
        <f>IFERROR(VLOOKUP(A126,[1]Approval!A:C,3,FALSE),"")</f>
        <v>FIN Approval - Internal</v>
      </c>
      <c r="P126" s="184">
        <f>IFERROR(VLOOKUP(A126,[1]Approval!A:J,10,FALSE),"")</f>
        <v>42718</v>
      </c>
      <c r="R126" s="425">
        <f>2020-YEAR(Table227[[#This Row],[In-
Service
Date]])</f>
        <v>7</v>
      </c>
      <c r="S126" s="308">
        <f>+Table227[[#This Row],[Proj To Date
Actuals]]*1.02^R126</f>
        <v>222811.11032305128</v>
      </c>
    </row>
    <row r="127" spans="1:19" x14ac:dyDescent="0.25">
      <c r="A127" s="476" t="s">
        <v>1821</v>
      </c>
      <c r="B127" s="475" t="s">
        <v>4164</v>
      </c>
      <c r="C127" s="422" t="e">
        <f>VLOOKUP(B127,'Matter &amp; CI#'!$D$4:$E$595,2,FALSE)</f>
        <v>#N/A</v>
      </c>
      <c r="D127" s="476" t="s">
        <v>1822</v>
      </c>
      <c r="E127" s="476" t="s">
        <v>21</v>
      </c>
      <c r="F127" s="476" t="s">
        <v>9</v>
      </c>
      <c r="G127" s="475" t="s">
        <v>2013</v>
      </c>
      <c r="H127" s="516"/>
      <c r="I127" s="477" t="s">
        <v>5</v>
      </c>
      <c r="J127" s="476" t="s">
        <v>6</v>
      </c>
      <c r="K127" s="476" t="s">
        <v>7</v>
      </c>
      <c r="L127" s="184">
        <v>41517</v>
      </c>
      <c r="M127" s="184">
        <v>42400</v>
      </c>
      <c r="N127" s="480">
        <v>315864.32000000001</v>
      </c>
      <c r="O127" s="478" t="str">
        <f>IFERROR(VLOOKUP(A127,[1]Approval!A:C,3,FALSE),"")</f>
        <v>FIN Approval - Internal</v>
      </c>
      <c r="P127" s="184">
        <f>IFERROR(VLOOKUP(A127,[1]Approval!A:J,10,FALSE),"")</f>
        <v>42418</v>
      </c>
      <c r="R127" s="425">
        <f>2020-YEAR(Table227[[#This Row],[In-
Service
Date]])</f>
        <v>7</v>
      </c>
      <c r="S127" s="308">
        <f>+Table227[[#This Row],[Proj To Date
Actuals]]*1.02^R127</f>
        <v>362828.81730578578</v>
      </c>
    </row>
    <row r="128" spans="1:19" x14ac:dyDescent="0.25">
      <c r="A128" s="476" t="s">
        <v>1827</v>
      </c>
      <c r="B128" s="475" t="s">
        <v>4225</v>
      </c>
      <c r="C128" s="422" t="e">
        <f>VLOOKUP(B128,'Matter &amp; CI#'!$D$4:$E$595,2,FALSE)</f>
        <v>#N/A</v>
      </c>
      <c r="D128" s="476" t="s">
        <v>1828</v>
      </c>
      <c r="E128" s="476" t="s">
        <v>10</v>
      </c>
      <c r="F128" s="476" t="s">
        <v>9</v>
      </c>
      <c r="G128" s="475" t="s">
        <v>2013</v>
      </c>
      <c r="H128" s="516"/>
      <c r="I128" s="477" t="s">
        <v>5</v>
      </c>
      <c r="J128" s="476" t="s">
        <v>14</v>
      </c>
      <c r="K128" s="476" t="s">
        <v>7</v>
      </c>
      <c r="L128" s="184">
        <v>41517</v>
      </c>
      <c r="M128" s="184">
        <v>41843</v>
      </c>
      <c r="N128" s="480">
        <v>49293.02</v>
      </c>
      <c r="O128" s="478" t="str">
        <f>IFERROR(VLOOKUP(A128,[1]Approval!A:C,3,FALSE),"")</f>
        <v>FIN Approval - Internal</v>
      </c>
      <c r="P128" s="184">
        <f>IFERROR(VLOOKUP(A128,[1]Approval!A:J,10,FALSE),"")</f>
        <v>41843</v>
      </c>
      <c r="R128" s="425">
        <f>2020-YEAR(Table227[[#This Row],[In-
Service
Date]])</f>
        <v>7</v>
      </c>
      <c r="S128" s="308">
        <f>+Table227[[#This Row],[Proj To Date
Actuals]]*1.02^R128</f>
        <v>56622.185589149296</v>
      </c>
    </row>
    <row r="129" spans="1:19" x14ac:dyDescent="0.25">
      <c r="A129" s="476" t="s">
        <v>801</v>
      </c>
      <c r="B129" s="475" t="s">
        <v>4250</v>
      </c>
      <c r="C129" s="422" t="e">
        <f>VLOOKUP(B129,'Matter &amp; CI#'!$D$4:$E$595,2,FALSE)</f>
        <v>#N/A</v>
      </c>
      <c r="D129" s="476" t="s">
        <v>802</v>
      </c>
      <c r="E129" s="476" t="s">
        <v>21</v>
      </c>
      <c r="F129" s="476" t="s">
        <v>9</v>
      </c>
      <c r="G129" s="475" t="s">
        <v>2013</v>
      </c>
      <c r="H129" s="516"/>
      <c r="I129" s="477" t="s">
        <v>5</v>
      </c>
      <c r="J129" s="476" t="s">
        <v>14</v>
      </c>
      <c r="K129" s="476" t="s">
        <v>7</v>
      </c>
      <c r="L129" s="184">
        <v>41517</v>
      </c>
      <c r="M129" s="184">
        <v>42400</v>
      </c>
      <c r="N129" s="480">
        <v>245712.12</v>
      </c>
      <c r="O129" s="478" t="str">
        <f>IFERROR(VLOOKUP(A129,[1]Approval!A:C,3,FALSE),"")</f>
        <v>FIN Approval - Internal</v>
      </c>
      <c r="P129" s="184">
        <f>IFERROR(VLOOKUP(A129,[1]Approval!A:J,10,FALSE),"")</f>
        <v>42418</v>
      </c>
      <c r="R129" s="425">
        <f>2020-YEAR(Table227[[#This Row],[In-
Service
Date]])</f>
        <v>7</v>
      </c>
      <c r="S129" s="308">
        <f>+Table227[[#This Row],[Proj To Date
Actuals]]*1.02^R129</f>
        <v>282245.99061171996</v>
      </c>
    </row>
    <row r="130" spans="1:19" x14ac:dyDescent="0.25">
      <c r="A130" s="476" t="s">
        <v>92</v>
      </c>
      <c r="B130" s="475" t="s">
        <v>4229</v>
      </c>
      <c r="C130" s="422" t="e">
        <f>VLOOKUP(B130,'Matter &amp; CI#'!$D$4:$E$595,2,FALSE)</f>
        <v>#N/A</v>
      </c>
      <c r="D130" s="476" t="s">
        <v>93</v>
      </c>
      <c r="E130" s="476" t="s">
        <v>21</v>
      </c>
      <c r="F130" s="476" t="s">
        <v>9</v>
      </c>
      <c r="G130" s="475" t="s">
        <v>2013</v>
      </c>
      <c r="H130" s="516"/>
      <c r="I130" s="477" t="s">
        <v>5</v>
      </c>
      <c r="J130" s="476" t="s">
        <v>14</v>
      </c>
      <c r="K130" s="476" t="s">
        <v>7</v>
      </c>
      <c r="L130" s="184">
        <v>41542</v>
      </c>
      <c r="M130" s="184">
        <v>42400</v>
      </c>
      <c r="N130" s="480">
        <v>77914.179999999993</v>
      </c>
      <c r="O130" s="478" t="str">
        <f>IFERROR(VLOOKUP(A130,[1]Approval!A:C,3,FALSE),"")</f>
        <v>FIN Approval - Internal</v>
      </c>
      <c r="P130" s="184">
        <f>IFERROR(VLOOKUP(A130,[1]Approval!A:J,10,FALSE),"")</f>
        <v>42418</v>
      </c>
      <c r="R130" s="425">
        <f>2020-YEAR(Table227[[#This Row],[In-
Service
Date]])</f>
        <v>7</v>
      </c>
      <c r="S130" s="308">
        <f>+Table227[[#This Row],[Proj To Date
Actuals]]*1.02^R130</f>
        <v>89498.901872646151</v>
      </c>
    </row>
    <row r="131" spans="1:19" x14ac:dyDescent="0.25">
      <c r="A131" s="476" t="s">
        <v>1052</v>
      </c>
      <c r="B131" s="475" t="s">
        <v>4249</v>
      </c>
      <c r="C131" s="422" t="e">
        <f>VLOOKUP(B131,'Matter &amp; CI#'!$D$4:$E$595,2,FALSE)</f>
        <v>#N/A</v>
      </c>
      <c r="D131" s="476" t="s">
        <v>1053</v>
      </c>
      <c r="E131" s="476" t="s">
        <v>10</v>
      </c>
      <c r="F131" s="476" t="s">
        <v>9</v>
      </c>
      <c r="G131" s="475" t="s">
        <v>2013</v>
      </c>
      <c r="H131" s="516"/>
      <c r="I131" s="477" t="s">
        <v>5</v>
      </c>
      <c r="J131" s="476" t="s">
        <v>14</v>
      </c>
      <c r="K131" s="476" t="s">
        <v>7</v>
      </c>
      <c r="L131" s="184">
        <v>41542</v>
      </c>
      <c r="M131" s="184">
        <v>41843</v>
      </c>
      <c r="N131" s="480">
        <v>43135.38</v>
      </c>
      <c r="O131" s="478" t="str">
        <f>IFERROR(VLOOKUP(A131,[1]Approval!A:C,3,FALSE),"")</f>
        <v>FIN Approval - Internal</v>
      </c>
      <c r="P131" s="184">
        <f>IFERROR(VLOOKUP(A131,[1]Approval!A:J,10,FALSE),"")</f>
        <v>41843</v>
      </c>
      <c r="R131" s="425">
        <f>2020-YEAR(Table227[[#This Row],[In-
Service
Date]])</f>
        <v>7</v>
      </c>
      <c r="S131" s="308">
        <f>+Table227[[#This Row],[Proj To Date
Actuals]]*1.02^R131</f>
        <v>49548.992774605387</v>
      </c>
    </row>
    <row r="132" spans="1:19" x14ac:dyDescent="0.25">
      <c r="A132" s="476" t="s">
        <v>560</v>
      </c>
      <c r="B132" s="475" t="s">
        <v>4251</v>
      </c>
      <c r="C132" s="422" t="e">
        <f>VLOOKUP(B132,'Matter &amp; CI#'!$D$4:$E$595,2,FALSE)</f>
        <v>#N/A</v>
      </c>
      <c r="D132" s="476" t="s">
        <v>561</v>
      </c>
      <c r="E132" s="476" t="s">
        <v>10</v>
      </c>
      <c r="F132" s="476" t="s">
        <v>9</v>
      </c>
      <c r="G132" s="475" t="s">
        <v>2013</v>
      </c>
      <c r="H132" s="516"/>
      <c r="I132" s="477" t="s">
        <v>5</v>
      </c>
      <c r="J132" s="476" t="s">
        <v>14</v>
      </c>
      <c r="K132" s="476" t="s">
        <v>7</v>
      </c>
      <c r="L132" s="184">
        <v>41542</v>
      </c>
      <c r="M132" s="184">
        <v>41843</v>
      </c>
      <c r="N132" s="480">
        <v>165629.47</v>
      </c>
      <c r="O132" s="478" t="str">
        <f>IFERROR(VLOOKUP(A132,[1]Approval!A:C,3,FALSE),"")</f>
        <v>FIN Approval - Internal</v>
      </c>
      <c r="P132" s="184">
        <f>IFERROR(VLOOKUP(A132,[1]Approval!A:J,10,FALSE),"")</f>
        <v>41843</v>
      </c>
      <c r="R132" s="425">
        <f>2020-YEAR(Table227[[#This Row],[In-
Service
Date]])</f>
        <v>7</v>
      </c>
      <c r="S132" s="308">
        <f>+Table227[[#This Row],[Proj To Date
Actuals]]*1.02^R132</f>
        <v>190256.19832934637</v>
      </c>
    </row>
    <row r="133" spans="1:19" x14ac:dyDescent="0.25">
      <c r="A133" s="476" t="s">
        <v>1558</v>
      </c>
      <c r="B133" s="475" t="s">
        <v>4153</v>
      </c>
      <c r="C133" s="422" t="e">
        <f>VLOOKUP(B133,'Matter &amp; CI#'!$D$4:$E$595,2,FALSE)</f>
        <v>#N/A</v>
      </c>
      <c r="D133" s="476" t="s">
        <v>1559</v>
      </c>
      <c r="E133" s="476" t="s">
        <v>21</v>
      </c>
      <c r="F133" s="476" t="s">
        <v>9</v>
      </c>
      <c r="G133" s="475" t="s">
        <v>2013</v>
      </c>
      <c r="H133" s="516"/>
      <c r="I133" s="477" t="s">
        <v>5</v>
      </c>
      <c r="J133" s="476" t="s">
        <v>6</v>
      </c>
      <c r="K133" s="476" t="s">
        <v>7</v>
      </c>
      <c r="L133" s="184">
        <v>41575</v>
      </c>
      <c r="M133" s="184">
        <v>42718</v>
      </c>
      <c r="N133" s="480">
        <v>418617.02</v>
      </c>
      <c r="O133" s="478" t="str">
        <f>IFERROR(VLOOKUP(A133,[1]Approval!A:C,3,FALSE),"")</f>
        <v>FIN Approval - External</v>
      </c>
      <c r="P133" s="184">
        <f>IFERROR(VLOOKUP(A133,[1]Approval!A:J,10,FALSE),"")</f>
        <v>42718</v>
      </c>
      <c r="R133" s="425">
        <f>2020-YEAR(Table227[[#This Row],[In-
Service
Date]])</f>
        <v>7</v>
      </c>
      <c r="S133" s="308">
        <f>+Table227[[#This Row],[Proj To Date
Actuals]]*1.02^R133</f>
        <v>480859.37110805197</v>
      </c>
    </row>
    <row r="134" spans="1:19" x14ac:dyDescent="0.25">
      <c r="A134" s="476" t="s">
        <v>1813</v>
      </c>
      <c r="B134" s="475" t="s">
        <v>4163</v>
      </c>
      <c r="C134" s="422" t="e">
        <f>VLOOKUP(B134,'Matter &amp; CI#'!$D$4:$E$595,2,FALSE)</f>
        <v>#N/A</v>
      </c>
      <c r="D134" s="476" t="s">
        <v>1814</v>
      </c>
      <c r="E134" s="476" t="s">
        <v>8</v>
      </c>
      <c r="F134" s="476" t="s">
        <v>9</v>
      </c>
      <c r="G134" s="475" t="s">
        <v>2013</v>
      </c>
      <c r="H134" s="516"/>
      <c r="I134" s="477" t="s">
        <v>5</v>
      </c>
      <c r="J134" s="476" t="s">
        <v>6</v>
      </c>
      <c r="K134" s="476" t="s">
        <v>7</v>
      </c>
      <c r="L134" s="184">
        <v>41575</v>
      </c>
      <c r="M134" s="184">
        <v>41843</v>
      </c>
      <c r="N134" s="480">
        <v>166638.04</v>
      </c>
      <c r="O134" s="478" t="str">
        <f>IFERROR(VLOOKUP(A134,[1]Approval!A:C,3,FALSE),"")</f>
        <v>FIN Approval - External</v>
      </c>
      <c r="P134" s="184">
        <f>IFERROR(VLOOKUP(A134,[1]Approval!A:J,10,FALSE),"")</f>
        <v>41843</v>
      </c>
      <c r="R134" s="425">
        <f>2020-YEAR(Table227[[#This Row],[In-
Service
Date]])</f>
        <v>7</v>
      </c>
      <c r="S134" s="308">
        <f>+Table227[[#This Row],[Proj To Date
Actuals]]*1.02^R134</f>
        <v>191414.72823316741</v>
      </c>
    </row>
    <row r="135" spans="1:19" x14ac:dyDescent="0.25">
      <c r="A135" s="476" t="s">
        <v>807</v>
      </c>
      <c r="B135" s="475" t="s">
        <v>4255</v>
      </c>
      <c r="C135" s="422" t="e">
        <f>VLOOKUP(B135,'Matter &amp; CI#'!$D$4:$E$595,2,FALSE)</f>
        <v>#N/A</v>
      </c>
      <c r="D135" s="476" t="s">
        <v>808</v>
      </c>
      <c r="E135" s="476" t="s">
        <v>21</v>
      </c>
      <c r="F135" s="476" t="s">
        <v>9</v>
      </c>
      <c r="G135" s="475" t="s">
        <v>2013</v>
      </c>
      <c r="H135" s="516"/>
      <c r="I135" s="477" t="s">
        <v>5</v>
      </c>
      <c r="J135" s="476" t="s">
        <v>14</v>
      </c>
      <c r="K135" s="476" t="s">
        <v>7</v>
      </c>
      <c r="L135" s="184">
        <v>41575</v>
      </c>
      <c r="M135" s="184">
        <v>42400</v>
      </c>
      <c r="N135" s="480">
        <v>218856.57</v>
      </c>
      <c r="O135" s="478" t="str">
        <f>IFERROR(VLOOKUP(A135,[1]Approval!A:C,3,FALSE),"")</f>
        <v>FIN Approval - Internal</v>
      </c>
      <c r="P135" s="184">
        <f>IFERROR(VLOOKUP(A135,[1]Approval!A:J,10,FALSE),"")</f>
        <v>42418</v>
      </c>
      <c r="R135" s="425">
        <f>2020-YEAR(Table227[[#This Row],[In-
Service
Date]])</f>
        <v>7</v>
      </c>
      <c r="S135" s="308">
        <f>+Table227[[#This Row],[Proj To Date
Actuals]]*1.02^R135</f>
        <v>251397.40522988135</v>
      </c>
    </row>
    <row r="136" spans="1:19" x14ac:dyDescent="0.25">
      <c r="A136" s="476" t="s">
        <v>1058</v>
      </c>
      <c r="B136" s="475" t="s">
        <v>4258</v>
      </c>
      <c r="C136" s="422" t="e">
        <f>VLOOKUP(B136,'Matter &amp; CI#'!$D$4:$E$595,2,FALSE)</f>
        <v>#N/A</v>
      </c>
      <c r="D136" s="476" t="s">
        <v>1059</v>
      </c>
      <c r="E136" s="476" t="s">
        <v>21</v>
      </c>
      <c r="F136" s="476" t="s">
        <v>9</v>
      </c>
      <c r="G136" s="475" t="s">
        <v>2013</v>
      </c>
      <c r="H136" s="516"/>
      <c r="I136" s="477" t="s">
        <v>5</v>
      </c>
      <c r="J136" s="476" t="s">
        <v>14</v>
      </c>
      <c r="K136" s="476" t="s">
        <v>7</v>
      </c>
      <c r="L136" s="184">
        <v>41575</v>
      </c>
      <c r="M136" s="184">
        <v>42612</v>
      </c>
      <c r="N136" s="480">
        <v>29643.02</v>
      </c>
      <c r="O136" s="478" t="str">
        <f>IFERROR(VLOOKUP(A136,[1]Approval!A:C,3,FALSE),"")</f>
        <v>FIN Approval - Internal</v>
      </c>
      <c r="P136" s="184">
        <f>IFERROR(VLOOKUP(A136,[1]Approval!A:J,10,FALSE),"")</f>
        <v>42625</v>
      </c>
      <c r="R136" s="425">
        <f>2020-YEAR(Table227[[#This Row],[In-
Service
Date]])</f>
        <v>7</v>
      </c>
      <c r="S136" s="308">
        <f>+Table227[[#This Row],[Proj To Date
Actuals]]*1.02^R136</f>
        <v>34050.512219840952</v>
      </c>
    </row>
    <row r="137" spans="1:19" x14ac:dyDescent="0.25">
      <c r="A137" s="476" t="s">
        <v>1298</v>
      </c>
      <c r="B137" s="475" t="s">
        <v>4191</v>
      </c>
      <c r="C137" s="422" t="e">
        <f>VLOOKUP(B137,'Matter &amp; CI#'!$D$4:$E$595,2,FALSE)</f>
        <v>#N/A</v>
      </c>
      <c r="D137" s="476" t="s">
        <v>1299</v>
      </c>
      <c r="E137" s="476" t="s">
        <v>21</v>
      </c>
      <c r="F137" s="476" t="s">
        <v>9</v>
      </c>
      <c r="G137" s="475" t="s">
        <v>2013</v>
      </c>
      <c r="H137" s="516"/>
      <c r="I137" s="477" t="s">
        <v>5</v>
      </c>
      <c r="J137" s="476" t="s">
        <v>6</v>
      </c>
      <c r="K137" s="476" t="s">
        <v>7</v>
      </c>
      <c r="L137" s="184">
        <v>41606</v>
      </c>
      <c r="M137" s="184">
        <v>42400</v>
      </c>
      <c r="N137" s="480">
        <v>1227430.8799999999</v>
      </c>
      <c r="O137" s="478" t="str">
        <f>IFERROR(VLOOKUP(A137,[1]Approval!A:C,3,FALSE),"")</f>
        <v>FIN Approval - Internal</v>
      </c>
      <c r="P137" s="184">
        <f>IFERROR(VLOOKUP(A137,[1]Approval!A:J,10,FALSE),"")</f>
        <v>42418</v>
      </c>
      <c r="R137" s="425">
        <f>2020-YEAR(Table227[[#This Row],[In-
Service
Date]])</f>
        <v>7</v>
      </c>
      <c r="S137" s="308">
        <f>+Table227[[#This Row],[Proj To Date
Actuals]]*1.02^R137</f>
        <v>1409932.259886143</v>
      </c>
    </row>
    <row r="138" spans="1:19" x14ac:dyDescent="0.25">
      <c r="A138" s="476" t="s">
        <v>339</v>
      </c>
      <c r="B138" s="475" t="s">
        <v>4239</v>
      </c>
      <c r="C138" s="422" t="e">
        <f>VLOOKUP(B138,'Matter &amp; CI#'!$D$4:$E$595,2,FALSE)</f>
        <v>#N/A</v>
      </c>
      <c r="D138" s="476" t="s">
        <v>340</v>
      </c>
      <c r="E138" s="476" t="s">
        <v>10</v>
      </c>
      <c r="F138" s="476" t="s">
        <v>9</v>
      </c>
      <c r="G138" s="475" t="s">
        <v>2013</v>
      </c>
      <c r="H138" s="516"/>
      <c r="I138" s="477" t="s">
        <v>5</v>
      </c>
      <c r="J138" s="476" t="s">
        <v>6</v>
      </c>
      <c r="K138" s="476" t="s">
        <v>7</v>
      </c>
      <c r="L138" s="184">
        <v>41606</v>
      </c>
      <c r="M138" s="184">
        <v>42909</v>
      </c>
      <c r="N138" s="480">
        <v>46231.76</v>
      </c>
      <c r="O138" s="478" t="str">
        <f>IFERROR(VLOOKUP(A138,[1]Approval!A:C,3,FALSE),"")</f>
        <v>FIN Approval - Internal</v>
      </c>
      <c r="P138" s="184">
        <f>IFERROR(VLOOKUP(A138,[1]Approval!A:J,10,FALSE),"")</f>
        <v>42909</v>
      </c>
      <c r="R138" s="425">
        <f>2020-YEAR(Table227[[#This Row],[In-
Service
Date]])</f>
        <v>7</v>
      </c>
      <c r="S138" s="308">
        <f>+Table227[[#This Row],[Proj To Date
Actuals]]*1.02^R138</f>
        <v>53105.760102201268</v>
      </c>
    </row>
    <row r="139" spans="1:19" x14ac:dyDescent="0.25">
      <c r="A139" s="476" t="s">
        <v>1847</v>
      </c>
      <c r="B139" s="475" t="s">
        <v>4213</v>
      </c>
      <c r="C139" s="422" t="e">
        <f>VLOOKUP(B139,'Matter &amp; CI#'!$D$4:$E$595,2,FALSE)</f>
        <v>#N/A</v>
      </c>
      <c r="D139" s="476" t="s">
        <v>1848</v>
      </c>
      <c r="E139" s="476" t="s">
        <v>10</v>
      </c>
      <c r="F139" s="476" t="s">
        <v>9</v>
      </c>
      <c r="G139" s="475" t="s">
        <v>2013</v>
      </c>
      <c r="H139" s="516"/>
      <c r="I139" s="477" t="s">
        <v>5</v>
      </c>
      <c r="J139" s="476" t="s">
        <v>39</v>
      </c>
      <c r="K139" s="476" t="s">
        <v>7</v>
      </c>
      <c r="L139" s="184">
        <v>41624</v>
      </c>
      <c r="M139" s="184">
        <v>42752</v>
      </c>
      <c r="N139" s="480">
        <v>155332.76999999999</v>
      </c>
      <c r="O139" s="478" t="str">
        <f>IFERROR(VLOOKUP(A139,[1]Approval!A:C,3,FALSE),"")</f>
        <v>FIN Approval - Internal</v>
      </c>
      <c r="P139" s="184">
        <f>IFERROR(VLOOKUP(A139,[1]Approval!A:J,10,FALSE),"")</f>
        <v>42752</v>
      </c>
      <c r="R139" s="425">
        <f>2020-YEAR(Table227[[#This Row],[In-
Service
Date]])</f>
        <v>7</v>
      </c>
      <c r="S139" s="308">
        <f>+Table227[[#This Row],[Proj To Date
Actuals]]*1.02^R139</f>
        <v>178428.526615262</v>
      </c>
    </row>
    <row r="140" spans="1:19" x14ac:dyDescent="0.25">
      <c r="A140" s="476" t="s">
        <v>289</v>
      </c>
      <c r="B140" s="475" t="s">
        <v>4115</v>
      </c>
      <c r="C140" s="422" t="e">
        <f>VLOOKUP(B140,'Matter &amp; CI#'!$D$4:$E$595,2,FALSE)</f>
        <v>#N/A</v>
      </c>
      <c r="D140" s="476" t="s">
        <v>290</v>
      </c>
      <c r="E140" s="476" t="s">
        <v>10</v>
      </c>
      <c r="F140" s="476" t="s">
        <v>9</v>
      </c>
      <c r="G140" s="475" t="s">
        <v>2013</v>
      </c>
      <c r="H140" s="516"/>
      <c r="I140" s="477" t="s">
        <v>5</v>
      </c>
      <c r="J140" s="476" t="s">
        <v>6</v>
      </c>
      <c r="K140" s="476" t="s">
        <v>7</v>
      </c>
      <c r="L140" s="184">
        <v>41626</v>
      </c>
      <c r="M140" s="184">
        <v>42428</v>
      </c>
      <c r="N140" s="480">
        <v>948561.5</v>
      </c>
      <c r="O140" s="478" t="str">
        <f>IFERROR(VLOOKUP(A140,[1]Approval!A:C,3,FALSE),"")</f>
        <v>FIN Approval - External</v>
      </c>
      <c r="P140" s="184">
        <f>IFERROR(VLOOKUP(A140,[1]Approval!A:J,10,FALSE),"")</f>
        <v>42419</v>
      </c>
      <c r="R140" s="425">
        <f>2020-YEAR(Table227[[#This Row],[In-
Service
Date]])</f>
        <v>7</v>
      </c>
      <c r="S140" s="308">
        <f>+Table227[[#This Row],[Proj To Date
Actuals]]*1.02^R140</f>
        <v>1089598.9999339024</v>
      </c>
    </row>
    <row r="141" spans="1:19" x14ac:dyDescent="0.25">
      <c r="A141" s="476" t="s">
        <v>1572</v>
      </c>
      <c r="B141" s="475" t="s">
        <v>4182</v>
      </c>
      <c r="C141" s="422" t="e">
        <f>VLOOKUP(B141,'Matter &amp; CI#'!$D$4:$E$595,2,FALSE)</f>
        <v>#N/A</v>
      </c>
      <c r="D141" s="476" t="s">
        <v>1573</v>
      </c>
      <c r="E141" s="476" t="s">
        <v>10</v>
      </c>
      <c r="F141" s="476" t="s">
        <v>9</v>
      </c>
      <c r="G141" s="475" t="s">
        <v>2013</v>
      </c>
      <c r="H141" s="516"/>
      <c r="I141" s="477" t="s">
        <v>5</v>
      </c>
      <c r="J141" s="476" t="s">
        <v>6</v>
      </c>
      <c r="K141" s="476" t="s">
        <v>7</v>
      </c>
      <c r="L141" s="184">
        <v>41626</v>
      </c>
      <c r="M141" s="184">
        <v>42937</v>
      </c>
      <c r="N141" s="480">
        <v>1291498.17</v>
      </c>
      <c r="O141" s="478" t="str">
        <f>IFERROR(VLOOKUP(A141,[1]Approval!A:C,3,FALSE),"")</f>
        <v>FIN Approval - Internal</v>
      </c>
      <c r="P141" s="184">
        <f>IFERROR(VLOOKUP(A141,[1]Approval!A:J,10,FALSE),"")</f>
        <v>42937</v>
      </c>
      <c r="R141" s="425">
        <f>2020-YEAR(Table227[[#This Row],[In-
Service
Date]])</f>
        <v>7</v>
      </c>
      <c r="S141" s="308">
        <f>+Table227[[#This Row],[Proj To Date
Actuals]]*1.02^R141</f>
        <v>1483525.437674273</v>
      </c>
    </row>
    <row r="142" spans="1:19" x14ac:dyDescent="0.25">
      <c r="A142" s="476" t="s">
        <v>1817</v>
      </c>
      <c r="B142" s="475" t="s">
        <v>4188</v>
      </c>
      <c r="C142" s="422" t="e">
        <f>VLOOKUP(B142,'Matter &amp; CI#'!$D$4:$E$595,2,FALSE)</f>
        <v>#N/A</v>
      </c>
      <c r="D142" s="476" t="s">
        <v>1818</v>
      </c>
      <c r="E142" s="476" t="s">
        <v>10</v>
      </c>
      <c r="F142" s="476" t="s">
        <v>9</v>
      </c>
      <c r="G142" s="475" t="s">
        <v>2013</v>
      </c>
      <c r="H142" s="516"/>
      <c r="I142" s="477" t="s">
        <v>5</v>
      </c>
      <c r="J142" s="476" t="s">
        <v>6</v>
      </c>
      <c r="K142" s="476" t="s">
        <v>7</v>
      </c>
      <c r="L142" s="184">
        <v>41626</v>
      </c>
      <c r="M142" s="184">
        <v>42912</v>
      </c>
      <c r="N142" s="480">
        <v>118887.52</v>
      </c>
      <c r="O142" s="478" t="str">
        <f>IFERROR(VLOOKUP(A142,[1]Approval!A:C,3,FALSE),"")</f>
        <v>FIN Approval - Internal</v>
      </c>
      <c r="P142" s="184">
        <f>IFERROR(VLOOKUP(A142,[1]Approval!A:J,10,FALSE),"")</f>
        <v>42912</v>
      </c>
      <c r="R142" s="425">
        <f>2020-YEAR(Table227[[#This Row],[In-
Service
Date]])</f>
        <v>7</v>
      </c>
      <c r="S142" s="308">
        <f>+Table227[[#This Row],[Proj To Date
Actuals]]*1.02^R142</f>
        <v>136564.39028636712</v>
      </c>
    </row>
    <row r="143" spans="1:19" x14ac:dyDescent="0.25">
      <c r="A143" s="476" t="s">
        <v>1278</v>
      </c>
      <c r="B143" s="475" t="s">
        <v>4198</v>
      </c>
      <c r="C143" s="422" t="e">
        <f>VLOOKUP(B143,'Matter &amp; CI#'!$D$4:$E$595,2,FALSE)</f>
        <v>#N/A</v>
      </c>
      <c r="D143" s="476" t="s">
        <v>1279</v>
      </c>
      <c r="E143" s="476" t="s">
        <v>21</v>
      </c>
      <c r="F143" s="476" t="s">
        <v>9</v>
      </c>
      <c r="G143" s="475" t="s">
        <v>2013</v>
      </c>
      <c r="H143" s="516"/>
      <c r="I143" s="477" t="s">
        <v>5</v>
      </c>
      <c r="J143" s="476" t="s">
        <v>14</v>
      </c>
      <c r="K143" s="476" t="s">
        <v>7</v>
      </c>
      <c r="L143" s="184">
        <v>41626</v>
      </c>
      <c r="M143" s="184">
        <v>41843</v>
      </c>
      <c r="N143" s="480">
        <v>52783.48</v>
      </c>
      <c r="O143" s="478" t="str">
        <f>IFERROR(VLOOKUP(A143,[1]Approval!A:C,3,FALSE),"")</f>
        <v>FIN Approval - Internal</v>
      </c>
      <c r="P143" s="184">
        <f>IFERROR(VLOOKUP(A143,[1]Approval!A:J,10,FALSE),"")</f>
        <v>41843</v>
      </c>
      <c r="R143" s="425">
        <f>2020-YEAR(Table227[[#This Row],[In-
Service
Date]])</f>
        <v>7</v>
      </c>
      <c r="S143" s="308">
        <f>+Table227[[#This Row],[Proj To Date
Actuals]]*1.02^R143</f>
        <v>60631.626964652409</v>
      </c>
    </row>
    <row r="144" spans="1:19" x14ac:dyDescent="0.25">
      <c r="A144" s="476" t="s">
        <v>104</v>
      </c>
      <c r="B144" s="475" t="s">
        <v>4242</v>
      </c>
      <c r="C144" s="422" t="e">
        <f>VLOOKUP(B144,'Matter &amp; CI#'!$D$4:$E$595,2,FALSE)</f>
        <v>#N/A</v>
      </c>
      <c r="D144" s="476" t="s">
        <v>105</v>
      </c>
      <c r="E144" s="476" t="s">
        <v>21</v>
      </c>
      <c r="F144" s="476" t="s">
        <v>9</v>
      </c>
      <c r="G144" s="475" t="s">
        <v>2013</v>
      </c>
      <c r="H144" s="516"/>
      <c r="I144" s="477" t="s">
        <v>5</v>
      </c>
      <c r="J144" s="476" t="s">
        <v>14</v>
      </c>
      <c r="K144" s="476" t="s">
        <v>7</v>
      </c>
      <c r="L144" s="184">
        <v>41626</v>
      </c>
      <c r="M144" s="184">
        <v>42400</v>
      </c>
      <c r="N144" s="480">
        <v>120461.52</v>
      </c>
      <c r="O144" s="478" t="str">
        <f>IFERROR(VLOOKUP(A144,[1]Approval!A:C,3,FALSE),"")</f>
        <v>FIN Approval - Internal</v>
      </c>
      <c r="P144" s="184">
        <f>IFERROR(VLOOKUP(A144,[1]Approval!A:J,10,FALSE),"")</f>
        <v>42418</v>
      </c>
      <c r="R144" s="425">
        <f>2020-YEAR(Table227[[#This Row],[In-
Service
Date]])</f>
        <v>7</v>
      </c>
      <c r="S144" s="308">
        <f>+Table227[[#This Row],[Proj To Date
Actuals]]*1.02^R144</f>
        <v>138372.42152724709</v>
      </c>
    </row>
    <row r="145" spans="1:19" x14ac:dyDescent="0.25">
      <c r="A145" s="476" t="s">
        <v>570</v>
      </c>
      <c r="B145" s="475" t="s">
        <v>4311</v>
      </c>
      <c r="C145" s="422" t="e">
        <f>VLOOKUP(B145,'Matter &amp; CI#'!$D$4:$E$595,2,FALSE)</f>
        <v>#N/A</v>
      </c>
      <c r="D145" s="476" t="s">
        <v>571</v>
      </c>
      <c r="E145" s="476" t="s">
        <v>10</v>
      </c>
      <c r="F145" s="476" t="s">
        <v>9</v>
      </c>
      <c r="G145" s="475" t="s">
        <v>2013</v>
      </c>
      <c r="H145" s="516"/>
      <c r="I145" s="477" t="s">
        <v>5</v>
      </c>
      <c r="J145" s="476" t="s">
        <v>14</v>
      </c>
      <c r="K145" s="476" t="s">
        <v>7</v>
      </c>
      <c r="L145" s="184">
        <v>41647</v>
      </c>
      <c r="M145" s="184">
        <v>42909</v>
      </c>
      <c r="N145" s="480">
        <v>681996.1</v>
      </c>
      <c r="O145" s="478" t="str">
        <f>IFERROR(VLOOKUP(A145,[1]Approval!A:C,3,FALSE),"")</f>
        <v>FIN Approval - Internal</v>
      </c>
      <c r="P145" s="184">
        <f>IFERROR(VLOOKUP(A145,[1]Approval!A:J,10,FALSE),"")</f>
        <v>42909</v>
      </c>
      <c r="R145" s="425">
        <f>2020-YEAR(Table227[[#This Row],[In-
Service
Date]])</f>
        <v>6</v>
      </c>
      <c r="S145" s="308">
        <f>+Table227[[#This Row],[Proj To Date
Actuals]]*1.02^R145</f>
        <v>768038.37790461292</v>
      </c>
    </row>
    <row r="146" spans="1:19" x14ac:dyDescent="0.25">
      <c r="A146" s="476" t="s">
        <v>1805</v>
      </c>
      <c r="B146" s="475" t="s">
        <v>4067</v>
      </c>
      <c r="C146" s="422" t="e">
        <f>VLOOKUP(B146,'Matter &amp; CI#'!$D$4:$E$595,2,FALSE)</f>
        <v>#N/A</v>
      </c>
      <c r="D146" s="476" t="s">
        <v>1806</v>
      </c>
      <c r="E146" s="476" t="s">
        <v>10</v>
      </c>
      <c r="F146" s="476" t="s">
        <v>9</v>
      </c>
      <c r="G146" s="475" t="s">
        <v>2013</v>
      </c>
      <c r="H146" s="516"/>
      <c r="I146" s="477" t="s">
        <v>5</v>
      </c>
      <c r="J146" s="476" t="s">
        <v>6</v>
      </c>
      <c r="K146" s="476" t="s">
        <v>7</v>
      </c>
      <c r="L146" s="184">
        <v>41669</v>
      </c>
      <c r="M146" s="184">
        <v>42913</v>
      </c>
      <c r="N146" s="480">
        <v>232409.26</v>
      </c>
      <c r="O146" s="478" t="str">
        <f>IFERROR(VLOOKUP(A146,[1]Approval!A:C,3,FALSE),"")</f>
        <v>FIN Approval - Internal</v>
      </c>
      <c r="P146" s="184">
        <f>IFERROR(VLOOKUP(A146,[1]Approval!A:J,10,FALSE),"")</f>
        <v>42913</v>
      </c>
      <c r="R146" s="425">
        <f>2020-YEAR(Table227[[#This Row],[In-
Service
Date]])</f>
        <v>6</v>
      </c>
      <c r="S146" s="308">
        <f>+Table227[[#This Row],[Proj To Date
Actuals]]*1.02^R146</f>
        <v>261730.57450095602</v>
      </c>
    </row>
    <row r="147" spans="1:19" x14ac:dyDescent="0.25">
      <c r="A147" s="476" t="s">
        <v>1054</v>
      </c>
      <c r="B147" s="475" t="s">
        <v>4256</v>
      </c>
      <c r="C147" s="422" t="e">
        <f>VLOOKUP(B147,'Matter &amp; CI#'!$D$4:$E$595,2,FALSE)</f>
        <v>#N/A</v>
      </c>
      <c r="D147" s="476" t="s">
        <v>1055</v>
      </c>
      <c r="E147" s="476" t="s">
        <v>10</v>
      </c>
      <c r="F147" s="476" t="s">
        <v>9</v>
      </c>
      <c r="G147" s="475" t="s">
        <v>2013</v>
      </c>
      <c r="H147" s="516"/>
      <c r="I147" s="477" t="s">
        <v>5</v>
      </c>
      <c r="J147" s="476" t="s">
        <v>6</v>
      </c>
      <c r="K147" s="476" t="s">
        <v>28</v>
      </c>
      <c r="L147" s="184">
        <v>41688</v>
      </c>
      <c r="N147" s="480">
        <v>34403.06</v>
      </c>
      <c r="O147" s="478" t="str">
        <f>IFERROR(VLOOKUP(A147,[1]Approval!A:C,3,FALSE),"")</f>
        <v/>
      </c>
      <c r="P147" s="184" t="str">
        <f>IFERROR(VLOOKUP(A147,[1]Approval!A:J,10,FALSE),"")</f>
        <v/>
      </c>
      <c r="R147" s="425">
        <f>2020-YEAR(Table227[[#This Row],[In-
Service
Date]])</f>
        <v>6</v>
      </c>
      <c r="S147" s="308">
        <f>+Table227[[#This Row],[Proj To Date
Actuals]]*1.02^R147</f>
        <v>38743.433279684548</v>
      </c>
    </row>
    <row r="148" spans="1:19" x14ac:dyDescent="0.25">
      <c r="A148" s="476" t="s">
        <v>536</v>
      </c>
      <c r="B148" s="475" t="s">
        <v>4076</v>
      </c>
      <c r="C148" s="422" t="e">
        <f>VLOOKUP(B148,'Matter &amp; CI#'!$D$4:$E$595,2,FALSE)</f>
        <v>#N/A</v>
      </c>
      <c r="D148" s="476" t="s">
        <v>537</v>
      </c>
      <c r="E148" s="476" t="s">
        <v>10</v>
      </c>
      <c r="F148" s="476" t="s">
        <v>9</v>
      </c>
      <c r="G148" s="475" t="s">
        <v>2013</v>
      </c>
      <c r="H148" s="516"/>
      <c r="I148" s="477" t="s">
        <v>5</v>
      </c>
      <c r="J148" s="476" t="s">
        <v>6</v>
      </c>
      <c r="K148" s="476" t="s">
        <v>7</v>
      </c>
      <c r="L148" s="184">
        <v>41698</v>
      </c>
      <c r="M148" s="184">
        <v>42400</v>
      </c>
      <c r="N148" s="480">
        <v>389950.17</v>
      </c>
      <c r="O148" s="478" t="str">
        <f>IFERROR(VLOOKUP(A148,[1]Approval!A:C,3,FALSE),"")</f>
        <v>FIN Approval - Internal</v>
      </c>
      <c r="P148" s="184">
        <f>IFERROR(VLOOKUP(A148,[1]Approval!A:J,10,FALSE),"")</f>
        <v>42418</v>
      </c>
      <c r="R148" s="425">
        <f>2020-YEAR(Table227[[#This Row],[In-
Service
Date]])</f>
        <v>6</v>
      </c>
      <c r="S148" s="308">
        <f>+Table227[[#This Row],[Proj To Date
Actuals]]*1.02^R148</f>
        <v>439147.22683960811</v>
      </c>
    </row>
    <row r="149" spans="1:19" x14ac:dyDescent="0.25">
      <c r="A149" s="476" t="s">
        <v>777</v>
      </c>
      <c r="B149" s="475" t="s">
        <v>4092</v>
      </c>
      <c r="C149" s="422" t="e">
        <f>VLOOKUP(B149,'Matter &amp; CI#'!$D$4:$E$595,2,FALSE)</f>
        <v>#N/A</v>
      </c>
      <c r="D149" s="476" t="s">
        <v>778</v>
      </c>
      <c r="E149" s="476" t="s">
        <v>10</v>
      </c>
      <c r="F149" s="476" t="s">
        <v>9</v>
      </c>
      <c r="G149" s="475" t="s">
        <v>2013</v>
      </c>
      <c r="H149" s="516"/>
      <c r="I149" s="477" t="s">
        <v>5</v>
      </c>
      <c r="J149" s="476" t="s">
        <v>6</v>
      </c>
      <c r="K149" s="476" t="s">
        <v>7</v>
      </c>
      <c r="L149" s="184">
        <v>41698</v>
      </c>
      <c r="M149" s="184">
        <v>42909</v>
      </c>
      <c r="N149" s="480">
        <v>204029.99</v>
      </c>
      <c r="O149" s="478" t="str">
        <f>IFERROR(VLOOKUP(A149,[1]Approval!A:C,3,FALSE),"")</f>
        <v>FIN Approval - Internal</v>
      </c>
      <c r="P149" s="184">
        <f>IFERROR(VLOOKUP(A149,[1]Approval!A:J,10,FALSE),"")</f>
        <v>42909</v>
      </c>
      <c r="R149" s="425">
        <f>2020-YEAR(Table227[[#This Row],[In-
Service
Date]])</f>
        <v>6</v>
      </c>
      <c r="S149" s="308">
        <f>+Table227[[#This Row],[Proj To Date
Actuals]]*1.02^R149</f>
        <v>229770.90714080972</v>
      </c>
    </row>
    <row r="150" spans="1:19" x14ac:dyDescent="0.25">
      <c r="A150" s="476" t="s">
        <v>335</v>
      </c>
      <c r="B150" s="475" t="s">
        <v>4162</v>
      </c>
      <c r="C150" s="422" t="e">
        <f>VLOOKUP(B150,'Matter &amp; CI#'!$D$4:$E$595,2,FALSE)</f>
        <v>#N/A</v>
      </c>
      <c r="D150" s="476" t="s">
        <v>336</v>
      </c>
      <c r="E150" s="476" t="s">
        <v>10</v>
      </c>
      <c r="F150" s="476" t="s">
        <v>9</v>
      </c>
      <c r="G150" s="475" t="s">
        <v>2013</v>
      </c>
      <c r="H150" s="516"/>
      <c r="I150" s="477" t="s">
        <v>5</v>
      </c>
      <c r="J150" s="476" t="s">
        <v>6</v>
      </c>
      <c r="K150" s="476" t="s">
        <v>7</v>
      </c>
      <c r="L150" s="184">
        <v>41698</v>
      </c>
      <c r="M150" s="184">
        <v>42625</v>
      </c>
      <c r="N150" s="480">
        <v>248780.86</v>
      </c>
      <c r="O150" s="478" t="str">
        <f>IFERROR(VLOOKUP(A150,[1]Approval!A:C,3,FALSE),"")</f>
        <v>FIN Approval - Internal</v>
      </c>
      <c r="P150" s="184">
        <f>IFERROR(VLOOKUP(A150,[1]Approval!A:J,10,FALSE),"")</f>
        <v>42625</v>
      </c>
      <c r="R150" s="425">
        <f>2020-YEAR(Table227[[#This Row],[In-
Service
Date]])</f>
        <v>6</v>
      </c>
      <c r="S150" s="308">
        <f>+Table227[[#This Row],[Proj To Date
Actuals]]*1.02^R150</f>
        <v>280167.65516417846</v>
      </c>
    </row>
    <row r="151" spans="1:19" x14ac:dyDescent="0.25">
      <c r="A151" s="476" t="s">
        <v>1777</v>
      </c>
      <c r="B151" s="475" t="s">
        <v>4286</v>
      </c>
      <c r="C151" s="422" t="e">
        <f>VLOOKUP(B151,'Matter &amp; CI#'!$D$4:$E$595,2,FALSE)</f>
        <v>#N/A</v>
      </c>
      <c r="D151" s="476" t="s">
        <v>1778</v>
      </c>
      <c r="E151" s="476" t="s">
        <v>10</v>
      </c>
      <c r="F151" s="476" t="s">
        <v>9</v>
      </c>
      <c r="G151" s="475" t="s">
        <v>2013</v>
      </c>
      <c r="H151" s="516"/>
      <c r="I151" s="477" t="s">
        <v>5</v>
      </c>
      <c r="J151" s="476" t="s">
        <v>6</v>
      </c>
      <c r="K151" s="476" t="s">
        <v>7</v>
      </c>
      <c r="L151" s="184">
        <v>41698</v>
      </c>
      <c r="M151" s="184">
        <v>42937</v>
      </c>
      <c r="N151" s="480">
        <v>644155.15</v>
      </c>
      <c r="O151" s="478" t="str">
        <f>IFERROR(VLOOKUP(A151,[1]Approval!A:C,3,FALSE),"")</f>
        <v>FIN Approval - Internal</v>
      </c>
      <c r="P151" s="184">
        <f>IFERROR(VLOOKUP(A151,[1]Approval!A:J,10,FALSE),"")</f>
        <v>42937</v>
      </c>
      <c r="R151" s="425">
        <f>2020-YEAR(Table227[[#This Row],[In-
Service
Date]])</f>
        <v>6</v>
      </c>
      <c r="S151" s="308">
        <f>+Table227[[#This Row],[Proj To Date
Actuals]]*1.02^R151</f>
        <v>725423.32210536487</v>
      </c>
    </row>
    <row r="152" spans="1:19" x14ac:dyDescent="0.25">
      <c r="A152" s="476" t="s">
        <v>1290</v>
      </c>
      <c r="B152" s="475" t="s">
        <v>4070</v>
      </c>
      <c r="C152" s="422" t="e">
        <f>VLOOKUP(B152,'Matter &amp; CI#'!$D$4:$E$595,2,FALSE)</f>
        <v>#N/A</v>
      </c>
      <c r="D152" s="476" t="s">
        <v>1291</v>
      </c>
      <c r="E152" s="476" t="s">
        <v>10</v>
      </c>
      <c r="F152" s="476" t="s">
        <v>9</v>
      </c>
      <c r="G152" s="475" t="s">
        <v>2013</v>
      </c>
      <c r="H152" s="516"/>
      <c r="I152" s="477" t="s">
        <v>5</v>
      </c>
      <c r="J152" s="476" t="s">
        <v>6</v>
      </c>
      <c r="K152" s="476" t="s">
        <v>7</v>
      </c>
      <c r="L152" s="184">
        <v>41719</v>
      </c>
      <c r="M152" s="184">
        <v>42909</v>
      </c>
      <c r="N152" s="480">
        <v>363013.89</v>
      </c>
      <c r="O152" s="478" t="str">
        <f>IFERROR(VLOOKUP(A152,[1]Approval!A:C,3,FALSE),"")</f>
        <v>FIN Approval - Internal</v>
      </c>
      <c r="P152" s="184">
        <f>IFERROR(VLOOKUP(A152,[1]Approval!A:J,10,FALSE),"")</f>
        <v>42909</v>
      </c>
      <c r="R152" s="425">
        <f>2020-YEAR(Table227[[#This Row],[In-
Service
Date]])</f>
        <v>6</v>
      </c>
      <c r="S152" s="308">
        <f>+Table227[[#This Row],[Proj To Date
Actuals]]*1.02^R152</f>
        <v>408812.6005888356</v>
      </c>
    </row>
    <row r="153" spans="1:19" x14ac:dyDescent="0.25">
      <c r="A153" s="476" t="s">
        <v>1829</v>
      </c>
      <c r="B153" s="475" t="s">
        <v>4241</v>
      </c>
      <c r="C153" s="422" t="e">
        <f>VLOOKUP(B153,'Matter &amp; CI#'!$D$4:$E$595,2,FALSE)</f>
        <v>#N/A</v>
      </c>
      <c r="D153" s="476" t="s">
        <v>1830</v>
      </c>
      <c r="E153" s="476" t="s">
        <v>10</v>
      </c>
      <c r="F153" s="476" t="s">
        <v>9</v>
      </c>
      <c r="G153" s="475" t="s">
        <v>2013</v>
      </c>
      <c r="H153" s="516"/>
      <c r="I153" s="477" t="s">
        <v>5</v>
      </c>
      <c r="J153" s="476" t="s">
        <v>14</v>
      </c>
      <c r="K153" s="476" t="s">
        <v>7</v>
      </c>
      <c r="L153" s="184">
        <v>41724</v>
      </c>
      <c r="M153" s="184">
        <v>41843</v>
      </c>
      <c r="N153" s="480">
        <v>112836.57</v>
      </c>
      <c r="O153" s="478" t="str">
        <f>IFERROR(VLOOKUP(A153,[1]Approval!A:C,3,FALSE),"")</f>
        <v>FIN Approval - Internal</v>
      </c>
      <c r="P153" s="184">
        <f>IFERROR(VLOOKUP(A153,[1]Approval!A:J,10,FALSE),"")</f>
        <v>41843</v>
      </c>
      <c r="R153" s="425">
        <f>2020-YEAR(Table227[[#This Row],[In-
Service
Date]])</f>
        <v>6</v>
      </c>
      <c r="S153" s="308">
        <f>+Table227[[#This Row],[Proj To Date
Actuals]]*1.02^R153</f>
        <v>127072.3046526517</v>
      </c>
    </row>
    <row r="154" spans="1:19" x14ac:dyDescent="0.25">
      <c r="A154" s="476" t="s">
        <v>1841</v>
      </c>
      <c r="B154" s="475" t="s">
        <v>4262</v>
      </c>
      <c r="C154" s="422" t="e">
        <f>VLOOKUP(B154,'Matter &amp; CI#'!$D$4:$E$595,2,FALSE)</f>
        <v>#N/A</v>
      </c>
      <c r="D154" s="476" t="s">
        <v>1842</v>
      </c>
      <c r="E154" s="476" t="s">
        <v>10</v>
      </c>
      <c r="F154" s="476" t="s">
        <v>9</v>
      </c>
      <c r="G154" s="475" t="s">
        <v>2013</v>
      </c>
      <c r="H154" s="516"/>
      <c r="I154" s="477" t="s">
        <v>5</v>
      </c>
      <c r="J154" s="476" t="s">
        <v>6</v>
      </c>
      <c r="K154" s="476" t="s">
        <v>7</v>
      </c>
      <c r="L154" s="184">
        <v>41725</v>
      </c>
      <c r="M154" s="184">
        <v>42400</v>
      </c>
      <c r="N154" s="480">
        <v>106018.93</v>
      </c>
      <c r="O154" s="478" t="str">
        <f>IFERROR(VLOOKUP(A154,[1]Approval!A:C,3,FALSE),"")</f>
        <v>FIN Approval - Internal</v>
      </c>
      <c r="P154" s="184">
        <f>IFERROR(VLOOKUP(A154,[1]Approval!A:J,10,FALSE),"")</f>
        <v>42418</v>
      </c>
      <c r="R154" s="425">
        <f>2020-YEAR(Table227[[#This Row],[In-
Service
Date]])</f>
        <v>6</v>
      </c>
      <c r="S154" s="308">
        <f>+Table227[[#This Row],[Proj To Date
Actuals]]*1.02^R154</f>
        <v>119394.53469658067</v>
      </c>
    </row>
    <row r="155" spans="1:19" x14ac:dyDescent="0.25">
      <c r="A155" s="476" t="s">
        <v>106</v>
      </c>
      <c r="B155" s="475" t="s">
        <v>4296</v>
      </c>
      <c r="C155" s="422" t="e">
        <f>VLOOKUP(B155,'Matter &amp; CI#'!$D$4:$E$595,2,FALSE)</f>
        <v>#N/A</v>
      </c>
      <c r="D155" s="476" t="s">
        <v>107</v>
      </c>
      <c r="E155" s="476" t="s">
        <v>10</v>
      </c>
      <c r="F155" s="476" t="s">
        <v>9</v>
      </c>
      <c r="G155" s="475" t="s">
        <v>2013</v>
      </c>
      <c r="H155" s="516"/>
      <c r="I155" s="477" t="s">
        <v>5</v>
      </c>
      <c r="J155" s="476" t="s">
        <v>12</v>
      </c>
      <c r="K155" s="476" t="s">
        <v>7</v>
      </c>
      <c r="L155" s="184">
        <v>41726</v>
      </c>
      <c r="M155" s="184">
        <v>43862</v>
      </c>
      <c r="N155" s="480">
        <v>18276.45</v>
      </c>
      <c r="O155" s="478" t="str">
        <f>IFERROR(VLOOKUP(A155,[1]Approval!A:C,3,FALSE),"")</f>
        <v>FIN Approval - Internal</v>
      </c>
      <c r="P155" s="184">
        <f>IFERROR(VLOOKUP(A155,[1]Approval!A:J,10,FALSE),"")</f>
        <v>43677</v>
      </c>
      <c r="R155" s="425">
        <f>2020-YEAR(Table227[[#This Row],[In-
Service
Date]])</f>
        <v>6</v>
      </c>
      <c r="S155" s="308">
        <f>+Table227[[#This Row],[Proj To Date
Actuals]]*1.02^R155</f>
        <v>20582.251147557534</v>
      </c>
    </row>
    <row r="156" spans="1:19" x14ac:dyDescent="0.25">
      <c r="A156" s="476" t="s">
        <v>1518</v>
      </c>
      <c r="B156" s="475" t="s">
        <v>4099</v>
      </c>
      <c r="C156" s="422" t="e">
        <f>VLOOKUP(B156,'Matter &amp; CI#'!$D$4:$E$595,2,FALSE)</f>
        <v>#N/A</v>
      </c>
      <c r="D156" s="476" t="s">
        <v>1519</v>
      </c>
      <c r="E156" s="476" t="s">
        <v>10</v>
      </c>
      <c r="F156" s="476" t="s">
        <v>9</v>
      </c>
      <c r="G156" s="475" t="s">
        <v>2013</v>
      </c>
      <c r="H156" s="516"/>
      <c r="I156" s="477" t="s">
        <v>5</v>
      </c>
      <c r="J156" s="476" t="s">
        <v>6</v>
      </c>
      <c r="K156" s="476" t="s">
        <v>7</v>
      </c>
      <c r="L156" s="184">
        <v>41751</v>
      </c>
      <c r="M156" s="184">
        <v>43677</v>
      </c>
      <c r="N156" s="480">
        <v>1258532.93</v>
      </c>
      <c r="O156" s="478" t="str">
        <f>IFERROR(VLOOKUP(A156,[1]Approval!A:C,3,FALSE),"")</f>
        <v>FIN Approval - Internal</v>
      </c>
      <c r="P156" s="184">
        <f>IFERROR(VLOOKUP(A156,[1]Approval!A:J,10,FALSE),"")</f>
        <v>43584</v>
      </c>
      <c r="R156" s="425">
        <f>2020-YEAR(Table227[[#This Row],[In-
Service
Date]])</f>
        <v>6</v>
      </c>
      <c r="S156" s="308">
        <f>+Table227[[#This Row],[Proj To Date
Actuals]]*1.02^R156</f>
        <v>1417312.4891722105</v>
      </c>
    </row>
    <row r="157" spans="1:19" x14ac:dyDescent="0.25">
      <c r="A157" s="476" t="s">
        <v>1310</v>
      </c>
      <c r="B157" s="475" t="s">
        <v>4295</v>
      </c>
      <c r="C157" s="422" t="e">
        <f>VLOOKUP(B157,'Matter &amp; CI#'!$D$4:$E$595,2,FALSE)</f>
        <v>#N/A</v>
      </c>
      <c r="D157" s="476" t="s">
        <v>1311</v>
      </c>
      <c r="E157" s="476" t="s">
        <v>21</v>
      </c>
      <c r="F157" s="476" t="s">
        <v>9</v>
      </c>
      <c r="G157" s="475" t="s">
        <v>2013</v>
      </c>
      <c r="H157" s="516"/>
      <c r="I157" s="477" t="s">
        <v>5</v>
      </c>
      <c r="J157" s="476" t="s">
        <v>14</v>
      </c>
      <c r="K157" s="476" t="s">
        <v>7</v>
      </c>
      <c r="L157" s="184">
        <v>41774</v>
      </c>
      <c r="M157" s="184">
        <v>42400</v>
      </c>
      <c r="N157" s="480">
        <v>71928.23</v>
      </c>
      <c r="O157" s="478" t="str">
        <f>IFERROR(VLOOKUP(A157,[1]Approval!A:C,3,FALSE),"")</f>
        <v>FIN Approval - Internal</v>
      </c>
      <c r="P157" s="184">
        <f>IFERROR(VLOOKUP(A157,[1]Approval!A:J,10,FALSE),"")</f>
        <v>42418</v>
      </c>
      <c r="R157" s="425">
        <f>2020-YEAR(Table227[[#This Row],[In-
Service
Date]])</f>
        <v>6</v>
      </c>
      <c r="S157" s="308">
        <f>+Table227[[#This Row],[Proj To Date
Actuals]]*1.02^R157</f>
        <v>81002.869510177421</v>
      </c>
    </row>
    <row r="158" spans="1:19" x14ac:dyDescent="0.25">
      <c r="A158" s="476" t="s">
        <v>102</v>
      </c>
      <c r="B158" s="475" t="s">
        <v>4293</v>
      </c>
      <c r="C158" s="422" t="e">
        <f>VLOOKUP(B158,'Matter &amp; CI#'!$D$4:$E$595,2,FALSE)</f>
        <v>#N/A</v>
      </c>
      <c r="D158" s="476" t="s">
        <v>103</v>
      </c>
      <c r="E158" s="476" t="s">
        <v>10</v>
      </c>
      <c r="F158" s="476" t="s">
        <v>9</v>
      </c>
      <c r="G158" s="475" t="s">
        <v>2013</v>
      </c>
      <c r="H158" s="516"/>
      <c r="I158" s="477" t="s">
        <v>5</v>
      </c>
      <c r="J158" s="476" t="s">
        <v>40</v>
      </c>
      <c r="K158" s="476" t="s">
        <v>7</v>
      </c>
      <c r="L158" s="184">
        <v>41790</v>
      </c>
      <c r="M158" s="184">
        <v>43952</v>
      </c>
      <c r="N158" s="480">
        <v>45252.24</v>
      </c>
      <c r="O158" s="478" t="str">
        <f>IFERROR(VLOOKUP(A158,[1]Approval!A:C,3,FALSE),"")</f>
        <v>FIN Approval - Internal</v>
      </c>
      <c r="P158" s="184">
        <f>IFERROR(VLOOKUP(A158,[1]Approval!A:J,10,FALSE),"")</f>
        <v>43976</v>
      </c>
      <c r="R158" s="425">
        <f>2020-YEAR(Table227[[#This Row],[In-
Service
Date]])</f>
        <v>6</v>
      </c>
      <c r="S158" s="308">
        <f>+Table227[[#This Row],[Proj To Date
Actuals]]*1.02^R158</f>
        <v>50961.372075515152</v>
      </c>
    </row>
    <row r="159" spans="1:19" x14ac:dyDescent="0.25">
      <c r="A159" s="476" t="s">
        <v>1062</v>
      </c>
      <c r="B159" s="475" t="s">
        <v>4294</v>
      </c>
      <c r="C159" s="422" t="e">
        <f>VLOOKUP(B159,'Matter &amp; CI#'!$D$4:$E$595,2,FALSE)</f>
        <v>#N/A</v>
      </c>
      <c r="D159" s="476" t="s">
        <v>1063</v>
      </c>
      <c r="E159" s="476" t="s">
        <v>10</v>
      </c>
      <c r="F159" s="476" t="s">
        <v>9</v>
      </c>
      <c r="G159" s="475" t="s">
        <v>2013</v>
      </c>
      <c r="H159" s="516"/>
      <c r="I159" s="477" t="s">
        <v>5</v>
      </c>
      <c r="J159" s="476" t="s">
        <v>39</v>
      </c>
      <c r="K159" s="476" t="s">
        <v>7</v>
      </c>
      <c r="L159" s="184">
        <v>41820</v>
      </c>
      <c r="M159" s="184">
        <v>43862</v>
      </c>
      <c r="N159" s="480">
        <v>-6917.56</v>
      </c>
      <c r="O159" s="478" t="str">
        <f>IFERROR(VLOOKUP(A159,[1]Approval!A:C,3,FALSE),"")</f>
        <v>FIN Approval - Internal</v>
      </c>
      <c r="P159" s="184">
        <f>IFERROR(VLOOKUP(A159,[1]Approval!A:J,10,FALSE),"")</f>
        <v>43677</v>
      </c>
      <c r="R159" s="425">
        <f>2020-YEAR(Table227[[#This Row],[In-
Service
Date]])</f>
        <v>6</v>
      </c>
      <c r="S159" s="308">
        <f>+Table227[[#This Row],[Proj To Date
Actuals]]*1.02^R159</f>
        <v>-7790.2961050038766</v>
      </c>
    </row>
    <row r="160" spans="1:19" x14ac:dyDescent="0.25">
      <c r="A160" s="476" t="s">
        <v>1849</v>
      </c>
      <c r="B160" s="475" t="s">
        <v>4291</v>
      </c>
      <c r="C160" s="422" t="e">
        <f>VLOOKUP(B160,'Matter &amp; CI#'!$D$4:$E$595,2,FALSE)</f>
        <v>#N/A</v>
      </c>
      <c r="D160" s="476" t="s">
        <v>1850</v>
      </c>
      <c r="E160" s="476" t="s">
        <v>10</v>
      </c>
      <c r="F160" s="476" t="s">
        <v>9</v>
      </c>
      <c r="G160" s="475" t="s">
        <v>2013</v>
      </c>
      <c r="H160" s="516"/>
      <c r="I160" s="477" t="s">
        <v>5</v>
      </c>
      <c r="J160" s="476" t="s">
        <v>12</v>
      </c>
      <c r="K160" s="476" t="s">
        <v>7</v>
      </c>
      <c r="L160" s="184">
        <v>41882</v>
      </c>
      <c r="M160" s="184">
        <v>42762</v>
      </c>
      <c r="N160" s="480">
        <v>42074.559999999998</v>
      </c>
      <c r="O160" s="478" t="str">
        <f>IFERROR(VLOOKUP(A160,[1]Approval!A:C,3,FALSE),"")</f>
        <v>FIN Approval - Internal</v>
      </c>
      <c r="P160" s="184">
        <f>IFERROR(VLOOKUP(A160,[1]Approval!A:J,10,FALSE),"")</f>
        <v>42762</v>
      </c>
      <c r="R160" s="425">
        <f>2020-YEAR(Table227[[#This Row],[In-
Service
Date]])</f>
        <v>6</v>
      </c>
      <c r="S160" s="308">
        <f>+Table227[[#This Row],[Proj To Date
Actuals]]*1.02^R160</f>
        <v>47382.788279068322</v>
      </c>
    </row>
    <row r="161" spans="1:19" x14ac:dyDescent="0.25">
      <c r="A161" s="476" t="s">
        <v>817</v>
      </c>
      <c r="B161" s="475" t="s">
        <v>4300</v>
      </c>
      <c r="C161" s="422" t="e">
        <f>VLOOKUP(B161,'Matter &amp; CI#'!$D$4:$E$595,2,FALSE)</f>
        <v>#N/A</v>
      </c>
      <c r="D161" s="476" t="s">
        <v>818</v>
      </c>
      <c r="E161" s="476" t="s">
        <v>27</v>
      </c>
      <c r="F161" s="476" t="s">
        <v>9</v>
      </c>
      <c r="G161" s="475" t="s">
        <v>2013</v>
      </c>
      <c r="H161" s="516"/>
      <c r="I161" s="477" t="s">
        <v>5</v>
      </c>
      <c r="J161" s="476" t="s">
        <v>12</v>
      </c>
      <c r="K161" s="476" t="s">
        <v>7</v>
      </c>
      <c r="L161" s="184">
        <v>41882</v>
      </c>
      <c r="M161" s="184">
        <v>42400</v>
      </c>
      <c r="N161" s="480">
        <v>39647.71</v>
      </c>
      <c r="O161" s="478" t="str">
        <f>IFERROR(VLOOKUP(A161,[1]Approval!A:C,3,FALSE),"")</f>
        <v>FIN Approval - Internal</v>
      </c>
      <c r="P161" s="184">
        <f>IFERROR(VLOOKUP(A161,[1]Approval!A:J,10,FALSE),"")</f>
        <v>42418</v>
      </c>
      <c r="R161" s="425">
        <f>2020-YEAR(Table227[[#This Row],[In-
Service
Date]])</f>
        <v>6</v>
      </c>
      <c r="S161" s="308">
        <f>+Table227[[#This Row],[Proj To Date
Actuals]]*1.02^R161</f>
        <v>44649.76101187749</v>
      </c>
    </row>
    <row r="162" spans="1:19" x14ac:dyDescent="0.25">
      <c r="A162" s="476" t="s">
        <v>576</v>
      </c>
      <c r="B162" s="475" t="s">
        <v>4325</v>
      </c>
      <c r="C162" s="422" t="e">
        <f>VLOOKUP(B162,'Matter &amp; CI#'!$D$4:$E$595,2,FALSE)</f>
        <v>#N/A</v>
      </c>
      <c r="D162" s="476" t="s">
        <v>577</v>
      </c>
      <c r="E162" s="476" t="s">
        <v>10</v>
      </c>
      <c r="F162" s="476" t="s">
        <v>9</v>
      </c>
      <c r="G162" s="475" t="s">
        <v>2013</v>
      </c>
      <c r="H162" s="516"/>
      <c r="I162" s="477" t="s">
        <v>5</v>
      </c>
      <c r="J162" s="476" t="s">
        <v>14</v>
      </c>
      <c r="K162" s="476" t="s">
        <v>7</v>
      </c>
      <c r="L162" s="184">
        <v>41921</v>
      </c>
      <c r="M162" s="184">
        <v>42612</v>
      </c>
      <c r="N162" s="480">
        <v>43748.49</v>
      </c>
      <c r="O162" s="478" t="str">
        <f>IFERROR(VLOOKUP(A162,[1]Approval!A:C,3,FALSE),"")</f>
        <v>FIN Approval - Internal</v>
      </c>
      <c r="P162" s="184">
        <f>IFERROR(VLOOKUP(A162,[1]Approval!A:J,10,FALSE),"")</f>
        <v>42625</v>
      </c>
      <c r="R162" s="425">
        <f>2020-YEAR(Table227[[#This Row],[In-
Service
Date]])</f>
        <v>6</v>
      </c>
      <c r="S162" s="308">
        <f>+Table227[[#This Row],[Proj To Date
Actuals]]*1.02^R162</f>
        <v>49267.905337546916</v>
      </c>
    </row>
    <row r="163" spans="1:19" x14ac:dyDescent="0.25">
      <c r="A163" s="476" t="s">
        <v>1316</v>
      </c>
      <c r="B163" s="475" t="s">
        <v>4330</v>
      </c>
      <c r="C163" s="422" t="e">
        <f>VLOOKUP(B163,'Matter &amp; CI#'!$D$4:$E$595,2,FALSE)</f>
        <v>#N/A</v>
      </c>
      <c r="D163" s="476" t="s">
        <v>1317</v>
      </c>
      <c r="E163" s="476" t="s">
        <v>10</v>
      </c>
      <c r="F163" s="476" t="s">
        <v>9</v>
      </c>
      <c r="G163" s="475" t="s">
        <v>2013</v>
      </c>
      <c r="H163" s="516"/>
      <c r="I163" s="477" t="s">
        <v>5</v>
      </c>
      <c r="J163" s="476" t="s">
        <v>39</v>
      </c>
      <c r="K163" s="476" t="s">
        <v>7</v>
      </c>
      <c r="L163" s="184">
        <v>41940</v>
      </c>
      <c r="M163" s="184">
        <v>43862</v>
      </c>
      <c r="N163" s="480">
        <v>43644.42</v>
      </c>
      <c r="O163" s="478" t="str">
        <f>IFERROR(VLOOKUP(A163,[1]Approval!A:C,3,FALSE),"")</f>
        <v>FIN Approval - Internal</v>
      </c>
      <c r="P163" s="184">
        <f>IFERROR(VLOOKUP(A163,[1]Approval!A:J,10,FALSE),"")</f>
        <v>43889</v>
      </c>
      <c r="R163" s="425">
        <f>2020-YEAR(Table227[[#This Row],[In-
Service
Date]])</f>
        <v>6</v>
      </c>
      <c r="S163" s="308">
        <f>+Table227[[#This Row],[Proj To Date
Actuals]]*1.02^R163</f>
        <v>49150.705614574108</v>
      </c>
    </row>
    <row r="164" spans="1:19" x14ac:dyDescent="0.25">
      <c r="A164" s="476" t="s">
        <v>1296</v>
      </c>
      <c r="B164" s="475" t="s">
        <v>4161</v>
      </c>
      <c r="C164" s="422" t="e">
        <f>VLOOKUP(B164,'Matter &amp; CI#'!$D$4:$E$595,2,FALSE)</f>
        <v>#N/A</v>
      </c>
      <c r="D164" s="476" t="s">
        <v>1297</v>
      </c>
      <c r="E164" s="476" t="s">
        <v>10</v>
      </c>
      <c r="F164" s="476" t="s">
        <v>9</v>
      </c>
      <c r="G164" s="475" t="s">
        <v>2013</v>
      </c>
      <c r="H164" s="516"/>
      <c r="I164" s="477" t="s">
        <v>5</v>
      </c>
      <c r="J164" s="476" t="s">
        <v>6</v>
      </c>
      <c r="K164" s="476" t="s">
        <v>28</v>
      </c>
      <c r="L164" s="184">
        <v>41941</v>
      </c>
      <c r="N164" s="480">
        <v>98927.9</v>
      </c>
      <c r="O164" s="478" t="str">
        <f>IFERROR(VLOOKUP(A164,[1]Approval!A:C,3,FALSE),"")</f>
        <v/>
      </c>
      <c r="P164" s="184" t="str">
        <f>IFERROR(VLOOKUP(A164,[1]Approval!A:J,10,FALSE),"")</f>
        <v/>
      </c>
      <c r="R164" s="425">
        <f>2020-YEAR(Table227[[#This Row],[In-
Service
Date]])</f>
        <v>6</v>
      </c>
      <c r="S164" s="308">
        <f>+Table227[[#This Row],[Proj To Date
Actuals]]*1.02^R164</f>
        <v>111408.88319670707</v>
      </c>
    </row>
    <row r="165" spans="1:19" x14ac:dyDescent="0.25">
      <c r="A165" s="476" t="s">
        <v>119</v>
      </c>
      <c r="B165" s="475" t="s">
        <v>4327</v>
      </c>
      <c r="C165" s="422" t="e">
        <f>VLOOKUP(B165,'Matter &amp; CI#'!$D$4:$E$595,2,FALSE)</f>
        <v>#N/A</v>
      </c>
      <c r="D165" s="476" t="s">
        <v>120</v>
      </c>
      <c r="E165" s="476" t="s">
        <v>21</v>
      </c>
      <c r="F165" s="476" t="s">
        <v>9</v>
      </c>
      <c r="G165" s="475" t="s">
        <v>2013</v>
      </c>
      <c r="H165" s="516"/>
      <c r="I165" s="477" t="s">
        <v>5</v>
      </c>
      <c r="J165" s="476" t="s">
        <v>12</v>
      </c>
      <c r="K165" s="476" t="s">
        <v>7</v>
      </c>
      <c r="L165" s="184">
        <v>41941</v>
      </c>
      <c r="M165" s="184">
        <v>42400</v>
      </c>
      <c r="N165" s="480">
        <v>29354.78</v>
      </c>
      <c r="O165" s="478" t="str">
        <f>IFERROR(VLOOKUP(A165,[1]Approval!A:C,3,FALSE),"")</f>
        <v>FIN Approval - Internal</v>
      </c>
      <c r="P165" s="184">
        <f>IFERROR(VLOOKUP(A165,[1]Approval!A:J,10,FALSE),"")</f>
        <v>42418</v>
      </c>
      <c r="R165" s="425">
        <f>2020-YEAR(Table227[[#This Row],[In-
Service
Date]])</f>
        <v>6</v>
      </c>
      <c r="S165" s="308">
        <f>+Table227[[#This Row],[Proj To Date
Actuals]]*1.02^R165</f>
        <v>33058.250061762483</v>
      </c>
    </row>
    <row r="166" spans="1:19" x14ac:dyDescent="0.25">
      <c r="A166" s="476" t="s">
        <v>1064</v>
      </c>
      <c r="B166" s="475" t="s">
        <v>4304</v>
      </c>
      <c r="C166" s="422" t="e">
        <f>VLOOKUP(B166,'Matter &amp; CI#'!$D$4:$E$595,2,FALSE)</f>
        <v>#N/A</v>
      </c>
      <c r="D166" s="476" t="s">
        <v>1065</v>
      </c>
      <c r="E166" s="476" t="s">
        <v>27</v>
      </c>
      <c r="F166" s="476" t="s">
        <v>9</v>
      </c>
      <c r="G166" s="475" t="s">
        <v>2013</v>
      </c>
      <c r="H166" s="516"/>
      <c r="I166" s="477" t="s">
        <v>5</v>
      </c>
      <c r="J166" s="476" t="s">
        <v>12</v>
      </c>
      <c r="K166" s="476" t="s">
        <v>7</v>
      </c>
      <c r="L166" s="184">
        <v>41967</v>
      </c>
      <c r="M166" s="184">
        <v>42400</v>
      </c>
      <c r="N166" s="480">
        <v>4222.58</v>
      </c>
      <c r="O166" s="478" t="str">
        <f>IFERROR(VLOOKUP(A166,[1]Approval!A:C,3,FALSE),"")</f>
        <v>FIN Approval - Internal</v>
      </c>
      <c r="P166" s="184">
        <f>IFERROR(VLOOKUP(A166,[1]Approval!A:J,10,FALSE),"")</f>
        <v>42418</v>
      </c>
      <c r="R166" s="425">
        <f>2020-YEAR(Table227[[#This Row],[In-
Service
Date]])</f>
        <v>6</v>
      </c>
      <c r="S166" s="308">
        <f>+Table227[[#This Row],[Proj To Date
Actuals]]*1.02^R166</f>
        <v>4755.3109083357813</v>
      </c>
    </row>
    <row r="167" spans="1:19" x14ac:dyDescent="0.25">
      <c r="A167" s="476" t="s">
        <v>125</v>
      </c>
      <c r="B167" s="475" t="s">
        <v>4336</v>
      </c>
      <c r="C167" s="422" t="e">
        <f>VLOOKUP(B167,'Matter &amp; CI#'!$D$4:$E$595,2,FALSE)</f>
        <v>#N/A</v>
      </c>
      <c r="D167" s="476" t="s">
        <v>126</v>
      </c>
      <c r="E167" s="476" t="s">
        <v>10</v>
      </c>
      <c r="F167" s="476" t="s">
        <v>9</v>
      </c>
      <c r="G167" s="475" t="s">
        <v>2013</v>
      </c>
      <c r="H167" s="516"/>
      <c r="I167" s="477" t="s">
        <v>5</v>
      </c>
      <c r="J167" s="476" t="s">
        <v>14</v>
      </c>
      <c r="K167" s="476" t="s">
        <v>7</v>
      </c>
      <c r="L167" s="184">
        <v>41967</v>
      </c>
      <c r="M167" s="184">
        <v>42400</v>
      </c>
      <c r="N167" s="480">
        <v>34907.279999999999</v>
      </c>
      <c r="O167" s="478" t="str">
        <f>IFERROR(VLOOKUP(A167,[1]Approval!A:C,3,FALSE),"")</f>
        <v>FIN Approval - Internal</v>
      </c>
      <c r="P167" s="184">
        <f>IFERROR(VLOOKUP(A167,[1]Approval!A:J,10,FALSE),"")</f>
        <v>42418</v>
      </c>
      <c r="R167" s="425">
        <f>2020-YEAR(Table227[[#This Row],[In-
Service
Date]])</f>
        <v>6</v>
      </c>
      <c r="S167" s="308">
        <f>+Table227[[#This Row],[Proj To Date
Actuals]]*1.02^R167</f>
        <v>39311.266894725843</v>
      </c>
    </row>
    <row r="168" spans="1:19" x14ac:dyDescent="0.25">
      <c r="A168" s="476" t="s">
        <v>1853</v>
      </c>
      <c r="B168" s="475" t="s">
        <v>4323</v>
      </c>
      <c r="C168" s="422" t="e">
        <f>VLOOKUP(B168,'Matter &amp; CI#'!$D$4:$E$595,2,FALSE)</f>
        <v>#N/A</v>
      </c>
      <c r="D168" s="476" t="s">
        <v>1854</v>
      </c>
      <c r="E168" s="476" t="s">
        <v>10</v>
      </c>
      <c r="F168" s="476" t="s">
        <v>9</v>
      </c>
      <c r="G168" s="475" t="s">
        <v>2013</v>
      </c>
      <c r="H168" s="516"/>
      <c r="I168" s="477" t="s">
        <v>5</v>
      </c>
      <c r="J168" s="476" t="s">
        <v>14</v>
      </c>
      <c r="K168" s="476" t="s">
        <v>7</v>
      </c>
      <c r="L168" s="184">
        <v>42002</v>
      </c>
      <c r="M168" s="184">
        <v>42909</v>
      </c>
      <c r="N168" s="480">
        <v>155397.64000000001</v>
      </c>
      <c r="O168" s="478" t="str">
        <f>IFERROR(VLOOKUP(A168,[1]Approval!A:C,3,FALSE),"")</f>
        <v>FIN Approval - Internal</v>
      </c>
      <c r="P168" s="184">
        <f>IFERROR(VLOOKUP(A168,[1]Approval!A:J,10,FALSE),"")</f>
        <v>42909</v>
      </c>
      <c r="R168" s="425">
        <f>2020-YEAR(Table227[[#This Row],[In-
Service
Date]])</f>
        <v>6</v>
      </c>
      <c r="S168" s="308">
        <f>+Table227[[#This Row],[Proj To Date
Actuals]]*1.02^R168</f>
        <v>175002.98221031617</v>
      </c>
    </row>
    <row r="169" spans="1:19" x14ac:dyDescent="0.25">
      <c r="A169" s="476" t="s">
        <v>1320</v>
      </c>
      <c r="B169" s="475" t="s">
        <v>4365</v>
      </c>
      <c r="C169" s="422" t="e">
        <f>VLOOKUP(B169,'Matter &amp; CI#'!$D$4:$E$595,2,FALSE)</f>
        <v>#N/A</v>
      </c>
      <c r="D169" s="476" t="s">
        <v>1321</v>
      </c>
      <c r="E169" s="476" t="s">
        <v>10</v>
      </c>
      <c r="F169" s="476" t="s">
        <v>9</v>
      </c>
      <c r="G169" s="475" t="s">
        <v>2013</v>
      </c>
      <c r="H169" s="516"/>
      <c r="I169" s="477" t="s">
        <v>5</v>
      </c>
      <c r="J169" s="476" t="s">
        <v>14</v>
      </c>
      <c r="K169" s="476" t="s">
        <v>7</v>
      </c>
      <c r="L169" s="184">
        <v>42002</v>
      </c>
      <c r="M169" s="184">
        <v>43677</v>
      </c>
      <c r="N169" s="480">
        <v>74691.45</v>
      </c>
      <c r="O169" s="478" t="str">
        <f>IFERROR(VLOOKUP(A169,[1]Approval!A:C,3,FALSE),"")</f>
        <v>FIN Approval - Internal</v>
      </c>
      <c r="P169" s="184">
        <f>IFERROR(VLOOKUP(A169,[1]Approval!A:J,10,FALSE),"")</f>
        <v>43584</v>
      </c>
      <c r="R169" s="425">
        <f>2020-YEAR(Table227[[#This Row],[In-
Service
Date]])</f>
        <v>6</v>
      </c>
      <c r="S169" s="308">
        <f>+Table227[[#This Row],[Proj To Date
Actuals]]*1.02^R169</f>
        <v>84114.704030336099</v>
      </c>
    </row>
    <row r="170" spans="1:19" x14ac:dyDescent="0.25">
      <c r="A170" s="476" t="s">
        <v>98</v>
      </c>
      <c r="B170" s="475" t="s">
        <v>4253</v>
      </c>
      <c r="C170" s="422" t="e">
        <f>VLOOKUP(B170,'Matter &amp; CI#'!$D$4:$E$595,2,FALSE)</f>
        <v>#N/A</v>
      </c>
      <c r="D170" s="476" t="s">
        <v>99</v>
      </c>
      <c r="E170" s="476" t="s">
        <v>10</v>
      </c>
      <c r="F170" s="476" t="s">
        <v>9</v>
      </c>
      <c r="G170" s="475" t="s">
        <v>2013</v>
      </c>
      <c r="H170" s="516"/>
      <c r="I170" s="477" t="s">
        <v>5</v>
      </c>
      <c r="J170" s="476" t="s">
        <v>14</v>
      </c>
      <c r="K170" s="476" t="s">
        <v>7</v>
      </c>
      <c r="L170" s="184">
        <v>42004</v>
      </c>
      <c r="M170" s="184">
        <v>42752</v>
      </c>
      <c r="N170" s="480">
        <v>513206.19</v>
      </c>
      <c r="O170" s="478" t="str">
        <f>IFERROR(VLOOKUP(A170,[1]Approval!A:C,3,FALSE),"")</f>
        <v>FIN Approval - Internal</v>
      </c>
      <c r="P170" s="184">
        <f>IFERROR(VLOOKUP(A170,[1]Approval!A:J,10,FALSE),"")</f>
        <v>42752</v>
      </c>
      <c r="R170" s="425">
        <f>2020-YEAR(Table227[[#This Row],[In-
Service
Date]])</f>
        <v>6</v>
      </c>
      <c r="S170" s="308">
        <f>+Table227[[#This Row],[Proj To Date
Actuals]]*1.02^R170</f>
        <v>577953.5245116601</v>
      </c>
    </row>
    <row r="171" spans="1:19" x14ac:dyDescent="0.25">
      <c r="A171" s="476" t="s">
        <v>1068</v>
      </c>
      <c r="B171" s="475" t="s">
        <v>4322</v>
      </c>
      <c r="C171" s="422" t="e">
        <f>VLOOKUP(B171,'Matter &amp; CI#'!$D$4:$E$595,2,FALSE)</f>
        <v>#N/A</v>
      </c>
      <c r="D171" s="476" t="s">
        <v>1069</v>
      </c>
      <c r="E171" s="476" t="s">
        <v>10</v>
      </c>
      <c r="F171" s="476" t="s">
        <v>9</v>
      </c>
      <c r="G171" s="475" t="s">
        <v>2013</v>
      </c>
      <c r="H171" s="516"/>
      <c r="I171" s="477" t="s">
        <v>5</v>
      </c>
      <c r="J171" s="476" t="s">
        <v>14</v>
      </c>
      <c r="K171" s="476" t="s">
        <v>7</v>
      </c>
      <c r="L171" s="184">
        <v>42004</v>
      </c>
      <c r="M171" s="184">
        <v>42612</v>
      </c>
      <c r="N171" s="480">
        <v>160324.81</v>
      </c>
      <c r="O171" s="478" t="str">
        <f>IFERROR(VLOOKUP(A171,[1]Approval!A:C,3,FALSE),"")</f>
        <v>FIN Approval - Internal</v>
      </c>
      <c r="P171" s="184">
        <f>IFERROR(VLOOKUP(A171,[1]Approval!A:J,10,FALSE),"")</f>
        <v>42625</v>
      </c>
      <c r="R171" s="425">
        <f>2020-YEAR(Table227[[#This Row],[In-
Service
Date]])</f>
        <v>6</v>
      </c>
      <c r="S171" s="308">
        <f>+Table227[[#This Row],[Proj To Date
Actuals]]*1.02^R171</f>
        <v>180551.77589764114</v>
      </c>
    </row>
    <row r="172" spans="1:19" x14ac:dyDescent="0.25">
      <c r="A172" s="476" t="s">
        <v>353</v>
      </c>
      <c r="B172" s="475" t="s">
        <v>4329</v>
      </c>
      <c r="C172" s="422" t="e">
        <f>VLOOKUP(B172,'Matter &amp; CI#'!$D$4:$E$595,2,FALSE)</f>
        <v>#N/A</v>
      </c>
      <c r="D172" s="476" t="s">
        <v>354</v>
      </c>
      <c r="E172" s="476" t="s">
        <v>21</v>
      </c>
      <c r="F172" s="476" t="s">
        <v>9</v>
      </c>
      <c r="G172" s="475" t="s">
        <v>2013</v>
      </c>
      <c r="H172" s="516"/>
      <c r="I172" s="477" t="s">
        <v>5</v>
      </c>
      <c r="J172" s="476" t="s">
        <v>14</v>
      </c>
      <c r="K172" s="476" t="s">
        <v>7</v>
      </c>
      <c r="L172" s="184">
        <v>42004</v>
      </c>
      <c r="M172" s="184">
        <v>42400</v>
      </c>
      <c r="N172" s="480">
        <v>164031.63</v>
      </c>
      <c r="O172" s="478" t="str">
        <f>IFERROR(VLOOKUP(A172,[1]Approval!A:C,3,FALSE),"")</f>
        <v>FIN Approval - Internal</v>
      </c>
      <c r="P172" s="184">
        <f>IFERROR(VLOOKUP(A172,[1]Approval!A:J,10,FALSE),"")</f>
        <v>42418</v>
      </c>
      <c r="R172" s="425">
        <f>2020-YEAR(Table227[[#This Row],[In-
Service
Date]])</f>
        <v>6</v>
      </c>
      <c r="S172" s="308">
        <f>+Table227[[#This Row],[Proj To Date
Actuals]]*1.02^R172</f>
        <v>184726.25727661734</v>
      </c>
    </row>
    <row r="173" spans="1:19" x14ac:dyDescent="0.25">
      <c r="A173" s="476" t="s">
        <v>1074</v>
      </c>
      <c r="B173" s="475" t="s">
        <v>4331</v>
      </c>
      <c r="C173" s="422" t="e">
        <f>VLOOKUP(B173,'Matter &amp; CI#'!$D$4:$E$595,2,FALSE)</f>
        <v>#N/A</v>
      </c>
      <c r="D173" s="476" t="s">
        <v>1075</v>
      </c>
      <c r="E173" s="476" t="s">
        <v>21</v>
      </c>
      <c r="F173" s="476" t="s">
        <v>9</v>
      </c>
      <c r="G173" s="475" t="s">
        <v>2013</v>
      </c>
      <c r="H173" s="516"/>
      <c r="I173" s="477" t="s">
        <v>5</v>
      </c>
      <c r="J173" s="476" t="s">
        <v>12</v>
      </c>
      <c r="K173" s="476" t="s">
        <v>7</v>
      </c>
      <c r="L173" s="184">
        <v>42004</v>
      </c>
      <c r="M173" s="184">
        <v>42400</v>
      </c>
      <c r="N173" s="480">
        <v>20735.580000000002</v>
      </c>
      <c r="O173" s="478" t="str">
        <f>IFERROR(VLOOKUP(A173,[1]Approval!A:C,3,FALSE),"")</f>
        <v>FIN Approval - Internal</v>
      </c>
      <c r="P173" s="184">
        <f>IFERROR(VLOOKUP(A173,[1]Approval!A:J,10,FALSE),"")</f>
        <v>42418</v>
      </c>
      <c r="R173" s="425">
        <f>2020-YEAR(Table227[[#This Row],[In-
Service
Date]])</f>
        <v>6</v>
      </c>
      <c r="S173" s="308">
        <f>+Table227[[#This Row],[Proj To Date
Actuals]]*1.02^R173</f>
        <v>23351.630937642218</v>
      </c>
    </row>
    <row r="174" spans="1:19" x14ac:dyDescent="0.25">
      <c r="A174" s="476" t="s">
        <v>355</v>
      </c>
      <c r="B174" s="475" t="s">
        <v>4332</v>
      </c>
      <c r="C174" s="422" t="e">
        <f>VLOOKUP(B174,'Matter &amp; CI#'!$D$4:$E$595,2,FALSE)</f>
        <v>#N/A</v>
      </c>
      <c r="D174" s="476" t="s">
        <v>356</v>
      </c>
      <c r="E174" s="476" t="s">
        <v>10</v>
      </c>
      <c r="F174" s="476" t="s">
        <v>9</v>
      </c>
      <c r="G174" s="475" t="s">
        <v>2013</v>
      </c>
      <c r="H174" s="516"/>
      <c r="I174" s="477" t="s">
        <v>5</v>
      </c>
      <c r="J174" s="476" t="s">
        <v>12</v>
      </c>
      <c r="K174" s="476" t="s">
        <v>7</v>
      </c>
      <c r="L174" s="184">
        <v>42004</v>
      </c>
      <c r="M174" s="184">
        <v>42748</v>
      </c>
      <c r="N174" s="480">
        <v>18705</v>
      </c>
      <c r="O174" s="478" t="str">
        <f>IFERROR(VLOOKUP(A174,[1]Approval!A:C,3,FALSE),"")</f>
        <v>FIN Approval - Internal</v>
      </c>
      <c r="P174" s="184">
        <f>IFERROR(VLOOKUP(A174,[1]Approval!A:J,10,FALSE),"")</f>
        <v>42751</v>
      </c>
      <c r="R174" s="425">
        <f>2020-YEAR(Table227[[#This Row],[In-
Service
Date]])</f>
        <v>6</v>
      </c>
      <c r="S174" s="308">
        <f>+Table227[[#This Row],[Proj To Date
Actuals]]*1.02^R174</f>
        <v>21064.86805233312</v>
      </c>
    </row>
    <row r="175" spans="1:19" x14ac:dyDescent="0.25">
      <c r="A175" s="476" t="s">
        <v>1080</v>
      </c>
      <c r="B175" s="475" t="s">
        <v>4360</v>
      </c>
      <c r="C175" s="422" t="e">
        <f>VLOOKUP(B175,'Matter &amp; CI#'!$D$4:$E$595,2,FALSE)</f>
        <v>#N/A</v>
      </c>
      <c r="D175" s="476" t="s">
        <v>1081</v>
      </c>
      <c r="E175" s="476" t="s">
        <v>10</v>
      </c>
      <c r="F175" s="476" t="s">
        <v>9</v>
      </c>
      <c r="G175" s="475" t="s">
        <v>2013</v>
      </c>
      <c r="H175" s="516"/>
      <c r="I175" s="477" t="s">
        <v>5</v>
      </c>
      <c r="J175" s="476" t="s">
        <v>14</v>
      </c>
      <c r="K175" s="476" t="s">
        <v>7</v>
      </c>
      <c r="L175" s="184">
        <v>42004</v>
      </c>
      <c r="M175" s="184">
        <v>42612</v>
      </c>
      <c r="N175" s="480">
        <v>238976.72</v>
      </c>
      <c r="O175" s="478" t="str">
        <f>IFERROR(VLOOKUP(A175,[1]Approval!A:C,3,FALSE),"")</f>
        <v>FIN Approval - Internal</v>
      </c>
      <c r="P175" s="184">
        <f>IFERROR(VLOOKUP(A175,[1]Approval!A:J,10,FALSE),"")</f>
        <v>42625</v>
      </c>
      <c r="R175" s="425">
        <f>2020-YEAR(Table227[[#This Row],[In-
Service
Date]])</f>
        <v>6</v>
      </c>
      <c r="S175" s="308">
        <f>+Table227[[#This Row],[Proj To Date
Actuals]]*1.02^R175</f>
        <v>269126.60114297556</v>
      </c>
    </row>
    <row r="176" spans="1:19" x14ac:dyDescent="0.25">
      <c r="A176" s="476" t="s">
        <v>367</v>
      </c>
      <c r="B176" s="475" t="s">
        <v>4361</v>
      </c>
      <c r="C176" s="422" t="e">
        <f>VLOOKUP(B176,'Matter &amp; CI#'!$D$4:$E$595,2,FALSE)</f>
        <v>#N/A</v>
      </c>
      <c r="D176" s="476" t="s">
        <v>368</v>
      </c>
      <c r="E176" s="476" t="s">
        <v>10</v>
      </c>
      <c r="F176" s="476" t="s">
        <v>9</v>
      </c>
      <c r="G176" s="475" t="s">
        <v>2013</v>
      </c>
      <c r="H176" s="516"/>
      <c r="I176" s="477" t="s">
        <v>5</v>
      </c>
      <c r="J176" s="476" t="s">
        <v>14</v>
      </c>
      <c r="K176" s="476" t="s">
        <v>7</v>
      </c>
      <c r="L176" s="184">
        <v>42004</v>
      </c>
      <c r="M176" s="184">
        <v>43830</v>
      </c>
      <c r="N176" s="480">
        <v>61060.13</v>
      </c>
      <c r="O176" s="478" t="str">
        <f>IFERROR(VLOOKUP(A176,[1]Approval!A:C,3,FALSE),"")</f>
        <v>FIN Approval - Internal</v>
      </c>
      <c r="P176" s="184">
        <f>IFERROR(VLOOKUP(A176,[1]Approval!A:J,10,FALSE),"")</f>
        <v>43797</v>
      </c>
      <c r="R176" s="425">
        <f>2020-YEAR(Table227[[#This Row],[In-
Service
Date]])</f>
        <v>6</v>
      </c>
      <c r="S176" s="308">
        <f>+Table227[[#This Row],[Proj To Date
Actuals]]*1.02^R176</f>
        <v>68763.623721374344</v>
      </c>
    </row>
    <row r="177" spans="1:19" x14ac:dyDescent="0.25">
      <c r="A177" s="476" t="s">
        <v>1574</v>
      </c>
      <c r="B177" s="475" t="s">
        <v>4187</v>
      </c>
      <c r="C177" s="422" t="e">
        <f>VLOOKUP(B177,'Matter &amp; CI#'!$D$4:$E$595,2,FALSE)</f>
        <v>#N/A</v>
      </c>
      <c r="D177" s="476" t="s">
        <v>1575</v>
      </c>
      <c r="E177" s="476" t="s">
        <v>21</v>
      </c>
      <c r="F177" s="476" t="s">
        <v>9</v>
      </c>
      <c r="G177" s="475" t="s">
        <v>2013</v>
      </c>
      <c r="H177" s="516"/>
      <c r="I177" s="477" t="s">
        <v>5</v>
      </c>
      <c r="J177" s="476" t="s">
        <v>14</v>
      </c>
      <c r="K177" s="476" t="s">
        <v>7</v>
      </c>
      <c r="L177" s="184">
        <v>42012</v>
      </c>
      <c r="M177" s="184">
        <v>42400</v>
      </c>
      <c r="N177" s="480">
        <v>294092.44</v>
      </c>
      <c r="O177" s="478" t="str">
        <f>IFERROR(VLOOKUP(A177,[1]Approval!A:C,3,FALSE),"")</f>
        <v>FIN Approval - Internal</v>
      </c>
      <c r="P177" s="184">
        <f>IFERROR(VLOOKUP(A177,[1]Approval!A:J,10,FALSE),"")</f>
        <v>42418</v>
      </c>
      <c r="R177" s="425">
        <f>2020-YEAR(Table227[[#This Row],[In-
Service
Date]])</f>
        <v>5</v>
      </c>
      <c r="S177" s="308">
        <f>+Table227[[#This Row],[Proj To Date
Actuals]]*1.02^R177</f>
        <v>324701.81737024779</v>
      </c>
    </row>
    <row r="178" spans="1:19" x14ac:dyDescent="0.25">
      <c r="A178" s="476" t="s">
        <v>109</v>
      </c>
      <c r="B178" s="475" t="s">
        <v>4299</v>
      </c>
      <c r="C178" s="422" t="e">
        <f>VLOOKUP(B178,'Matter &amp; CI#'!$D$4:$E$595,2,FALSE)</f>
        <v>#N/A</v>
      </c>
      <c r="D178" s="476" t="s">
        <v>110</v>
      </c>
      <c r="E178" s="476" t="s">
        <v>27</v>
      </c>
      <c r="F178" s="476" t="s">
        <v>9</v>
      </c>
      <c r="G178" s="475" t="s">
        <v>2013</v>
      </c>
      <c r="H178" s="516"/>
      <c r="I178" s="477" t="s">
        <v>5</v>
      </c>
      <c r="J178" s="476" t="s">
        <v>12</v>
      </c>
      <c r="K178" s="476" t="s">
        <v>7</v>
      </c>
      <c r="L178" s="184">
        <v>42012</v>
      </c>
      <c r="M178" s="184">
        <v>42612</v>
      </c>
      <c r="N178" s="480">
        <v>54321.919999999998</v>
      </c>
      <c r="O178" s="478" t="str">
        <f>IFERROR(VLOOKUP(A178,[1]Approval!A:C,3,FALSE),"")</f>
        <v>FIN Approval - Internal</v>
      </c>
      <c r="P178" s="184">
        <f>IFERROR(VLOOKUP(A178,[1]Approval!A:J,10,FALSE),"")</f>
        <v>42625</v>
      </c>
      <c r="R178" s="425">
        <f>2020-YEAR(Table227[[#This Row],[In-
Service
Date]])</f>
        <v>5</v>
      </c>
      <c r="S178" s="308">
        <f>+Table227[[#This Row],[Proj To Date
Actuals]]*1.02^R178</f>
        <v>59975.789064966142</v>
      </c>
    </row>
    <row r="179" spans="1:19" x14ac:dyDescent="0.25">
      <c r="A179" s="476" t="s">
        <v>363</v>
      </c>
      <c r="B179" s="475" t="s">
        <v>4334</v>
      </c>
      <c r="C179" s="422" t="e">
        <f>VLOOKUP(B179,'Matter &amp; CI#'!$D$4:$E$595,2,FALSE)</f>
        <v>#N/A</v>
      </c>
      <c r="D179" s="476" t="s">
        <v>364</v>
      </c>
      <c r="E179" s="476" t="s">
        <v>10</v>
      </c>
      <c r="F179" s="476" t="s">
        <v>9</v>
      </c>
      <c r="G179" s="475" t="s">
        <v>2013</v>
      </c>
      <c r="H179" s="516"/>
      <c r="I179" s="477" t="s">
        <v>5</v>
      </c>
      <c r="J179" s="476" t="s">
        <v>14</v>
      </c>
      <c r="K179" s="476" t="s">
        <v>7</v>
      </c>
      <c r="L179" s="184">
        <v>42012</v>
      </c>
      <c r="M179" s="184">
        <v>42940</v>
      </c>
      <c r="N179" s="480">
        <v>5315.18</v>
      </c>
      <c r="O179" s="478" t="str">
        <f>IFERROR(VLOOKUP(A179,[1]Approval!A:C,3,FALSE),"")</f>
        <v>FIN Approval - Internal</v>
      </c>
      <c r="P179" s="184">
        <f>IFERROR(VLOOKUP(A179,[1]Approval!A:J,10,FALSE),"")</f>
        <v>42940</v>
      </c>
      <c r="R179" s="425">
        <f>2020-YEAR(Table227[[#This Row],[In-
Service
Date]])</f>
        <v>5</v>
      </c>
      <c r="S179" s="308">
        <f>+Table227[[#This Row],[Proj To Date
Actuals]]*1.02^R179</f>
        <v>5868.3882035525767</v>
      </c>
    </row>
    <row r="180" spans="1:19" x14ac:dyDescent="0.25">
      <c r="A180" s="476" t="s">
        <v>1082</v>
      </c>
      <c r="B180" s="475" t="s">
        <v>4390</v>
      </c>
      <c r="C180" s="422" t="e">
        <f>VLOOKUP(B180,'Matter &amp; CI#'!$D$4:$E$595,2,FALSE)</f>
        <v>#N/A</v>
      </c>
      <c r="D180" s="476" t="s">
        <v>1083</v>
      </c>
      <c r="E180" s="476" t="s">
        <v>10</v>
      </c>
      <c r="F180" s="476" t="s">
        <v>9</v>
      </c>
      <c r="G180" s="475" t="s">
        <v>2013</v>
      </c>
      <c r="H180" s="516"/>
      <c r="I180" s="477" t="s">
        <v>5</v>
      </c>
      <c r="J180" s="476" t="s">
        <v>39</v>
      </c>
      <c r="K180" s="476" t="s">
        <v>7</v>
      </c>
      <c r="L180" s="184">
        <v>42012</v>
      </c>
      <c r="M180" s="184">
        <v>43862</v>
      </c>
      <c r="N180" s="480">
        <v>16262.25</v>
      </c>
      <c r="O180" s="478" t="str">
        <f>IFERROR(VLOOKUP(A180,[1]Approval!A:C,3,FALSE),"")</f>
        <v>FIN Approval - Internal</v>
      </c>
      <c r="P180" s="184">
        <f>IFERROR(VLOOKUP(A180,[1]Approval!A:J,10,FALSE),"")</f>
        <v>43677</v>
      </c>
      <c r="R180" s="425">
        <f>2020-YEAR(Table227[[#This Row],[In-
Service
Date]])</f>
        <v>5</v>
      </c>
      <c r="S180" s="308">
        <f>+Table227[[#This Row],[Proj To Date
Actuals]]*1.02^R180</f>
        <v>17954.838041839201</v>
      </c>
    </row>
    <row r="181" spans="1:19" x14ac:dyDescent="0.25">
      <c r="A181" s="476" t="s">
        <v>1855</v>
      </c>
      <c r="B181" s="475" t="s">
        <v>4173</v>
      </c>
      <c r="C181" s="422" t="e">
        <f>VLOOKUP(B181,'Matter &amp; CI#'!$D$4:$E$595,2,FALSE)</f>
        <v>#N/A</v>
      </c>
      <c r="D181" s="476" t="s">
        <v>1856</v>
      </c>
      <c r="E181" s="476" t="s">
        <v>10</v>
      </c>
      <c r="F181" s="476" t="s">
        <v>9</v>
      </c>
      <c r="G181" s="475" t="s">
        <v>2013</v>
      </c>
      <c r="H181" s="516"/>
      <c r="I181" s="477" t="s">
        <v>5</v>
      </c>
      <c r="J181" s="476" t="s">
        <v>6</v>
      </c>
      <c r="K181" s="476" t="s">
        <v>7</v>
      </c>
      <c r="L181" s="184">
        <v>42035</v>
      </c>
      <c r="M181" s="184">
        <v>43556</v>
      </c>
      <c r="N181" s="480">
        <v>830185.74</v>
      </c>
      <c r="O181" s="478" t="str">
        <f>IFERROR(VLOOKUP(A181,[1]Approval!A:C,3,FALSE),"")</f>
        <v>FIN Approval - Internal</v>
      </c>
      <c r="P181" s="184">
        <f>IFERROR(VLOOKUP(A181,[1]Approval!A:J,10,FALSE),"")</f>
        <v>43374</v>
      </c>
      <c r="R181" s="425">
        <f>2020-YEAR(Table227[[#This Row],[In-
Service
Date]])</f>
        <v>5</v>
      </c>
      <c r="S181" s="308">
        <f>+Table227[[#This Row],[Proj To Date
Actuals]]*1.02^R181</f>
        <v>916592.1386243864</v>
      </c>
    </row>
    <row r="182" spans="1:19" x14ac:dyDescent="0.25">
      <c r="A182" s="476" t="s">
        <v>121</v>
      </c>
      <c r="B182" s="475" t="s">
        <v>4320</v>
      </c>
      <c r="C182" s="422" t="e">
        <f>VLOOKUP(B182,'Matter &amp; CI#'!$D$4:$E$595,2,FALSE)</f>
        <v>#N/A</v>
      </c>
      <c r="D182" s="476" t="s">
        <v>122</v>
      </c>
      <c r="E182" s="476" t="s">
        <v>10</v>
      </c>
      <c r="F182" s="476" t="s">
        <v>9</v>
      </c>
      <c r="G182" s="475" t="s">
        <v>2013</v>
      </c>
      <c r="H182" s="516"/>
      <c r="I182" s="477" t="s">
        <v>5</v>
      </c>
      <c r="J182" s="476" t="s">
        <v>14</v>
      </c>
      <c r="K182" s="476" t="s">
        <v>7</v>
      </c>
      <c r="L182" s="184">
        <v>42035</v>
      </c>
      <c r="M182" s="184">
        <v>42937</v>
      </c>
      <c r="N182" s="480">
        <v>151246.98000000001</v>
      </c>
      <c r="O182" s="478" t="str">
        <f>IFERROR(VLOOKUP(A182,[1]Approval!A:C,3,FALSE),"")</f>
        <v>FIN Approval - Internal</v>
      </c>
      <c r="P182" s="184">
        <f>IFERROR(VLOOKUP(A182,[1]Approval!A:J,10,FALSE),"")</f>
        <v>42937</v>
      </c>
      <c r="R182" s="425">
        <f>2020-YEAR(Table227[[#This Row],[In-
Service
Date]])</f>
        <v>5</v>
      </c>
      <c r="S182" s="308">
        <f>+Table227[[#This Row],[Proj To Date
Actuals]]*1.02^R182</f>
        <v>166988.88715997434</v>
      </c>
    </row>
    <row r="183" spans="1:19" x14ac:dyDescent="0.25">
      <c r="A183" s="476" t="s">
        <v>1580</v>
      </c>
      <c r="B183" s="475" t="s">
        <v>4306</v>
      </c>
      <c r="C183" s="422" t="e">
        <f>VLOOKUP(B183,'Matter &amp; CI#'!$D$4:$E$595,2,FALSE)</f>
        <v>#N/A</v>
      </c>
      <c r="D183" s="476" t="s">
        <v>1581</v>
      </c>
      <c r="E183" s="476" t="s">
        <v>10</v>
      </c>
      <c r="F183" s="476" t="s">
        <v>9</v>
      </c>
      <c r="G183" s="475" t="s">
        <v>2013</v>
      </c>
      <c r="H183" s="516"/>
      <c r="I183" s="477" t="s">
        <v>5</v>
      </c>
      <c r="J183" s="476" t="s">
        <v>14</v>
      </c>
      <c r="K183" s="476" t="s">
        <v>28</v>
      </c>
      <c r="L183" s="184">
        <v>42063</v>
      </c>
      <c r="N183" s="480">
        <v>2221779.64</v>
      </c>
      <c r="O183" s="478" t="str">
        <f>IFERROR(VLOOKUP(A183,[1]Approval!A:C,3,FALSE),"")</f>
        <v/>
      </c>
      <c r="P183" s="184" t="str">
        <f>IFERROR(VLOOKUP(A183,[1]Approval!A:J,10,FALSE),"")</f>
        <v/>
      </c>
      <c r="R183" s="425">
        <f>2020-YEAR(Table227[[#This Row],[In-
Service
Date]])</f>
        <v>5</v>
      </c>
      <c r="S183" s="308">
        <f>+Table227[[#This Row],[Proj To Date
Actuals]]*1.02^R183</f>
        <v>2453024.2494646069</v>
      </c>
    </row>
    <row r="184" spans="1:19" x14ac:dyDescent="0.25">
      <c r="A184" s="476" t="s">
        <v>1582</v>
      </c>
      <c r="B184" s="475" t="s">
        <v>4307</v>
      </c>
      <c r="C184" s="422" t="e">
        <f>VLOOKUP(B184,'Matter &amp; CI#'!$D$4:$E$595,2,FALSE)</f>
        <v>#N/A</v>
      </c>
      <c r="D184" s="476" t="s">
        <v>1583</v>
      </c>
      <c r="E184" s="476" t="s">
        <v>10</v>
      </c>
      <c r="F184" s="476" t="s">
        <v>9</v>
      </c>
      <c r="G184" s="475" t="s">
        <v>2013</v>
      </c>
      <c r="H184" s="516"/>
      <c r="I184" s="477" t="s">
        <v>5</v>
      </c>
      <c r="J184" s="476" t="s">
        <v>14</v>
      </c>
      <c r="K184" s="476" t="s">
        <v>28</v>
      </c>
      <c r="L184" s="184">
        <v>42063</v>
      </c>
      <c r="N184" s="480">
        <v>2732582.52</v>
      </c>
      <c r="O184" s="478" t="str">
        <f>IFERROR(VLOOKUP(A184,[1]Approval!A:C,3,FALSE),"")</f>
        <v/>
      </c>
      <c r="P184" s="184" t="str">
        <f>IFERROR(VLOOKUP(A184,[1]Approval!A:J,10,FALSE),"")</f>
        <v/>
      </c>
      <c r="R184" s="425">
        <f>2020-YEAR(Table227[[#This Row],[In-
Service
Date]])</f>
        <v>5</v>
      </c>
      <c r="S184" s="308">
        <f>+Table227[[#This Row],[Proj To Date
Actuals]]*1.02^R184</f>
        <v>3016991.9034918803</v>
      </c>
    </row>
    <row r="185" spans="1:19" x14ac:dyDescent="0.25">
      <c r="A185" s="476" t="s">
        <v>815</v>
      </c>
      <c r="B185" s="475" t="s">
        <v>4308</v>
      </c>
      <c r="C185" s="422" t="e">
        <f>VLOOKUP(B185,'Matter &amp; CI#'!$D$4:$E$595,2,FALSE)</f>
        <v>#N/A</v>
      </c>
      <c r="D185" s="476" t="s">
        <v>816</v>
      </c>
      <c r="E185" s="476" t="s">
        <v>10</v>
      </c>
      <c r="F185" s="476" t="s">
        <v>9</v>
      </c>
      <c r="G185" s="475" t="s">
        <v>2013</v>
      </c>
      <c r="H185" s="516"/>
      <c r="I185" s="477" t="s">
        <v>5</v>
      </c>
      <c r="J185" s="476" t="s">
        <v>14</v>
      </c>
      <c r="K185" s="476" t="s">
        <v>28</v>
      </c>
      <c r="L185" s="184">
        <v>42063</v>
      </c>
      <c r="N185" s="480">
        <v>1895120.62</v>
      </c>
      <c r="O185" s="478" t="str">
        <f>IFERROR(VLOOKUP(A185,[1]Approval!A:C,3,FALSE),"")</f>
        <v/>
      </c>
      <c r="P185" s="184" t="str">
        <f>IFERROR(VLOOKUP(A185,[1]Approval!A:J,10,FALSE),"")</f>
        <v/>
      </c>
      <c r="R185" s="425">
        <f>2020-YEAR(Table227[[#This Row],[In-
Service
Date]])</f>
        <v>5</v>
      </c>
      <c r="S185" s="308">
        <f>+Table227[[#This Row],[Proj To Date
Actuals]]*1.02^R185</f>
        <v>2092366.2962904822</v>
      </c>
    </row>
    <row r="186" spans="1:19" x14ac:dyDescent="0.25">
      <c r="A186" s="476" t="s">
        <v>343</v>
      </c>
      <c r="B186" s="475" t="s">
        <v>4309</v>
      </c>
      <c r="C186" s="422" t="e">
        <f>VLOOKUP(B186,'Matter &amp; CI#'!$D$4:$E$595,2,FALSE)</f>
        <v>#N/A</v>
      </c>
      <c r="D186" s="476" t="s">
        <v>344</v>
      </c>
      <c r="E186" s="476" t="s">
        <v>10</v>
      </c>
      <c r="F186" s="476" t="s">
        <v>9</v>
      </c>
      <c r="G186" s="475" t="s">
        <v>2013</v>
      </c>
      <c r="H186" s="516"/>
      <c r="I186" s="477" t="s">
        <v>5</v>
      </c>
      <c r="J186" s="476" t="s">
        <v>14</v>
      </c>
      <c r="K186" s="476" t="s">
        <v>28</v>
      </c>
      <c r="L186" s="184">
        <v>42063</v>
      </c>
      <c r="N186" s="480">
        <v>518081.68</v>
      </c>
      <c r="O186" s="478" t="str">
        <f>IFERROR(VLOOKUP(A186,[1]Approval!A:C,3,FALSE),"")</f>
        <v/>
      </c>
      <c r="P186" s="184" t="str">
        <f>IFERROR(VLOOKUP(A186,[1]Approval!A:J,10,FALSE),"")</f>
        <v/>
      </c>
      <c r="R186" s="425">
        <f>2020-YEAR(Table227[[#This Row],[In-
Service
Date]])</f>
        <v>5</v>
      </c>
      <c r="S186" s="308">
        <f>+Table227[[#This Row],[Proj To Date
Actuals]]*1.02^R186</f>
        <v>572004.03737760533</v>
      </c>
    </row>
    <row r="187" spans="1:19" x14ac:dyDescent="0.25">
      <c r="A187" s="476" t="s">
        <v>1851</v>
      </c>
      <c r="B187" s="475" t="s">
        <v>4310</v>
      </c>
      <c r="C187" s="422" t="e">
        <f>VLOOKUP(B187,'Matter &amp; CI#'!$D$4:$E$595,2,FALSE)</f>
        <v>#N/A</v>
      </c>
      <c r="D187" s="476" t="s">
        <v>1852</v>
      </c>
      <c r="E187" s="476" t="s">
        <v>10</v>
      </c>
      <c r="F187" s="476" t="s">
        <v>9</v>
      </c>
      <c r="G187" s="475" t="s">
        <v>2013</v>
      </c>
      <c r="H187" s="516"/>
      <c r="I187" s="477" t="s">
        <v>5</v>
      </c>
      <c r="J187" s="476" t="s">
        <v>14</v>
      </c>
      <c r="K187" s="476" t="s">
        <v>28</v>
      </c>
      <c r="L187" s="184">
        <v>42063</v>
      </c>
      <c r="N187" s="480">
        <v>1235223.19</v>
      </c>
      <c r="O187" s="478" t="str">
        <f>IFERROR(VLOOKUP(A187,[1]Approval!A:C,3,FALSE),"")</f>
        <v/>
      </c>
      <c r="P187" s="184" t="str">
        <f>IFERROR(VLOOKUP(A187,[1]Approval!A:J,10,FALSE),"")</f>
        <v/>
      </c>
      <c r="R187" s="425">
        <f>2020-YEAR(Table227[[#This Row],[In-
Service
Date]])</f>
        <v>5</v>
      </c>
      <c r="S187" s="308">
        <f>+Table227[[#This Row],[Proj To Date
Actuals]]*1.02^R187</f>
        <v>1363786.2117464661</v>
      </c>
    </row>
    <row r="188" spans="1:19" x14ac:dyDescent="0.25">
      <c r="A188" s="476" t="s">
        <v>371</v>
      </c>
      <c r="B188" s="475" t="s">
        <v>4379</v>
      </c>
      <c r="C188" s="422" t="e">
        <f>VLOOKUP(B188,'Matter &amp; CI#'!$D$4:$E$595,2,FALSE)</f>
        <v>#N/A</v>
      </c>
      <c r="D188" s="476" t="s">
        <v>372</v>
      </c>
      <c r="E188" s="476" t="s">
        <v>21</v>
      </c>
      <c r="F188" s="476" t="s">
        <v>9</v>
      </c>
      <c r="G188" s="475" t="s">
        <v>2013</v>
      </c>
      <c r="H188" s="516"/>
      <c r="I188" s="477" t="s">
        <v>5</v>
      </c>
      <c r="J188" s="476" t="s">
        <v>131</v>
      </c>
      <c r="K188" s="476" t="s">
        <v>7</v>
      </c>
      <c r="L188" s="184">
        <v>42063</v>
      </c>
      <c r="M188" s="184">
        <v>42612</v>
      </c>
      <c r="N188" s="480">
        <v>62679.3</v>
      </c>
      <c r="O188" s="478" t="str">
        <f>IFERROR(VLOOKUP(A188,[1]Approval!A:C,3,FALSE),"")</f>
        <v>FIN Approval - Internal</v>
      </c>
      <c r="P188" s="184">
        <f>IFERROR(VLOOKUP(A188,[1]Approval!A:J,10,FALSE),"")</f>
        <v>42625</v>
      </c>
      <c r="R188" s="425">
        <f>2020-YEAR(Table227[[#This Row],[In-
Service
Date]])</f>
        <v>5</v>
      </c>
      <c r="S188" s="308">
        <f>+Table227[[#This Row],[Proj To Date
Actuals]]*1.02^R188</f>
        <v>69203.01188801376</v>
      </c>
    </row>
    <row r="189" spans="1:19" x14ac:dyDescent="0.25">
      <c r="A189" s="476" t="s">
        <v>127</v>
      </c>
      <c r="B189" s="475" t="s">
        <v>4285</v>
      </c>
      <c r="C189" s="422" t="e">
        <f>VLOOKUP(B189,'Matter &amp; CI#'!$D$4:$E$595,2,FALSE)</f>
        <v>#N/A</v>
      </c>
      <c r="D189" s="476" t="s">
        <v>128</v>
      </c>
      <c r="E189" s="476" t="s">
        <v>10</v>
      </c>
      <c r="F189" s="476" t="s">
        <v>9</v>
      </c>
      <c r="G189" s="475" t="s">
        <v>2013</v>
      </c>
      <c r="H189" s="516"/>
      <c r="I189" s="477" t="s">
        <v>5</v>
      </c>
      <c r="J189" s="476" t="s">
        <v>6</v>
      </c>
      <c r="K189" s="476" t="s">
        <v>7</v>
      </c>
      <c r="L189" s="184">
        <v>42094</v>
      </c>
      <c r="M189" s="184">
        <v>43831</v>
      </c>
      <c r="N189" s="480">
        <v>10810.67</v>
      </c>
      <c r="O189" s="478" t="str">
        <f>IFERROR(VLOOKUP(A189,[1]Approval!A:C,3,FALSE),"")</f>
        <v>FIN Approval - Internal</v>
      </c>
      <c r="P189" s="184">
        <f>IFERROR(VLOOKUP(A189,[1]Approval!A:J,10,FALSE),"")</f>
        <v>43867</v>
      </c>
      <c r="R189" s="425">
        <f>2020-YEAR(Table227[[#This Row],[In-
Service
Date]])</f>
        <v>5</v>
      </c>
      <c r="S189" s="308">
        <f>+Table227[[#This Row],[Proj To Date
Actuals]]*1.02^R189</f>
        <v>11935.853216730144</v>
      </c>
    </row>
    <row r="190" spans="1:19" x14ac:dyDescent="0.25">
      <c r="A190" s="476" t="s">
        <v>1837</v>
      </c>
      <c r="B190" s="475" t="s">
        <v>4318</v>
      </c>
      <c r="C190" s="422" t="e">
        <f>VLOOKUP(B190,'Matter &amp; CI#'!$D$4:$E$595,2,FALSE)</f>
        <v>#N/A</v>
      </c>
      <c r="D190" s="476" t="s">
        <v>1838</v>
      </c>
      <c r="E190" s="476" t="s">
        <v>10</v>
      </c>
      <c r="F190" s="476" t="s">
        <v>9</v>
      </c>
      <c r="G190" s="475" t="s">
        <v>2013</v>
      </c>
      <c r="H190" s="516"/>
      <c r="I190" s="477" t="s">
        <v>5</v>
      </c>
      <c r="J190" s="476" t="s">
        <v>14</v>
      </c>
      <c r="K190" s="476" t="s">
        <v>28</v>
      </c>
      <c r="L190" s="184">
        <v>42094</v>
      </c>
      <c r="N190" s="480">
        <v>7831424.3899999997</v>
      </c>
      <c r="O190" s="478" t="str">
        <f>IFERROR(VLOOKUP(A190,[1]Approval!A:C,3,FALSE),"")</f>
        <v/>
      </c>
      <c r="P190" s="184" t="str">
        <f>IFERROR(VLOOKUP(A190,[1]Approval!A:J,10,FALSE),"")</f>
        <v/>
      </c>
      <c r="R190" s="425">
        <f>2020-YEAR(Table227[[#This Row],[In-
Service
Date]])</f>
        <v>5</v>
      </c>
      <c r="S190" s="308">
        <f>+Table227[[#This Row],[Proj To Date
Actuals]]*1.02^R190</f>
        <v>8646525.3307112698</v>
      </c>
    </row>
    <row r="191" spans="1:19" x14ac:dyDescent="0.25">
      <c r="A191" s="476" t="s">
        <v>588</v>
      </c>
      <c r="B191" s="475" t="s">
        <v>4343</v>
      </c>
      <c r="C191" s="422" t="e">
        <f>VLOOKUP(B191,'Matter &amp; CI#'!$D$4:$E$595,2,FALSE)</f>
        <v>#N/A</v>
      </c>
      <c r="D191" s="476" t="s">
        <v>589</v>
      </c>
      <c r="E191" s="476" t="s">
        <v>10</v>
      </c>
      <c r="F191" s="476" t="s">
        <v>9</v>
      </c>
      <c r="G191" s="475" t="s">
        <v>2013</v>
      </c>
      <c r="H191" s="516"/>
      <c r="I191" s="477" t="s">
        <v>5</v>
      </c>
      <c r="J191" s="476" t="s">
        <v>6</v>
      </c>
      <c r="K191" s="476" t="s">
        <v>7</v>
      </c>
      <c r="L191" s="184">
        <v>42094</v>
      </c>
      <c r="M191" s="184">
        <v>42937</v>
      </c>
      <c r="N191" s="480">
        <v>1461142.63</v>
      </c>
      <c r="O191" s="478" t="str">
        <f>IFERROR(VLOOKUP(A191,[1]Approval!A:C,3,FALSE),"")</f>
        <v>FIN Approval - Internal</v>
      </c>
      <c r="P191" s="184">
        <f>IFERROR(VLOOKUP(A191,[1]Approval!A:J,10,FALSE),"")</f>
        <v>42937</v>
      </c>
      <c r="R191" s="425">
        <f>2020-YEAR(Table227[[#This Row],[In-
Service
Date]])</f>
        <v>5</v>
      </c>
      <c r="S191" s="308">
        <f>+Table227[[#This Row],[Proj To Date
Actuals]]*1.02^R191</f>
        <v>1613219.5285201604</v>
      </c>
    </row>
    <row r="192" spans="1:19" x14ac:dyDescent="0.25">
      <c r="A192" s="476" t="s">
        <v>590</v>
      </c>
      <c r="B192" s="475" t="s">
        <v>4367</v>
      </c>
      <c r="C192" s="422" t="e">
        <f>VLOOKUP(B192,'Matter &amp; CI#'!$D$4:$E$595,2,FALSE)</f>
        <v>#N/A</v>
      </c>
      <c r="D192" s="476" t="s">
        <v>591</v>
      </c>
      <c r="E192" s="476" t="s">
        <v>10</v>
      </c>
      <c r="F192" s="476" t="s">
        <v>9</v>
      </c>
      <c r="G192" s="475" t="s">
        <v>2013</v>
      </c>
      <c r="H192" s="516"/>
      <c r="I192" s="477" t="s">
        <v>5</v>
      </c>
      <c r="J192" s="476" t="s">
        <v>6</v>
      </c>
      <c r="K192" s="476" t="s">
        <v>7</v>
      </c>
      <c r="L192" s="184">
        <v>42094</v>
      </c>
      <c r="M192" s="184">
        <v>42937</v>
      </c>
      <c r="N192" s="480">
        <v>756617.03</v>
      </c>
      <c r="O192" s="478" t="str">
        <f>IFERROR(VLOOKUP(A192,[1]Approval!A:C,3,FALSE),"")</f>
        <v>FIN Approval - Internal</v>
      </c>
      <c r="P192" s="184">
        <f>IFERROR(VLOOKUP(A192,[1]Approval!A:J,10,FALSE),"")</f>
        <v>42937</v>
      </c>
      <c r="R192" s="425">
        <f>2020-YEAR(Table227[[#This Row],[In-
Service
Date]])</f>
        <v>5</v>
      </c>
      <c r="S192" s="308">
        <f>+Table227[[#This Row],[Proj To Date
Actuals]]*1.02^R192</f>
        <v>835366.33819719858</v>
      </c>
    </row>
    <row r="193" spans="1:19" x14ac:dyDescent="0.25">
      <c r="A193" s="476" t="s">
        <v>829</v>
      </c>
      <c r="B193" s="475" t="s">
        <v>4385</v>
      </c>
      <c r="C193" s="422" t="e">
        <f>VLOOKUP(B193,'Matter &amp; CI#'!$D$4:$E$595,2,FALSE)</f>
        <v>#N/A</v>
      </c>
      <c r="D193" s="476" t="s">
        <v>830</v>
      </c>
      <c r="E193" s="476" t="s">
        <v>10</v>
      </c>
      <c r="F193" s="476" t="s">
        <v>9</v>
      </c>
      <c r="G193" s="475" t="s">
        <v>2013</v>
      </c>
      <c r="H193" s="516"/>
      <c r="I193" s="477" t="s">
        <v>5</v>
      </c>
      <c r="J193" s="476" t="s">
        <v>6</v>
      </c>
      <c r="K193" s="476" t="s">
        <v>7</v>
      </c>
      <c r="L193" s="184">
        <v>42154</v>
      </c>
      <c r="M193" s="184">
        <v>43922</v>
      </c>
      <c r="N193" s="480">
        <v>1039.24</v>
      </c>
      <c r="O193" s="478" t="str">
        <f>IFERROR(VLOOKUP(A193,[1]Approval!A:C,3,FALSE),"")</f>
        <v>FIN Approval - Internal</v>
      </c>
      <c r="P193" s="184">
        <f>IFERROR(VLOOKUP(A193,[1]Approval!A:J,10,FALSE),"")</f>
        <v>43915</v>
      </c>
      <c r="R193" s="425">
        <f>2020-YEAR(Table227[[#This Row],[In-
Service
Date]])</f>
        <v>5</v>
      </c>
      <c r="S193" s="308">
        <f>+Table227[[#This Row],[Proj To Date
Actuals]]*1.02^R193</f>
        <v>1147.4049339175681</v>
      </c>
    </row>
    <row r="194" spans="1:19" x14ac:dyDescent="0.25">
      <c r="A194" s="476" t="s">
        <v>1867</v>
      </c>
      <c r="B194" s="475" t="s">
        <v>4341</v>
      </c>
      <c r="C194" s="422" t="e">
        <f>VLOOKUP(B194,'Matter &amp; CI#'!$D$4:$E$595,2,FALSE)</f>
        <v>#N/A</v>
      </c>
      <c r="D194" s="476" t="s">
        <v>1868</v>
      </c>
      <c r="E194" s="476" t="s">
        <v>10</v>
      </c>
      <c r="F194" s="476" t="s">
        <v>9</v>
      </c>
      <c r="G194" s="475" t="s">
        <v>2013</v>
      </c>
      <c r="H194" s="516"/>
      <c r="I194" s="477" t="s">
        <v>5</v>
      </c>
      <c r="J194" s="476" t="s">
        <v>14</v>
      </c>
      <c r="K194" s="476" t="s">
        <v>7</v>
      </c>
      <c r="L194" s="184">
        <v>42155</v>
      </c>
      <c r="M194" s="184">
        <v>42755</v>
      </c>
      <c r="N194" s="480">
        <v>248071.87</v>
      </c>
      <c r="O194" s="478" t="str">
        <f>IFERROR(VLOOKUP(A194,[1]Approval!A:C,3,FALSE),"")</f>
        <v>FIN Approval - Internal</v>
      </c>
      <c r="P194" s="184">
        <f>IFERROR(VLOOKUP(A194,[1]Approval!A:J,10,FALSE),"")</f>
        <v>42755</v>
      </c>
      <c r="R194" s="425">
        <f>2020-YEAR(Table227[[#This Row],[In-
Service
Date]])</f>
        <v>5</v>
      </c>
      <c r="S194" s="308">
        <f>+Table227[[#This Row],[Proj To Date
Actuals]]*1.02^R194</f>
        <v>273891.38948092598</v>
      </c>
    </row>
    <row r="195" spans="1:19" x14ac:dyDescent="0.25">
      <c r="A195" s="476" t="s">
        <v>592</v>
      </c>
      <c r="B195" s="475" t="s">
        <v>4410</v>
      </c>
      <c r="C195" s="422" t="e">
        <f>VLOOKUP(B195,'Matter &amp; CI#'!$D$4:$E$595,2,FALSE)</f>
        <v>#N/A</v>
      </c>
      <c r="D195" s="476" t="s">
        <v>593</v>
      </c>
      <c r="E195" s="476" t="s">
        <v>10</v>
      </c>
      <c r="F195" s="476" t="s">
        <v>9</v>
      </c>
      <c r="G195" s="475" t="s">
        <v>2013</v>
      </c>
      <c r="H195" s="516"/>
      <c r="I195" s="477" t="s">
        <v>5</v>
      </c>
      <c r="J195" s="476" t="s">
        <v>12</v>
      </c>
      <c r="K195" s="476" t="s">
        <v>7</v>
      </c>
      <c r="L195" s="184">
        <v>42155</v>
      </c>
      <c r="M195" s="184">
        <v>42937</v>
      </c>
      <c r="N195" s="480">
        <v>174897.64</v>
      </c>
      <c r="O195" s="478" t="str">
        <f>IFERROR(VLOOKUP(A195,[1]Approval!A:C,3,FALSE),"")</f>
        <v>FIN Approval - Internal</v>
      </c>
      <c r="P195" s="184">
        <f>IFERROR(VLOOKUP(A195,[1]Approval!A:J,10,FALSE),"")</f>
        <v>42937</v>
      </c>
      <c r="R195" s="425">
        <f>2020-YEAR(Table227[[#This Row],[In-
Service
Date]])</f>
        <v>5</v>
      </c>
      <c r="S195" s="308">
        <f>+Table227[[#This Row],[Proj To Date
Actuals]]*1.02^R195</f>
        <v>193101.12684898448</v>
      </c>
    </row>
    <row r="196" spans="1:19" x14ac:dyDescent="0.25">
      <c r="A196" s="476" t="s">
        <v>1869</v>
      </c>
      <c r="B196" s="475" t="s">
        <v>4397</v>
      </c>
      <c r="C196" s="422" t="e">
        <f>VLOOKUP(B196,'Matter &amp; CI#'!$D$4:$E$595,2,FALSE)</f>
        <v>#N/A</v>
      </c>
      <c r="D196" s="476" t="s">
        <v>1870</v>
      </c>
      <c r="E196" s="476" t="s">
        <v>10</v>
      </c>
      <c r="F196" s="476" t="s">
        <v>9</v>
      </c>
      <c r="G196" s="475" t="s">
        <v>2013</v>
      </c>
      <c r="H196" s="516"/>
      <c r="I196" s="477" t="s">
        <v>5</v>
      </c>
      <c r="J196" s="476" t="s">
        <v>14</v>
      </c>
      <c r="K196" s="476" t="s">
        <v>7</v>
      </c>
      <c r="L196" s="184">
        <v>42185</v>
      </c>
      <c r="M196" s="184">
        <v>42937</v>
      </c>
      <c r="N196" s="480">
        <v>33572.25</v>
      </c>
      <c r="O196" s="478" t="str">
        <f>IFERROR(VLOOKUP(A196,[1]Approval!A:C,3,FALSE),"")</f>
        <v>FIN Approval - Internal</v>
      </c>
      <c r="P196" s="184">
        <f>IFERROR(VLOOKUP(A196,[1]Approval!A:J,10,FALSE),"")</f>
        <v>42937</v>
      </c>
      <c r="R196" s="425">
        <f>2020-YEAR(Table227[[#This Row],[In-
Service
Date]])</f>
        <v>5</v>
      </c>
      <c r="S196" s="308">
        <f>+Table227[[#This Row],[Proj To Date
Actuals]]*1.02^R196</f>
        <v>37066.476745231201</v>
      </c>
    </row>
    <row r="197" spans="1:19" x14ac:dyDescent="0.25">
      <c r="A197" s="476" t="s">
        <v>129</v>
      </c>
      <c r="B197" s="475" t="s">
        <v>4384</v>
      </c>
      <c r="C197" s="422" t="e">
        <f>VLOOKUP(B197,'Matter &amp; CI#'!$D$4:$E$595,2,FALSE)</f>
        <v>#N/A</v>
      </c>
      <c r="D197" s="476" t="s">
        <v>130</v>
      </c>
      <c r="E197" s="476" t="s">
        <v>10</v>
      </c>
      <c r="F197" s="476" t="s">
        <v>9</v>
      </c>
      <c r="G197" s="475" t="s">
        <v>2013</v>
      </c>
      <c r="H197" s="516"/>
      <c r="I197" s="477" t="s">
        <v>5</v>
      </c>
      <c r="J197" s="476" t="s">
        <v>131</v>
      </c>
      <c r="K197" s="476" t="s">
        <v>7</v>
      </c>
      <c r="L197" s="184">
        <v>42247</v>
      </c>
      <c r="M197" s="184">
        <v>42940</v>
      </c>
      <c r="N197" s="480">
        <v>21133.23</v>
      </c>
      <c r="O197" s="478" t="str">
        <f>IFERROR(VLOOKUP(A197,[1]Approval!A:C,3,FALSE),"")</f>
        <v>FIN Approval - Internal</v>
      </c>
      <c r="P197" s="184">
        <f>IFERROR(VLOOKUP(A197,[1]Approval!A:J,10,FALSE),"")</f>
        <v>42940</v>
      </c>
      <c r="R197" s="425">
        <f>2020-YEAR(Table227[[#This Row],[In-
Service
Date]])</f>
        <v>5</v>
      </c>
      <c r="S197" s="308">
        <f>+Table227[[#This Row],[Proj To Date
Actuals]]*1.02^R197</f>
        <v>23332.793552610336</v>
      </c>
    </row>
    <row r="198" spans="1:19" x14ac:dyDescent="0.25">
      <c r="A198" s="476" t="s">
        <v>136</v>
      </c>
      <c r="B198" s="475" t="s">
        <v>4396</v>
      </c>
      <c r="C198" s="422" t="e">
        <f>VLOOKUP(B198,'Matter &amp; CI#'!$D$4:$E$595,2,FALSE)</f>
        <v>#N/A</v>
      </c>
      <c r="D198" s="476" t="s">
        <v>137</v>
      </c>
      <c r="E198" s="476" t="s">
        <v>10</v>
      </c>
      <c r="F198" s="476" t="s">
        <v>9</v>
      </c>
      <c r="G198" s="475" t="s">
        <v>2013</v>
      </c>
      <c r="H198" s="516"/>
      <c r="I198" s="477" t="s">
        <v>5</v>
      </c>
      <c r="J198" s="476" t="s">
        <v>14</v>
      </c>
      <c r="K198" s="476" t="s">
        <v>7</v>
      </c>
      <c r="L198" s="184">
        <v>42247</v>
      </c>
      <c r="M198" s="184">
        <v>42937</v>
      </c>
      <c r="N198" s="480">
        <v>52570.64</v>
      </c>
      <c r="O198" s="478" t="str">
        <f>IFERROR(VLOOKUP(A198,[1]Approval!A:C,3,FALSE),"")</f>
        <v>FIN Approval - Internal</v>
      </c>
      <c r="P198" s="184">
        <f>IFERROR(VLOOKUP(A198,[1]Approval!A:J,10,FALSE),"")</f>
        <v>42937</v>
      </c>
      <c r="R198" s="425">
        <f>2020-YEAR(Table227[[#This Row],[In-
Service
Date]])</f>
        <v>5</v>
      </c>
      <c r="S198" s="308">
        <f>+Table227[[#This Row],[Proj To Date
Actuals]]*1.02^R198</f>
        <v>58042.234435938051</v>
      </c>
    </row>
    <row r="199" spans="1:19" x14ac:dyDescent="0.25">
      <c r="A199" s="476" t="s">
        <v>391</v>
      </c>
      <c r="B199" s="475" t="s">
        <v>4401</v>
      </c>
      <c r="C199" s="422" t="e">
        <f>VLOOKUP(B199,'Matter &amp; CI#'!$D$4:$E$595,2,FALSE)</f>
        <v>#N/A</v>
      </c>
      <c r="D199" s="476" t="s">
        <v>392</v>
      </c>
      <c r="E199" s="476" t="s">
        <v>10</v>
      </c>
      <c r="F199" s="476" t="s">
        <v>9</v>
      </c>
      <c r="G199" s="475" t="s">
        <v>2013</v>
      </c>
      <c r="H199" s="516"/>
      <c r="I199" s="477" t="s">
        <v>5</v>
      </c>
      <c r="J199" s="476" t="s">
        <v>12</v>
      </c>
      <c r="K199" s="476" t="s">
        <v>7</v>
      </c>
      <c r="L199" s="184">
        <v>42247</v>
      </c>
      <c r="M199" s="184">
        <v>42909</v>
      </c>
      <c r="N199" s="480">
        <v>108731.02</v>
      </c>
      <c r="O199" s="478" t="str">
        <f>IFERROR(VLOOKUP(A199,[1]Approval!A:C,3,FALSE),"")</f>
        <v>FIN Approval - Internal</v>
      </c>
      <c r="P199" s="184">
        <f>IFERROR(VLOOKUP(A199,[1]Approval!A:J,10,FALSE),"")</f>
        <v>42909</v>
      </c>
      <c r="R199" s="425">
        <f>2020-YEAR(Table227[[#This Row],[In-
Service
Date]])</f>
        <v>5</v>
      </c>
      <c r="S199" s="308">
        <f>+Table227[[#This Row],[Proj To Date
Actuals]]*1.02^R199</f>
        <v>120047.83189435527</v>
      </c>
    </row>
    <row r="200" spans="1:19" x14ac:dyDescent="0.25">
      <c r="A200" s="476" t="s">
        <v>132</v>
      </c>
      <c r="B200" s="475" t="s">
        <v>4405</v>
      </c>
      <c r="C200" s="422" t="e">
        <f>VLOOKUP(B200,'Matter &amp; CI#'!$D$4:$E$595,2,FALSE)</f>
        <v>#N/A</v>
      </c>
      <c r="D200" s="476" t="s">
        <v>133</v>
      </c>
      <c r="E200" s="476" t="s">
        <v>10</v>
      </c>
      <c r="F200" s="476" t="s">
        <v>9</v>
      </c>
      <c r="G200" s="475" t="s">
        <v>2013</v>
      </c>
      <c r="H200" s="516"/>
      <c r="I200" s="477" t="s">
        <v>5</v>
      </c>
      <c r="J200" s="476" t="s">
        <v>14</v>
      </c>
      <c r="K200" s="476" t="s">
        <v>28</v>
      </c>
      <c r="L200" s="184">
        <v>42247</v>
      </c>
      <c r="N200" s="480">
        <v>42592.38</v>
      </c>
      <c r="O200" s="478" t="str">
        <f>IFERROR(VLOOKUP(A200,[1]Approval!A:C,3,FALSE),"")</f>
        <v>FIN Approval - Internal</v>
      </c>
      <c r="P200" s="184">
        <f>IFERROR(VLOOKUP(A200,[1]Approval!A:J,10,FALSE),"")</f>
        <v>43374</v>
      </c>
      <c r="R200" s="425">
        <f>2020-YEAR(Table227[[#This Row],[In-
Service
Date]])</f>
        <v>5</v>
      </c>
      <c r="S200" s="308">
        <f>+Table227[[#This Row],[Proj To Date
Actuals]]*1.02^R200</f>
        <v>47025.429120599612</v>
      </c>
    </row>
    <row r="201" spans="1:19" x14ac:dyDescent="0.25">
      <c r="A201" s="476" t="s">
        <v>604</v>
      </c>
      <c r="B201" s="475" t="s">
        <v>4179</v>
      </c>
      <c r="C201" s="422" t="e">
        <f>VLOOKUP(B201,'Matter &amp; CI#'!$D$4:$E$595,2,FALSE)</f>
        <v>#N/A</v>
      </c>
      <c r="D201" s="476" t="s">
        <v>605</v>
      </c>
      <c r="E201" s="476" t="s">
        <v>10</v>
      </c>
      <c r="F201" s="476" t="s">
        <v>9</v>
      </c>
      <c r="G201" s="475" t="s">
        <v>2013</v>
      </c>
      <c r="H201" s="516"/>
      <c r="I201" s="477" t="s">
        <v>5</v>
      </c>
      <c r="J201" s="476" t="s">
        <v>6</v>
      </c>
      <c r="K201" s="476" t="s">
        <v>28</v>
      </c>
      <c r="L201" s="184">
        <v>42277</v>
      </c>
      <c r="N201" s="480">
        <v>957094.59</v>
      </c>
      <c r="O201" s="478" t="str">
        <f>IFERROR(VLOOKUP(A201,[1]Approval!A:C,3,FALSE),"")</f>
        <v>FIN Approval - Internal</v>
      </c>
      <c r="P201" s="184">
        <f>IFERROR(VLOOKUP(A201,[1]Approval!A:J,10,FALSE),"")</f>
        <v>43374</v>
      </c>
      <c r="R201" s="425">
        <f>2020-YEAR(Table227[[#This Row],[In-
Service
Date]])</f>
        <v>5</v>
      </c>
      <c r="S201" s="308">
        <f>+Table227[[#This Row],[Proj To Date
Actuals]]*1.02^R201</f>
        <v>1056709.7636655746</v>
      </c>
    </row>
    <row r="202" spans="1:19" x14ac:dyDescent="0.25">
      <c r="A202" s="476" t="s">
        <v>100</v>
      </c>
      <c r="B202" s="475" t="s">
        <v>4210</v>
      </c>
      <c r="C202" s="422" t="e">
        <f>VLOOKUP(B202,'Matter &amp; CI#'!$D$4:$E$595,2,FALSE)</f>
        <v>#N/A</v>
      </c>
      <c r="D202" s="476" t="s">
        <v>101</v>
      </c>
      <c r="E202" s="476" t="s">
        <v>10</v>
      </c>
      <c r="F202" s="476" t="s">
        <v>9</v>
      </c>
      <c r="G202" s="475" t="s">
        <v>2013</v>
      </c>
      <c r="H202" s="516"/>
      <c r="I202" s="477" t="s">
        <v>5</v>
      </c>
      <c r="J202" s="476" t="s">
        <v>6</v>
      </c>
      <c r="K202" s="476" t="s">
        <v>28</v>
      </c>
      <c r="L202" s="184">
        <v>42277</v>
      </c>
      <c r="N202" s="480">
        <v>790275.13</v>
      </c>
      <c r="O202" s="478" t="str">
        <f>IFERROR(VLOOKUP(A202,[1]Approval!A:C,3,FALSE),"")</f>
        <v>FIN Approval - Internal</v>
      </c>
      <c r="P202" s="184">
        <f>IFERROR(VLOOKUP(A202,[1]Approval!A:J,10,FALSE),"")</f>
        <v>43374</v>
      </c>
      <c r="R202" s="425">
        <f>2020-YEAR(Table227[[#This Row],[In-
Service
Date]])</f>
        <v>5</v>
      </c>
      <c r="S202" s="308">
        <f>+Table227[[#This Row],[Proj To Date
Actuals]]*1.02^R202</f>
        <v>872527.60027938441</v>
      </c>
    </row>
    <row r="203" spans="1:19" x14ac:dyDescent="0.25">
      <c r="A203" s="476" t="s">
        <v>385</v>
      </c>
      <c r="B203" s="475" t="s">
        <v>4417</v>
      </c>
      <c r="C203" s="422" t="e">
        <f>VLOOKUP(B203,'Matter &amp; CI#'!$D$4:$E$595,2,FALSE)</f>
        <v>#N/A</v>
      </c>
      <c r="D203" s="476" t="s">
        <v>386</v>
      </c>
      <c r="E203" s="476" t="s">
        <v>10</v>
      </c>
      <c r="F203" s="476" t="s">
        <v>9</v>
      </c>
      <c r="G203" s="475" t="s">
        <v>2013</v>
      </c>
      <c r="H203" s="516"/>
      <c r="I203" s="477" t="s">
        <v>5</v>
      </c>
      <c r="J203" s="476" t="s">
        <v>14</v>
      </c>
      <c r="K203" s="476" t="s">
        <v>7</v>
      </c>
      <c r="L203" s="184">
        <v>42277</v>
      </c>
      <c r="M203" s="184">
        <v>42909</v>
      </c>
      <c r="N203" s="480">
        <v>96883.33</v>
      </c>
      <c r="O203" s="478" t="str">
        <f>IFERROR(VLOOKUP(A203,[1]Approval!A:C,3,FALSE),"")</f>
        <v>FIN Approval - Internal</v>
      </c>
      <c r="P203" s="184">
        <f>IFERROR(VLOOKUP(A203,[1]Approval!A:J,10,FALSE),"")</f>
        <v>42909</v>
      </c>
      <c r="R203" s="425">
        <f>2020-YEAR(Table227[[#This Row],[In-
Service
Date]])</f>
        <v>5</v>
      </c>
      <c r="S203" s="308">
        <f>+Table227[[#This Row],[Proj To Date
Actuals]]*1.02^R203</f>
        <v>106967.02480309067</v>
      </c>
    </row>
    <row r="204" spans="1:19" x14ac:dyDescent="0.25">
      <c r="A204" s="476" t="s">
        <v>1598</v>
      </c>
      <c r="B204" s="475" t="s">
        <v>4171</v>
      </c>
      <c r="C204" s="422" t="e">
        <f>VLOOKUP(B204,'Matter &amp; CI#'!$D$4:$E$595,2,FALSE)</f>
        <v>#N/A</v>
      </c>
      <c r="D204" s="476" t="s">
        <v>1599</v>
      </c>
      <c r="E204" s="476" t="s">
        <v>10</v>
      </c>
      <c r="F204" s="476" t="s">
        <v>9</v>
      </c>
      <c r="G204" s="475" t="s">
        <v>2013</v>
      </c>
      <c r="H204" s="516"/>
      <c r="I204" s="477" t="s">
        <v>5</v>
      </c>
      <c r="J204" s="476" t="s">
        <v>6</v>
      </c>
      <c r="K204" s="476" t="s">
        <v>7</v>
      </c>
      <c r="L204" s="184">
        <v>42308</v>
      </c>
      <c r="M204" s="184">
        <v>43586</v>
      </c>
      <c r="N204" s="480">
        <v>307312.64000000001</v>
      </c>
      <c r="O204" s="478" t="str">
        <f>IFERROR(VLOOKUP(A204,[1]Approval!A:C,3,FALSE),"")</f>
        <v>FIN Approval - Internal</v>
      </c>
      <c r="P204" s="184">
        <f>IFERROR(VLOOKUP(A204,[1]Approval!A:J,10,FALSE),"")</f>
        <v>43507</v>
      </c>
      <c r="R204" s="425">
        <f>2020-YEAR(Table227[[#This Row],[In-
Service
Date]])</f>
        <v>5</v>
      </c>
      <c r="S204" s="308">
        <f>+Table227[[#This Row],[Proj To Date
Actuals]]*1.02^R204</f>
        <v>339297.98640471249</v>
      </c>
    </row>
    <row r="205" spans="1:19" x14ac:dyDescent="0.25">
      <c r="A205" s="476" t="s">
        <v>1610</v>
      </c>
      <c r="B205" s="475" t="s">
        <v>4418</v>
      </c>
      <c r="C205" s="422" t="e">
        <f>VLOOKUP(B205,'Matter &amp; CI#'!$D$4:$E$595,2,FALSE)</f>
        <v>#N/A</v>
      </c>
      <c r="D205" s="476" t="s">
        <v>1611</v>
      </c>
      <c r="E205" s="476" t="s">
        <v>10</v>
      </c>
      <c r="F205" s="476" t="s">
        <v>9</v>
      </c>
      <c r="G205" s="475" t="s">
        <v>2013</v>
      </c>
      <c r="H205" s="516"/>
      <c r="I205" s="477" t="s">
        <v>5</v>
      </c>
      <c r="J205" s="476" t="s">
        <v>131</v>
      </c>
      <c r="K205" s="476" t="s">
        <v>7</v>
      </c>
      <c r="L205" s="184">
        <v>42308</v>
      </c>
      <c r="M205" s="184">
        <v>42937</v>
      </c>
      <c r="N205" s="480">
        <v>240513.71</v>
      </c>
      <c r="O205" s="478" t="str">
        <f>IFERROR(VLOOKUP(A205,[1]Approval!A:C,3,FALSE),"")</f>
        <v>FIN Approval - Internal</v>
      </c>
      <c r="P205" s="184">
        <f>IFERROR(VLOOKUP(A205,[1]Approval!A:J,10,FALSE),"")</f>
        <v>42937</v>
      </c>
      <c r="R205" s="425">
        <f>2020-YEAR(Table227[[#This Row],[In-
Service
Date]])</f>
        <v>5</v>
      </c>
      <c r="S205" s="308">
        <f>+Table227[[#This Row],[Proj To Date
Actuals]]*1.02^R205</f>
        <v>265546.57011741184</v>
      </c>
    </row>
    <row r="206" spans="1:19" x14ac:dyDescent="0.25">
      <c r="A206" s="476" t="s">
        <v>150</v>
      </c>
      <c r="B206" s="475" t="s">
        <v>4431</v>
      </c>
      <c r="C206" s="422" t="e">
        <f>VLOOKUP(B206,'Matter &amp; CI#'!$D$4:$E$595,2,FALSE)</f>
        <v>#N/A</v>
      </c>
      <c r="D206" s="476" t="s">
        <v>151</v>
      </c>
      <c r="E206" s="476" t="s">
        <v>10</v>
      </c>
      <c r="F206" s="476" t="s">
        <v>9</v>
      </c>
      <c r="G206" s="475" t="s">
        <v>2013</v>
      </c>
      <c r="H206" s="516"/>
      <c r="I206" s="477" t="s">
        <v>5</v>
      </c>
      <c r="J206" s="476" t="s">
        <v>6</v>
      </c>
      <c r="K206" s="476" t="s">
        <v>7</v>
      </c>
      <c r="L206" s="184">
        <v>42308</v>
      </c>
      <c r="M206" s="184">
        <v>42909</v>
      </c>
      <c r="N206" s="480">
        <v>264236.09999999998</v>
      </c>
      <c r="O206" s="478" t="str">
        <f>IFERROR(VLOOKUP(A206,[1]Approval!A:C,3,FALSE),"")</f>
        <v>FIN Approval - Internal</v>
      </c>
      <c r="P206" s="184">
        <f>IFERROR(VLOOKUP(A206,[1]Approval!A:J,10,FALSE),"")</f>
        <v>42909</v>
      </c>
      <c r="R206" s="425">
        <f>2020-YEAR(Table227[[#This Row],[In-
Service
Date]])</f>
        <v>5</v>
      </c>
      <c r="S206" s="308">
        <f>+Table227[[#This Row],[Proj To Date
Actuals]]*1.02^R206</f>
        <v>291738.00552243547</v>
      </c>
    </row>
    <row r="207" spans="1:19" x14ac:dyDescent="0.25">
      <c r="A207" s="476" t="s">
        <v>1326</v>
      </c>
      <c r="B207" s="475" t="s">
        <v>4376</v>
      </c>
      <c r="C207" s="422" t="e">
        <f>VLOOKUP(B207,'Matter &amp; CI#'!$D$4:$E$595,2,FALSE)</f>
        <v>#N/A</v>
      </c>
      <c r="D207" s="476" t="s">
        <v>1327</v>
      </c>
      <c r="E207" s="476" t="s">
        <v>10</v>
      </c>
      <c r="F207" s="476" t="s">
        <v>9</v>
      </c>
      <c r="G207" s="475" t="s">
        <v>2013</v>
      </c>
      <c r="H207" s="516"/>
      <c r="I207" s="477" t="s">
        <v>5</v>
      </c>
      <c r="J207" s="476" t="s">
        <v>131</v>
      </c>
      <c r="K207" s="476" t="s">
        <v>7</v>
      </c>
      <c r="L207" s="184">
        <v>42338</v>
      </c>
      <c r="M207" s="184">
        <v>42937</v>
      </c>
      <c r="N207" s="480">
        <v>163778.32999999999</v>
      </c>
      <c r="O207" s="478" t="str">
        <f>IFERROR(VLOOKUP(A207,[1]Approval!A:C,3,FALSE),"")</f>
        <v>FIN Approval - Internal</v>
      </c>
      <c r="P207" s="184">
        <f>IFERROR(VLOOKUP(A207,[1]Approval!A:J,10,FALSE),"")</f>
        <v>42937</v>
      </c>
      <c r="R207" s="425">
        <f>2020-YEAR(Table227[[#This Row],[In-
Service
Date]])</f>
        <v>5</v>
      </c>
      <c r="S207" s="308">
        <f>+Table227[[#This Row],[Proj To Date
Actuals]]*1.02^R207</f>
        <v>180824.51013315463</v>
      </c>
    </row>
    <row r="208" spans="1:19" x14ac:dyDescent="0.25">
      <c r="A208" s="476" t="s">
        <v>361</v>
      </c>
      <c r="B208" s="475" t="s">
        <v>4378</v>
      </c>
      <c r="C208" s="422" t="e">
        <f>VLOOKUP(B208,'Matter &amp; CI#'!$D$4:$E$595,2,FALSE)</f>
        <v>#N/A</v>
      </c>
      <c r="D208" s="476" t="s">
        <v>362</v>
      </c>
      <c r="E208" s="476" t="s">
        <v>10</v>
      </c>
      <c r="F208" s="476" t="s">
        <v>9</v>
      </c>
      <c r="G208" s="475" t="s">
        <v>2013</v>
      </c>
      <c r="H208" s="516"/>
      <c r="I208" s="477" t="s">
        <v>5</v>
      </c>
      <c r="J208" s="476" t="s">
        <v>131</v>
      </c>
      <c r="K208" s="476" t="s">
        <v>7</v>
      </c>
      <c r="L208" s="184">
        <v>42338</v>
      </c>
      <c r="M208" s="184">
        <v>42909</v>
      </c>
      <c r="N208" s="480">
        <v>91649.16</v>
      </c>
      <c r="O208" s="478" t="str">
        <f>IFERROR(VLOOKUP(A208,[1]Approval!A:C,3,FALSE),"")</f>
        <v>FIN Approval - Internal</v>
      </c>
      <c r="P208" s="184">
        <f>IFERROR(VLOOKUP(A208,[1]Approval!A:J,10,FALSE),"")</f>
        <v>42909</v>
      </c>
      <c r="R208" s="425">
        <f>2020-YEAR(Table227[[#This Row],[In-
Service
Date]])</f>
        <v>5</v>
      </c>
      <c r="S208" s="308">
        <f>+Table227[[#This Row],[Proj To Date
Actuals]]*1.02^R208</f>
        <v>101188.07818540532</v>
      </c>
    </row>
    <row r="209" spans="1:19" x14ac:dyDescent="0.25">
      <c r="A209" s="476" t="s">
        <v>1102</v>
      </c>
      <c r="B209" s="475" t="s">
        <v>4424</v>
      </c>
      <c r="C209" s="422" t="e">
        <f>VLOOKUP(B209,'Matter &amp; CI#'!$D$4:$E$595,2,FALSE)</f>
        <v>#N/A</v>
      </c>
      <c r="D209" s="476" t="s">
        <v>1103</v>
      </c>
      <c r="E209" s="476" t="s">
        <v>10</v>
      </c>
      <c r="F209" s="476" t="s">
        <v>9</v>
      </c>
      <c r="G209" s="475" t="s">
        <v>2013</v>
      </c>
      <c r="H209" s="516"/>
      <c r="I209" s="477" t="s">
        <v>5</v>
      </c>
      <c r="J209" s="476" t="s">
        <v>131</v>
      </c>
      <c r="K209" s="476" t="s">
        <v>7</v>
      </c>
      <c r="L209" s="184">
        <v>42338</v>
      </c>
      <c r="M209" s="184">
        <v>42909</v>
      </c>
      <c r="N209" s="480">
        <v>61387.95</v>
      </c>
      <c r="O209" s="478" t="str">
        <f>IFERROR(VLOOKUP(A209,[1]Approval!A:C,3,FALSE),"")</f>
        <v>FIN Approval - Internal</v>
      </c>
      <c r="P209" s="184">
        <f>IFERROR(VLOOKUP(A209,[1]Approval!A:J,10,FALSE),"")</f>
        <v>42909</v>
      </c>
      <c r="R209" s="425">
        <f>2020-YEAR(Table227[[#This Row],[In-
Service
Date]])</f>
        <v>5</v>
      </c>
      <c r="S209" s="308">
        <f>+Table227[[#This Row],[Proj To Date
Actuals]]*1.02^R209</f>
        <v>67777.257142801434</v>
      </c>
    </row>
    <row r="210" spans="1:19" x14ac:dyDescent="0.25">
      <c r="A210" s="476" t="s">
        <v>598</v>
      </c>
      <c r="B210" s="475" t="s">
        <v>4425</v>
      </c>
      <c r="C210" s="422" t="e">
        <f>VLOOKUP(B210,'Matter &amp; CI#'!$D$4:$E$595,2,FALSE)</f>
        <v>#N/A</v>
      </c>
      <c r="D210" s="476" t="s">
        <v>599</v>
      </c>
      <c r="E210" s="476" t="s">
        <v>10</v>
      </c>
      <c r="F210" s="476" t="s">
        <v>9</v>
      </c>
      <c r="G210" s="475" t="s">
        <v>2013</v>
      </c>
      <c r="H210" s="516"/>
      <c r="I210" s="477" t="s">
        <v>5</v>
      </c>
      <c r="J210" s="476" t="s">
        <v>14</v>
      </c>
      <c r="K210" s="476" t="s">
        <v>7</v>
      </c>
      <c r="L210" s="184">
        <v>42338</v>
      </c>
      <c r="M210" s="184">
        <v>42937</v>
      </c>
      <c r="N210" s="480">
        <v>100500.65</v>
      </c>
      <c r="O210" s="478" t="str">
        <f>IFERROR(VLOOKUP(A210,[1]Approval!A:C,3,FALSE),"")</f>
        <v>FIN Approval - Internal</v>
      </c>
      <c r="P210" s="184">
        <f>IFERROR(VLOOKUP(A210,[1]Approval!A:J,10,FALSE),"")</f>
        <v>42937</v>
      </c>
      <c r="R210" s="425">
        <f>2020-YEAR(Table227[[#This Row],[In-
Service
Date]])</f>
        <v>5</v>
      </c>
      <c r="S210" s="308">
        <f>+Table227[[#This Row],[Proj To Date
Actuals]]*1.02^R210</f>
        <v>110960.83837412208</v>
      </c>
    </row>
    <row r="211" spans="1:19" x14ac:dyDescent="0.25">
      <c r="A211" s="476" t="s">
        <v>1090</v>
      </c>
      <c r="B211" s="475" t="s">
        <v>4394</v>
      </c>
      <c r="C211" s="422" t="e">
        <f>VLOOKUP(B211,'Matter &amp; CI#'!$D$4:$E$595,2,FALSE)</f>
        <v>#N/A</v>
      </c>
      <c r="D211" s="476" t="s">
        <v>1091</v>
      </c>
      <c r="E211" s="476" t="s">
        <v>10</v>
      </c>
      <c r="F211" s="476" t="s">
        <v>9</v>
      </c>
      <c r="G211" s="475" t="s">
        <v>2013</v>
      </c>
      <c r="H211" s="516"/>
      <c r="I211" s="477" t="s">
        <v>5</v>
      </c>
      <c r="J211" s="476" t="s">
        <v>12</v>
      </c>
      <c r="K211" s="476" t="s">
        <v>7</v>
      </c>
      <c r="L211" s="184">
        <v>42369</v>
      </c>
      <c r="M211" s="184">
        <v>43862</v>
      </c>
      <c r="N211" s="480">
        <v>1517.16</v>
      </c>
      <c r="O211" s="478" t="str">
        <f>IFERROR(VLOOKUP(A211,[1]Approval!A:C,3,FALSE),"")</f>
        <v>FIN Approval - Internal</v>
      </c>
      <c r="P211" s="184">
        <f>IFERROR(VLOOKUP(A211,[1]Approval!A:J,10,FALSE),"")</f>
        <v>43677</v>
      </c>
      <c r="R211" s="425">
        <f>2020-YEAR(Table227[[#This Row],[In-
Service
Date]])</f>
        <v>5</v>
      </c>
      <c r="S211" s="308">
        <f>+Table227[[#This Row],[Proj To Date
Actuals]]*1.02^R211</f>
        <v>1675.067231382912</v>
      </c>
    </row>
    <row r="212" spans="1:19" x14ac:dyDescent="0.25">
      <c r="A212" s="476" t="s">
        <v>1887</v>
      </c>
      <c r="B212" s="475" t="s">
        <v>4459</v>
      </c>
      <c r="C212" s="422" t="e">
        <f>VLOOKUP(B212,'Matter &amp; CI#'!$D$4:$E$595,2,FALSE)</f>
        <v>#N/A</v>
      </c>
      <c r="D212" s="476" t="s">
        <v>1888</v>
      </c>
      <c r="E212" s="476" t="s">
        <v>10</v>
      </c>
      <c r="F212" s="476" t="s">
        <v>9</v>
      </c>
      <c r="G212" s="475" t="s">
        <v>2013</v>
      </c>
      <c r="H212" s="516"/>
      <c r="I212" s="477" t="s">
        <v>5</v>
      </c>
      <c r="J212" s="476" t="s">
        <v>43</v>
      </c>
      <c r="K212" s="476" t="s">
        <v>7</v>
      </c>
      <c r="L212" s="184">
        <v>42369</v>
      </c>
      <c r="M212" s="184">
        <v>43524</v>
      </c>
      <c r="N212" s="480">
        <v>201738.72</v>
      </c>
      <c r="O212" s="478" t="str">
        <f>IFERROR(VLOOKUP(A212,[1]Approval!A:C,3,FALSE),"")</f>
        <v>FIN Approval - Internal</v>
      </c>
      <c r="P212" s="184">
        <f>IFERROR(VLOOKUP(A212,[1]Approval!A:J,10,FALSE),"")</f>
        <v>43280</v>
      </c>
      <c r="R212" s="425">
        <f>2020-YEAR(Table227[[#This Row],[In-
Service
Date]])</f>
        <v>5</v>
      </c>
      <c r="S212" s="308">
        <f>+Table227[[#This Row],[Proj To Date
Actuals]]*1.02^R212</f>
        <v>222735.84801413992</v>
      </c>
    </row>
    <row r="213" spans="1:19" x14ac:dyDescent="0.25">
      <c r="A213" s="476" t="s">
        <v>140</v>
      </c>
      <c r="B213" s="475" t="s">
        <v>4423</v>
      </c>
      <c r="C213" s="422" t="e">
        <f>VLOOKUP(B213,'Matter &amp; CI#'!$D$4:$E$595,2,FALSE)</f>
        <v>#N/A</v>
      </c>
      <c r="D213" s="476" t="s">
        <v>141</v>
      </c>
      <c r="E213" s="476" t="s">
        <v>10</v>
      </c>
      <c r="F213" s="476" t="s">
        <v>9</v>
      </c>
      <c r="G213" s="475" t="s">
        <v>2013</v>
      </c>
      <c r="H213" s="516"/>
      <c r="I213" s="477" t="s">
        <v>5</v>
      </c>
      <c r="J213" s="476" t="s">
        <v>14</v>
      </c>
      <c r="K213" s="476" t="s">
        <v>7</v>
      </c>
      <c r="L213" s="184">
        <v>42400</v>
      </c>
      <c r="M213" s="184">
        <v>43586</v>
      </c>
      <c r="N213" s="480">
        <v>250596.63</v>
      </c>
      <c r="O213" s="478" t="str">
        <f>IFERROR(VLOOKUP(A213,[1]Approval!A:C,3,FALSE),"")</f>
        <v>FIN Approval - Internal</v>
      </c>
      <c r="P213" s="184">
        <f>IFERROR(VLOOKUP(A213,[1]Approval!A:J,10,FALSE),"")</f>
        <v>43507</v>
      </c>
      <c r="R213" s="425">
        <f>2020-YEAR(Table227[[#This Row],[In-
Service
Date]])</f>
        <v>4</v>
      </c>
      <c r="S213" s="308">
        <f>+Table227[[#This Row],[Proj To Date
Actuals]]*1.02^R213</f>
        <v>271253.85149962083</v>
      </c>
    </row>
    <row r="214" spans="1:19" x14ac:dyDescent="0.25">
      <c r="A214" s="476" t="s">
        <v>1100</v>
      </c>
      <c r="B214" s="475" t="s">
        <v>4429</v>
      </c>
      <c r="C214" s="422" t="e">
        <f>VLOOKUP(B214,'Matter &amp; CI#'!$D$4:$E$595,2,FALSE)</f>
        <v>#N/A</v>
      </c>
      <c r="D214" s="476" t="s">
        <v>1101</v>
      </c>
      <c r="E214" s="476" t="s">
        <v>10</v>
      </c>
      <c r="F214" s="476" t="s">
        <v>9</v>
      </c>
      <c r="G214" s="475" t="s">
        <v>2013</v>
      </c>
      <c r="H214" s="516"/>
      <c r="I214" s="477" t="s">
        <v>5</v>
      </c>
      <c r="J214" s="476" t="s">
        <v>14</v>
      </c>
      <c r="K214" s="476" t="s">
        <v>7</v>
      </c>
      <c r="L214" s="184">
        <v>42400</v>
      </c>
      <c r="M214" s="184">
        <v>42937</v>
      </c>
      <c r="N214" s="480">
        <v>121358.21</v>
      </c>
      <c r="O214" s="478" t="str">
        <f>IFERROR(VLOOKUP(A214,[1]Approval!A:C,3,FALSE),"")</f>
        <v>FIN Approval - Internal</v>
      </c>
      <c r="P214" s="184">
        <f>IFERROR(VLOOKUP(A214,[1]Approval!A:J,10,FALSE),"")</f>
        <v>42937</v>
      </c>
      <c r="R214" s="425">
        <f>2020-YEAR(Table227[[#This Row],[In-
Service
Date]])</f>
        <v>4</v>
      </c>
      <c r="S214" s="308">
        <f>+Table227[[#This Row],[Proj To Date
Actuals]]*1.02^R214</f>
        <v>131362.02938403361</v>
      </c>
    </row>
    <row r="215" spans="1:19" x14ac:dyDescent="0.25">
      <c r="A215" s="476" t="s">
        <v>1294</v>
      </c>
      <c r="B215" s="475" t="s">
        <v>4190</v>
      </c>
      <c r="C215" s="422" t="e">
        <f>VLOOKUP(B215,'Matter &amp; CI#'!$D$4:$E$595,2,FALSE)</f>
        <v>#N/A</v>
      </c>
      <c r="D215" s="476" t="s">
        <v>1295</v>
      </c>
      <c r="E215" s="476" t="s">
        <v>10</v>
      </c>
      <c r="F215" s="476" t="s">
        <v>9</v>
      </c>
      <c r="G215" s="475" t="s">
        <v>2013</v>
      </c>
      <c r="H215" s="516"/>
      <c r="I215" s="477" t="s">
        <v>5</v>
      </c>
      <c r="J215" s="476" t="s">
        <v>6</v>
      </c>
      <c r="K215" s="476" t="s">
        <v>7</v>
      </c>
      <c r="L215" s="184">
        <v>42429</v>
      </c>
      <c r="M215" s="184">
        <v>43677</v>
      </c>
      <c r="N215" s="480">
        <v>510003.76</v>
      </c>
      <c r="O215" s="478" t="str">
        <f>IFERROR(VLOOKUP(A215,[1]Approval!A:C,3,FALSE),"")</f>
        <v>FIN Approval - Internal</v>
      </c>
      <c r="P215" s="184">
        <f>IFERROR(VLOOKUP(A215,[1]Approval!A:J,10,FALSE),"")</f>
        <v>43584</v>
      </c>
      <c r="R215" s="425">
        <f>2020-YEAR(Table227[[#This Row],[In-
Service
Date]])</f>
        <v>4</v>
      </c>
      <c r="S215" s="308">
        <f>+Table227[[#This Row],[Proj To Date
Actuals]]*1.02^R215</f>
        <v>552044.47154492163</v>
      </c>
    </row>
    <row r="216" spans="1:19" x14ac:dyDescent="0.25">
      <c r="A216" s="476" t="s">
        <v>1076</v>
      </c>
      <c r="B216" s="475" t="s">
        <v>4362</v>
      </c>
      <c r="C216" s="422" t="e">
        <f>VLOOKUP(B216,'Matter &amp; CI#'!$D$4:$E$595,2,FALSE)</f>
        <v>#N/A</v>
      </c>
      <c r="D216" s="476" t="s">
        <v>1077</v>
      </c>
      <c r="E216" s="476" t="s">
        <v>10</v>
      </c>
      <c r="F216" s="476" t="s">
        <v>9</v>
      </c>
      <c r="G216" s="475" t="s">
        <v>2013</v>
      </c>
      <c r="H216" s="516"/>
      <c r="I216" s="477" t="s">
        <v>5</v>
      </c>
      <c r="J216" s="476" t="s">
        <v>6</v>
      </c>
      <c r="K216" s="476" t="s">
        <v>7</v>
      </c>
      <c r="L216" s="184">
        <v>42429</v>
      </c>
      <c r="M216" s="184">
        <v>42937</v>
      </c>
      <c r="N216" s="480">
        <v>791983.17</v>
      </c>
      <c r="O216" s="478" t="str">
        <f>IFERROR(VLOOKUP(A216,[1]Approval!A:C,3,FALSE),"")</f>
        <v>FIN Approval - Internal</v>
      </c>
      <c r="P216" s="184">
        <f>IFERROR(VLOOKUP(A216,[1]Approval!A:J,10,FALSE),"")</f>
        <v>42937</v>
      </c>
      <c r="R216" s="425">
        <f>2020-YEAR(Table227[[#This Row],[In-
Service
Date]])</f>
        <v>4</v>
      </c>
      <c r="S216" s="308">
        <f>+Table227[[#This Row],[Proj To Date
Actuals]]*1.02^R216</f>
        <v>857268.05338674725</v>
      </c>
    </row>
    <row r="217" spans="1:19" x14ac:dyDescent="0.25">
      <c r="A217" s="476" t="s">
        <v>407</v>
      </c>
      <c r="B217" s="475" t="s">
        <v>4469</v>
      </c>
      <c r="C217" s="422" t="e">
        <f>VLOOKUP(B217,'Matter &amp; CI#'!$D$4:$E$595,2,FALSE)</f>
        <v>#N/A</v>
      </c>
      <c r="D217" s="476" t="s">
        <v>408</v>
      </c>
      <c r="E217" s="476" t="s">
        <v>10</v>
      </c>
      <c r="F217" s="476" t="s">
        <v>9</v>
      </c>
      <c r="G217" s="475" t="s">
        <v>2013</v>
      </c>
      <c r="H217" s="516"/>
      <c r="I217" s="477" t="s">
        <v>5</v>
      </c>
      <c r="J217" s="476" t="s">
        <v>14</v>
      </c>
      <c r="K217" s="476" t="s">
        <v>7</v>
      </c>
      <c r="L217" s="184">
        <v>42429</v>
      </c>
      <c r="M217" s="184">
        <v>42937</v>
      </c>
      <c r="N217" s="480">
        <v>54084.52</v>
      </c>
      <c r="O217" s="478" t="str">
        <f>IFERROR(VLOOKUP(A217,[1]Approval!A:C,3,FALSE),"")</f>
        <v>FIN Approval - Internal</v>
      </c>
      <c r="P217" s="184">
        <f>IFERROR(VLOOKUP(A217,[1]Approval!A:J,10,FALSE),"")</f>
        <v>42937</v>
      </c>
      <c r="R217" s="425">
        <f>2020-YEAR(Table227[[#This Row],[In-
Service
Date]])</f>
        <v>4</v>
      </c>
      <c r="S217" s="308">
        <f>+Table227[[#This Row],[Proj To Date
Actuals]]*1.02^R217</f>
        <v>58542.823806163193</v>
      </c>
    </row>
    <row r="218" spans="1:19" x14ac:dyDescent="0.25">
      <c r="A218" s="476" t="s">
        <v>1570</v>
      </c>
      <c r="B218" s="475" t="s">
        <v>4189</v>
      </c>
      <c r="C218" s="422" t="e">
        <f>VLOOKUP(B218,'Matter &amp; CI#'!$D$4:$E$595,2,FALSE)</f>
        <v>#N/A</v>
      </c>
      <c r="D218" s="476" t="s">
        <v>1571</v>
      </c>
      <c r="E218" s="476" t="s">
        <v>10</v>
      </c>
      <c r="F218" s="476" t="s">
        <v>9</v>
      </c>
      <c r="G218" s="475" t="s">
        <v>2013</v>
      </c>
      <c r="H218" s="516"/>
      <c r="I218" s="477" t="s">
        <v>5</v>
      </c>
      <c r="J218" s="476" t="s">
        <v>6</v>
      </c>
      <c r="K218" s="476" t="s">
        <v>7</v>
      </c>
      <c r="L218" s="184">
        <v>42460</v>
      </c>
      <c r="M218" s="184">
        <v>43677</v>
      </c>
      <c r="N218" s="480">
        <v>388297.7</v>
      </c>
      <c r="O218" s="478" t="str">
        <f>IFERROR(VLOOKUP(A218,[1]Approval!A:C,3,FALSE),"")</f>
        <v>FIN Approval - Internal</v>
      </c>
      <c r="P218" s="184">
        <f>IFERROR(VLOOKUP(A218,[1]Approval!A:J,10,FALSE),"")</f>
        <v>43584</v>
      </c>
      <c r="R218" s="425">
        <f>2020-YEAR(Table227[[#This Row],[In-
Service
Date]])</f>
        <v>4</v>
      </c>
      <c r="S218" s="308">
        <f>+Table227[[#This Row],[Proj To Date
Actuals]]*1.02^R218</f>
        <v>420305.91813403199</v>
      </c>
    </row>
    <row r="219" spans="1:19" x14ac:dyDescent="0.25">
      <c r="A219" s="476" t="s">
        <v>347</v>
      </c>
      <c r="B219" s="475" t="s">
        <v>4261</v>
      </c>
      <c r="C219" s="422" t="e">
        <f>VLOOKUP(B219,'Matter &amp; CI#'!$D$4:$E$595,2,FALSE)</f>
        <v>#N/A</v>
      </c>
      <c r="D219" s="476" t="s">
        <v>348</v>
      </c>
      <c r="E219" s="476" t="s">
        <v>10</v>
      </c>
      <c r="F219" s="476" t="s">
        <v>9</v>
      </c>
      <c r="G219" s="475" t="s">
        <v>2013</v>
      </c>
      <c r="H219" s="516"/>
      <c r="I219" s="477" t="s">
        <v>5</v>
      </c>
      <c r="J219" s="476" t="s">
        <v>6</v>
      </c>
      <c r="K219" s="476" t="s">
        <v>28</v>
      </c>
      <c r="L219" s="184">
        <v>42460</v>
      </c>
      <c r="N219" s="480">
        <v>806353.47</v>
      </c>
      <c r="O219" s="478" t="str">
        <f>IFERROR(VLOOKUP(A219,[1]Approval!A:C,3,FALSE),"")</f>
        <v>FIN Approval - Internal</v>
      </c>
      <c r="P219" s="184">
        <f>IFERROR(VLOOKUP(A219,[1]Approval!A:J,10,FALSE),"")</f>
        <v>44126</v>
      </c>
      <c r="R219" s="425">
        <f>2020-YEAR(Table227[[#This Row],[In-
Service
Date]])</f>
        <v>4</v>
      </c>
      <c r="S219" s="308">
        <f>+Table227[[#This Row],[Proj To Date
Actuals]]*1.02^R219</f>
        <v>872822.92825559515</v>
      </c>
    </row>
    <row r="220" spans="1:19" x14ac:dyDescent="0.25">
      <c r="A220" s="476" t="s">
        <v>596</v>
      </c>
      <c r="B220" s="475" t="s">
        <v>4383</v>
      </c>
      <c r="C220" s="422" t="e">
        <f>VLOOKUP(B220,'Matter &amp; CI#'!$D$4:$E$595,2,FALSE)</f>
        <v>#N/A</v>
      </c>
      <c r="D220" s="476" t="s">
        <v>597</v>
      </c>
      <c r="E220" s="476" t="s">
        <v>10</v>
      </c>
      <c r="F220" s="476" t="s">
        <v>9</v>
      </c>
      <c r="G220" s="475" t="s">
        <v>2013</v>
      </c>
      <c r="H220" s="516"/>
      <c r="I220" s="477" t="s">
        <v>5</v>
      </c>
      <c r="J220" s="476" t="s">
        <v>6</v>
      </c>
      <c r="K220" s="476" t="s">
        <v>7</v>
      </c>
      <c r="L220" s="184">
        <v>42460</v>
      </c>
      <c r="M220" s="184">
        <v>44197</v>
      </c>
      <c r="N220" s="480">
        <v>241940.15</v>
      </c>
      <c r="O220" s="478" t="str">
        <f>IFERROR(VLOOKUP(A220,[1]Approval!A:C,3,FALSE),"")</f>
        <v/>
      </c>
      <c r="P220" s="184" t="str">
        <f>IFERROR(VLOOKUP(A220,[1]Approval!A:J,10,FALSE),"")</f>
        <v/>
      </c>
      <c r="R220" s="425">
        <f>2020-YEAR(Table227[[#This Row],[In-
Service
Date]])</f>
        <v>4</v>
      </c>
      <c r="S220" s="308">
        <f>+Table227[[#This Row],[Proj To Date
Actuals]]*1.02^R220</f>
        <v>261883.799155224</v>
      </c>
    </row>
    <row r="221" spans="1:19" x14ac:dyDescent="0.25">
      <c r="A221" s="476" t="s">
        <v>1346</v>
      </c>
      <c r="B221" s="475" t="s">
        <v>4447</v>
      </c>
      <c r="C221" s="422" t="e">
        <f>VLOOKUP(B221,'Matter &amp; CI#'!$D$4:$E$595,2,FALSE)</f>
        <v>#N/A</v>
      </c>
      <c r="D221" s="476" t="s">
        <v>1347</v>
      </c>
      <c r="E221" s="476" t="s">
        <v>10</v>
      </c>
      <c r="F221" s="476" t="s">
        <v>9</v>
      </c>
      <c r="G221" s="475" t="s">
        <v>2013</v>
      </c>
      <c r="H221" s="516"/>
      <c r="I221" s="477" t="s">
        <v>5</v>
      </c>
      <c r="J221" s="476" t="s">
        <v>6</v>
      </c>
      <c r="K221" s="476" t="s">
        <v>28</v>
      </c>
      <c r="L221" s="184">
        <v>42460</v>
      </c>
      <c r="N221" s="480">
        <v>720285.6</v>
      </c>
      <c r="O221" s="478" t="str">
        <f>IFERROR(VLOOKUP(A221,[1]Approval!A:C,3,FALSE),"")</f>
        <v>FIN Approval - Internal</v>
      </c>
      <c r="P221" s="184">
        <f>IFERROR(VLOOKUP(A221,[1]Approval!A:J,10,FALSE),"")</f>
        <v>43452</v>
      </c>
      <c r="R221" s="425">
        <f>2020-YEAR(Table227[[#This Row],[In-
Service
Date]])</f>
        <v>4</v>
      </c>
      <c r="S221" s="308">
        <f>+Table227[[#This Row],[Proj To Date
Actuals]]*1.02^R221</f>
        <v>779660.29782489594</v>
      </c>
    </row>
    <row r="222" spans="1:19" x14ac:dyDescent="0.25">
      <c r="A222" s="476" t="s">
        <v>1626</v>
      </c>
      <c r="B222" s="475" t="s">
        <v>4520</v>
      </c>
      <c r="C222" s="422" t="e">
        <f>VLOOKUP(B222,'Matter &amp; CI#'!$D$4:$E$595,2,FALSE)</f>
        <v>#N/A</v>
      </c>
      <c r="D222" s="476" t="s">
        <v>1627</v>
      </c>
      <c r="E222" s="476" t="s">
        <v>10</v>
      </c>
      <c r="F222" s="476" t="s">
        <v>9</v>
      </c>
      <c r="G222" s="475" t="s">
        <v>2013</v>
      </c>
      <c r="H222" s="516"/>
      <c r="I222" s="477" t="s">
        <v>5</v>
      </c>
      <c r="J222" s="476" t="s">
        <v>43</v>
      </c>
      <c r="K222" s="476" t="s">
        <v>7</v>
      </c>
      <c r="L222" s="184">
        <v>42460</v>
      </c>
      <c r="M222" s="184">
        <v>43862</v>
      </c>
      <c r="N222" s="480">
        <v>239690.43</v>
      </c>
      <c r="O222" s="478" t="str">
        <f>IFERROR(VLOOKUP(A222,[1]Approval!A:C,3,FALSE),"")</f>
        <v>FIN Approval - Internal</v>
      </c>
      <c r="P222" s="184">
        <f>IFERROR(VLOOKUP(A222,[1]Approval!A:J,10,FALSE),"")</f>
        <v>43817</v>
      </c>
      <c r="R222" s="425">
        <f>2020-YEAR(Table227[[#This Row],[In-
Service
Date]])</f>
        <v>4</v>
      </c>
      <c r="S222" s="308">
        <f>+Table227[[#This Row],[Proj To Date
Actuals]]*1.02^R222</f>
        <v>259448.62987622878</v>
      </c>
    </row>
    <row r="223" spans="1:19" x14ac:dyDescent="0.25">
      <c r="A223" s="476" t="s">
        <v>859</v>
      </c>
      <c r="B223" s="475" t="s">
        <v>4521</v>
      </c>
      <c r="C223" s="422" t="e">
        <f>VLOOKUP(B223,'Matter &amp; CI#'!$D$4:$E$595,2,FALSE)</f>
        <v>#N/A</v>
      </c>
      <c r="D223" s="476" t="s">
        <v>860</v>
      </c>
      <c r="E223" s="476" t="s">
        <v>10</v>
      </c>
      <c r="F223" s="476" t="s">
        <v>9</v>
      </c>
      <c r="G223" s="475" t="s">
        <v>2013</v>
      </c>
      <c r="H223" s="516"/>
      <c r="I223" s="477" t="s">
        <v>5</v>
      </c>
      <c r="J223" s="476" t="s">
        <v>13</v>
      </c>
      <c r="K223" s="476" t="s">
        <v>7</v>
      </c>
      <c r="L223" s="184">
        <v>42460</v>
      </c>
      <c r="M223" s="184">
        <v>43862</v>
      </c>
      <c r="N223" s="480">
        <v>130433.68</v>
      </c>
      <c r="O223" s="478" t="str">
        <f>IFERROR(VLOOKUP(A223,[1]Approval!A:C,3,FALSE),"")</f>
        <v>FIN Approval - Internal</v>
      </c>
      <c r="P223" s="184">
        <f>IFERROR(VLOOKUP(A223,[1]Approval!A:J,10,FALSE),"")</f>
        <v>43677</v>
      </c>
      <c r="R223" s="425">
        <f>2020-YEAR(Table227[[#This Row],[In-
Service
Date]])</f>
        <v>4</v>
      </c>
      <c r="S223" s="308">
        <f>+Table227[[#This Row],[Proj To Date
Actuals]]*1.02^R223</f>
        <v>141185.60997914878</v>
      </c>
    </row>
    <row r="224" spans="1:19" x14ac:dyDescent="0.25">
      <c r="A224" s="476" t="s">
        <v>1366</v>
      </c>
      <c r="B224" s="475" t="s">
        <v>4451</v>
      </c>
      <c r="C224" s="422" t="e">
        <f>VLOOKUP(B224,'Matter &amp; CI#'!$D$4:$E$595,2,FALSE)</f>
        <v>#N/A</v>
      </c>
      <c r="D224" s="476" t="s">
        <v>1367</v>
      </c>
      <c r="E224" s="476" t="s">
        <v>10</v>
      </c>
      <c r="F224" s="476" t="s">
        <v>9</v>
      </c>
      <c r="G224" s="475" t="s">
        <v>2013</v>
      </c>
      <c r="H224" s="516"/>
      <c r="I224" s="477" t="s">
        <v>5</v>
      </c>
      <c r="J224" s="476" t="s">
        <v>14</v>
      </c>
      <c r="K224" s="476" t="s">
        <v>28</v>
      </c>
      <c r="L224" s="184">
        <v>42490</v>
      </c>
      <c r="N224" s="480">
        <v>116699.27</v>
      </c>
      <c r="O224" s="478" t="str">
        <f>IFERROR(VLOOKUP(A224,[1]Approval!A:C,3,FALSE),"")</f>
        <v>FIN Approval - Internal</v>
      </c>
      <c r="P224" s="184">
        <f>IFERROR(VLOOKUP(A224,[1]Approval!A:J,10,FALSE),"")</f>
        <v>43374</v>
      </c>
      <c r="R224" s="425">
        <f>2020-YEAR(Table227[[#This Row],[In-
Service
Date]])</f>
        <v>4</v>
      </c>
      <c r="S224" s="308">
        <f>+Table227[[#This Row],[Proj To Date
Actuals]]*1.02^R224</f>
        <v>126319.0428965232</v>
      </c>
    </row>
    <row r="225" spans="1:19" x14ac:dyDescent="0.25">
      <c r="A225" s="476" t="s">
        <v>1899</v>
      </c>
      <c r="B225" s="475" t="s">
        <v>4494</v>
      </c>
      <c r="C225" s="422" t="e">
        <f>VLOOKUP(B225,'Matter &amp; CI#'!$D$4:$E$595,2,FALSE)</f>
        <v>#N/A</v>
      </c>
      <c r="D225" s="476" t="s">
        <v>1900</v>
      </c>
      <c r="E225" s="476" t="s">
        <v>10</v>
      </c>
      <c r="F225" s="476" t="s">
        <v>9</v>
      </c>
      <c r="G225" s="475" t="s">
        <v>2013</v>
      </c>
      <c r="H225" s="516"/>
      <c r="I225" s="477" t="s">
        <v>5</v>
      </c>
      <c r="J225" s="476" t="s">
        <v>12</v>
      </c>
      <c r="K225" s="476" t="s">
        <v>7</v>
      </c>
      <c r="L225" s="184">
        <v>42490</v>
      </c>
      <c r="M225" s="184">
        <v>43343</v>
      </c>
      <c r="N225" s="480">
        <v>16150.51</v>
      </c>
      <c r="O225" s="478" t="str">
        <f>IFERROR(VLOOKUP(A225,[1]Approval!A:C,3,FALSE),"")</f>
        <v>FIN Approval - Internal</v>
      </c>
      <c r="P225" s="184">
        <f>IFERROR(VLOOKUP(A225,[1]Approval!A:J,10,FALSE),"")</f>
        <v>43280</v>
      </c>
      <c r="R225" s="425">
        <f>2020-YEAR(Table227[[#This Row],[In-
Service
Date]])</f>
        <v>4</v>
      </c>
      <c r="S225" s="308">
        <f>+Table227[[#This Row],[Proj To Date
Actuals]]*1.02^R225</f>
        <v>17481.8314244016</v>
      </c>
    </row>
    <row r="226" spans="1:19" x14ac:dyDescent="0.25">
      <c r="A226" s="476" t="s">
        <v>1897</v>
      </c>
      <c r="B226" s="475" t="s">
        <v>4504</v>
      </c>
      <c r="C226" s="422" t="e">
        <f>VLOOKUP(B226,'Matter &amp; CI#'!$D$4:$E$595,2,FALSE)</f>
        <v>#N/A</v>
      </c>
      <c r="D226" s="476" t="s">
        <v>1898</v>
      </c>
      <c r="E226" s="476" t="s">
        <v>10</v>
      </c>
      <c r="F226" s="476" t="s">
        <v>9</v>
      </c>
      <c r="G226" s="475" t="s">
        <v>2013</v>
      </c>
      <c r="H226" s="516"/>
      <c r="I226" s="477" t="s">
        <v>5</v>
      </c>
      <c r="J226" s="476" t="s">
        <v>131</v>
      </c>
      <c r="K226" s="476" t="s">
        <v>7</v>
      </c>
      <c r="L226" s="184">
        <v>42490</v>
      </c>
      <c r="M226" s="184">
        <v>42937</v>
      </c>
      <c r="N226" s="480">
        <v>9920.7199999999993</v>
      </c>
      <c r="O226" s="478" t="str">
        <f>IFERROR(VLOOKUP(A226,[1]Approval!A:C,3,FALSE),"")</f>
        <v>FIN Approval - Internal</v>
      </c>
      <c r="P226" s="184">
        <f>IFERROR(VLOOKUP(A226,[1]Approval!A:J,10,FALSE),"")</f>
        <v>42937</v>
      </c>
      <c r="R226" s="425">
        <f>2020-YEAR(Table227[[#This Row],[In-
Service
Date]])</f>
        <v>4</v>
      </c>
      <c r="S226" s="308">
        <f>+Table227[[#This Row],[Proj To Date
Actuals]]*1.02^R226</f>
        <v>10738.5063783552</v>
      </c>
    </row>
    <row r="227" spans="1:19" x14ac:dyDescent="0.25">
      <c r="A227" s="476" t="s">
        <v>413</v>
      </c>
      <c r="B227" s="475" t="s">
        <v>4501</v>
      </c>
      <c r="C227" s="422" t="e">
        <f>VLOOKUP(B227,'Matter &amp; CI#'!$D$4:$E$595,2,FALSE)</f>
        <v>#N/A</v>
      </c>
      <c r="D227" s="476" t="s">
        <v>414</v>
      </c>
      <c r="E227" s="476" t="s">
        <v>10</v>
      </c>
      <c r="F227" s="476" t="s">
        <v>9</v>
      </c>
      <c r="G227" s="475" t="s">
        <v>2013</v>
      </c>
      <c r="H227" s="516"/>
      <c r="I227" s="477" t="s">
        <v>5</v>
      </c>
      <c r="J227" s="476" t="s">
        <v>131</v>
      </c>
      <c r="K227" s="476" t="s">
        <v>7</v>
      </c>
      <c r="L227" s="184">
        <v>42520</v>
      </c>
      <c r="M227" s="184">
        <v>42937</v>
      </c>
      <c r="N227" s="480">
        <v>24170.9</v>
      </c>
      <c r="O227" s="478" t="str">
        <f>IFERROR(VLOOKUP(A227,[1]Approval!A:C,3,FALSE),"")</f>
        <v>FIN Approval - Internal</v>
      </c>
      <c r="P227" s="184">
        <f>IFERROR(VLOOKUP(A227,[1]Approval!A:J,10,FALSE),"")</f>
        <v>42937</v>
      </c>
      <c r="R227" s="425">
        <f>2020-YEAR(Table227[[#This Row],[In-
Service
Date]])</f>
        <v>4</v>
      </c>
      <c r="S227" s="308">
        <f>+Table227[[#This Row],[Proj To Date
Actuals]]*1.02^R227</f>
        <v>26163.359496143999</v>
      </c>
    </row>
    <row r="228" spans="1:19" x14ac:dyDescent="0.25">
      <c r="A228" s="476" t="s">
        <v>863</v>
      </c>
      <c r="B228" s="475" t="s">
        <v>4522</v>
      </c>
      <c r="C228" s="422" t="e">
        <f>VLOOKUP(B228,'Matter &amp; CI#'!$D$4:$E$595,2,FALSE)</f>
        <v>#N/A</v>
      </c>
      <c r="D228" s="476" t="s">
        <v>864</v>
      </c>
      <c r="E228" s="476" t="s">
        <v>10</v>
      </c>
      <c r="F228" s="476" t="s">
        <v>9</v>
      </c>
      <c r="G228" s="475" t="s">
        <v>2013</v>
      </c>
      <c r="H228" s="516"/>
      <c r="I228" s="477" t="s">
        <v>5</v>
      </c>
      <c r="J228" s="476" t="s">
        <v>14</v>
      </c>
      <c r="K228" s="476" t="s">
        <v>7</v>
      </c>
      <c r="L228" s="184">
        <v>42520</v>
      </c>
      <c r="M228" s="184">
        <v>42909</v>
      </c>
      <c r="N228" s="480">
        <v>147328.94</v>
      </c>
      <c r="O228" s="478" t="str">
        <f>IFERROR(VLOOKUP(A228,[1]Approval!A:C,3,FALSE),"")</f>
        <v>FIN Approval - Internal</v>
      </c>
      <c r="P228" s="184">
        <f>IFERROR(VLOOKUP(A228,[1]Approval!A:J,10,FALSE),"")</f>
        <v>42909</v>
      </c>
      <c r="R228" s="425">
        <f>2020-YEAR(Table227[[#This Row],[In-
Service
Date]])</f>
        <v>4</v>
      </c>
      <c r="S228" s="308">
        <f>+Table227[[#This Row],[Proj To Date
Actuals]]*1.02^R228</f>
        <v>159473.5827547104</v>
      </c>
    </row>
    <row r="229" spans="1:19" x14ac:dyDescent="0.25">
      <c r="A229" s="476" t="s">
        <v>1112</v>
      </c>
      <c r="B229" s="475" t="s">
        <v>4523</v>
      </c>
      <c r="C229" s="422" t="e">
        <f>VLOOKUP(B229,'Matter &amp; CI#'!$D$4:$E$595,2,FALSE)</f>
        <v>#N/A</v>
      </c>
      <c r="D229" s="476" t="s">
        <v>1113</v>
      </c>
      <c r="E229" s="476" t="s">
        <v>10</v>
      </c>
      <c r="F229" s="476" t="s">
        <v>9</v>
      </c>
      <c r="G229" s="475" t="s">
        <v>2013</v>
      </c>
      <c r="H229" s="516"/>
      <c r="I229" s="477" t="s">
        <v>5</v>
      </c>
      <c r="J229" s="476" t="s">
        <v>14</v>
      </c>
      <c r="K229" s="476" t="s">
        <v>28</v>
      </c>
      <c r="L229" s="184">
        <v>42520</v>
      </c>
      <c r="N229" s="480">
        <v>177543.11</v>
      </c>
      <c r="O229" s="478" t="str">
        <f>IFERROR(VLOOKUP(A229,[1]Approval!A:C,3,FALSE),"")</f>
        <v>FIN Approval - Internal</v>
      </c>
      <c r="P229" s="184">
        <f>IFERROR(VLOOKUP(A229,[1]Approval!A:J,10,FALSE),"")</f>
        <v>43374</v>
      </c>
      <c r="R229" s="425">
        <f>2020-YEAR(Table227[[#This Row],[In-
Service
Date]])</f>
        <v>4</v>
      </c>
      <c r="S229" s="308">
        <f>+Table227[[#This Row],[Proj To Date
Actuals]]*1.02^R229</f>
        <v>192178.37205041759</v>
      </c>
    </row>
    <row r="230" spans="1:19" x14ac:dyDescent="0.25">
      <c r="A230" s="476" t="s">
        <v>857</v>
      </c>
      <c r="B230" s="475" t="s">
        <v>4519</v>
      </c>
      <c r="C230" s="422" t="e">
        <f>VLOOKUP(B230,'Matter &amp; CI#'!$D$4:$E$595,2,FALSE)</f>
        <v>#N/A</v>
      </c>
      <c r="D230" s="476" t="s">
        <v>858</v>
      </c>
      <c r="E230" s="476" t="s">
        <v>10</v>
      </c>
      <c r="F230" s="476" t="s">
        <v>9</v>
      </c>
      <c r="G230" s="475" t="s">
        <v>2013</v>
      </c>
      <c r="H230" s="516"/>
      <c r="I230" s="477" t="s">
        <v>5</v>
      </c>
      <c r="J230" s="476" t="s">
        <v>14</v>
      </c>
      <c r="K230" s="476" t="s">
        <v>7</v>
      </c>
      <c r="L230" s="184">
        <v>42551</v>
      </c>
      <c r="M230" s="184">
        <v>42909</v>
      </c>
      <c r="N230" s="480">
        <v>102362.88</v>
      </c>
      <c r="O230" s="478" t="str">
        <f>IFERROR(VLOOKUP(A230,[1]Approval!A:C,3,FALSE),"")</f>
        <v>FIN Approval - Internal</v>
      </c>
      <c r="P230" s="184">
        <f>IFERROR(VLOOKUP(A230,[1]Approval!A:J,10,FALSE),"")</f>
        <v>42909</v>
      </c>
      <c r="R230" s="425">
        <f>2020-YEAR(Table227[[#This Row],[In-
Service
Date]])</f>
        <v>4</v>
      </c>
      <c r="S230" s="308">
        <f>+Table227[[#This Row],[Proj To Date
Actuals]]*1.02^R230</f>
        <v>110800.8733022208</v>
      </c>
    </row>
    <row r="231" spans="1:19" x14ac:dyDescent="0.25">
      <c r="A231" s="476" t="s">
        <v>399</v>
      </c>
      <c r="B231" s="475" t="s">
        <v>4436</v>
      </c>
      <c r="C231" s="422" t="e">
        <f>VLOOKUP(B231,'Matter &amp; CI#'!$D$4:$E$595,2,FALSE)</f>
        <v>#N/A</v>
      </c>
      <c r="D231" s="476" t="s">
        <v>400</v>
      </c>
      <c r="E231" s="476" t="s">
        <v>10</v>
      </c>
      <c r="F231" s="476" t="s">
        <v>9</v>
      </c>
      <c r="G231" s="475" t="s">
        <v>2013</v>
      </c>
      <c r="H231" s="516"/>
      <c r="I231" s="477" t="s">
        <v>5</v>
      </c>
      <c r="J231" s="476" t="s">
        <v>6</v>
      </c>
      <c r="K231" s="476" t="s">
        <v>7</v>
      </c>
      <c r="L231" s="184">
        <v>42582</v>
      </c>
      <c r="M231" s="184">
        <v>43556</v>
      </c>
      <c r="N231" s="480">
        <v>4199541.84</v>
      </c>
      <c r="O231" s="478" t="str">
        <f>IFERROR(VLOOKUP(A231,[1]Approval!A:C,3,FALSE),"")</f>
        <v>FIN Approval - Internal</v>
      </c>
      <c r="P231" s="184">
        <f>IFERROR(VLOOKUP(A231,[1]Approval!A:J,10,FALSE),"")</f>
        <v>43454</v>
      </c>
      <c r="R231" s="425">
        <f>2020-YEAR(Table227[[#This Row],[In-
Service
Date]])</f>
        <v>4</v>
      </c>
      <c r="S231" s="308">
        <f>+Table227[[#This Row],[Proj To Date
Actuals]]*1.02^R231</f>
        <v>4545719.1448815744</v>
      </c>
    </row>
    <row r="232" spans="1:19" x14ac:dyDescent="0.25">
      <c r="A232" s="476" t="s">
        <v>1628</v>
      </c>
      <c r="B232" s="475" t="s">
        <v>4444</v>
      </c>
      <c r="C232" s="422" t="e">
        <f>VLOOKUP(B232,'Matter &amp; CI#'!$D$4:$E$595,2,FALSE)</f>
        <v>#N/A</v>
      </c>
      <c r="D232" s="476" t="s">
        <v>1629</v>
      </c>
      <c r="E232" s="476" t="s">
        <v>10</v>
      </c>
      <c r="F232" s="476" t="s">
        <v>9</v>
      </c>
      <c r="G232" s="475" t="s">
        <v>2013</v>
      </c>
      <c r="H232" s="516"/>
      <c r="I232" s="477" t="s">
        <v>5</v>
      </c>
      <c r="J232" s="476" t="s">
        <v>6</v>
      </c>
      <c r="K232" s="476" t="s">
        <v>7</v>
      </c>
      <c r="L232" s="184">
        <v>42582</v>
      </c>
      <c r="M232" s="184">
        <v>44044</v>
      </c>
      <c r="N232" s="480">
        <v>508943.46</v>
      </c>
      <c r="O232" s="478" t="str">
        <f>IFERROR(VLOOKUP(A232,[1]Approval!A:C,3,FALSE),"")</f>
        <v>FIN Approval - Internal</v>
      </c>
      <c r="P232" s="184">
        <f>IFERROR(VLOOKUP(A232,[1]Approval!A:J,10,FALSE),"")</f>
        <v>43857</v>
      </c>
      <c r="R232" s="425">
        <f>2020-YEAR(Table227[[#This Row],[In-
Service
Date]])</f>
        <v>4</v>
      </c>
      <c r="S232" s="308">
        <f>+Table227[[#This Row],[Proj To Date
Actuals]]*1.02^R232</f>
        <v>550896.76872567367</v>
      </c>
    </row>
    <row r="233" spans="1:19" x14ac:dyDescent="0.25">
      <c r="A233" s="476" t="s">
        <v>851</v>
      </c>
      <c r="B233" s="475" t="s">
        <v>4455</v>
      </c>
      <c r="C233" s="422" t="e">
        <f>VLOOKUP(B233,'Matter &amp; CI#'!$D$4:$E$595,2,FALSE)</f>
        <v>#N/A</v>
      </c>
      <c r="D233" s="476" t="s">
        <v>852</v>
      </c>
      <c r="E233" s="476" t="s">
        <v>10</v>
      </c>
      <c r="F233" s="476" t="s">
        <v>9</v>
      </c>
      <c r="G233" s="475" t="s">
        <v>2013</v>
      </c>
      <c r="H233" s="516"/>
      <c r="I233" s="477" t="s">
        <v>5</v>
      </c>
      <c r="J233" s="476" t="s">
        <v>14</v>
      </c>
      <c r="K233" s="476" t="s">
        <v>7</v>
      </c>
      <c r="L233" s="184">
        <v>42582</v>
      </c>
      <c r="M233" s="184">
        <v>42937</v>
      </c>
      <c r="N233" s="480">
        <v>121347.63</v>
      </c>
      <c r="O233" s="478" t="str">
        <f>IFERROR(VLOOKUP(A233,[1]Approval!A:C,3,FALSE),"")</f>
        <v>FIN Approval - Internal</v>
      </c>
      <c r="P233" s="184">
        <f>IFERROR(VLOOKUP(A233,[1]Approval!A:J,10,FALSE),"")</f>
        <v>42937</v>
      </c>
      <c r="R233" s="425">
        <f>2020-YEAR(Table227[[#This Row],[In-
Service
Date]])</f>
        <v>4</v>
      </c>
      <c r="S233" s="308">
        <f>+Table227[[#This Row],[Proj To Date
Actuals]]*1.02^R233</f>
        <v>131350.57725178081</v>
      </c>
    </row>
    <row r="234" spans="1:19" x14ac:dyDescent="0.25">
      <c r="A234" s="476" t="s">
        <v>855</v>
      </c>
      <c r="B234" s="475" t="s">
        <v>4456</v>
      </c>
      <c r="C234" s="422" t="e">
        <f>VLOOKUP(B234,'Matter &amp; CI#'!$D$4:$E$595,2,FALSE)</f>
        <v>#N/A</v>
      </c>
      <c r="D234" s="476" t="s">
        <v>856</v>
      </c>
      <c r="E234" s="476" t="s">
        <v>10</v>
      </c>
      <c r="F234" s="476" t="s">
        <v>9</v>
      </c>
      <c r="G234" s="475" t="s">
        <v>2013</v>
      </c>
      <c r="H234" s="516"/>
      <c r="I234" s="477" t="s">
        <v>5</v>
      </c>
      <c r="J234" s="476" t="s">
        <v>14</v>
      </c>
      <c r="K234" s="476" t="s">
        <v>7</v>
      </c>
      <c r="L234" s="184">
        <v>42582</v>
      </c>
      <c r="M234" s="184">
        <v>43343</v>
      </c>
      <c r="N234" s="480">
        <v>187678.95</v>
      </c>
      <c r="O234" s="478" t="str">
        <f>IFERROR(VLOOKUP(A234,[1]Approval!A:C,3,FALSE),"")</f>
        <v>FIN Approval - Internal</v>
      </c>
      <c r="P234" s="184">
        <f>IFERROR(VLOOKUP(A234,[1]Approval!A:J,10,FALSE),"")</f>
        <v>43280</v>
      </c>
      <c r="R234" s="425">
        <f>2020-YEAR(Table227[[#This Row],[In-
Service
Date]])</f>
        <v>4</v>
      </c>
      <c r="S234" s="308">
        <f>+Table227[[#This Row],[Proj To Date
Actuals]]*1.02^R234</f>
        <v>203149.731235032</v>
      </c>
    </row>
    <row r="235" spans="1:19" x14ac:dyDescent="0.25">
      <c r="A235" s="476" t="s">
        <v>845</v>
      </c>
      <c r="B235" s="475" t="s">
        <v>4458</v>
      </c>
      <c r="C235" s="422" t="e">
        <f>VLOOKUP(B235,'Matter &amp; CI#'!$D$4:$E$595,2,FALSE)</f>
        <v>#N/A</v>
      </c>
      <c r="D235" s="476" t="s">
        <v>846</v>
      </c>
      <c r="E235" s="476" t="s">
        <v>10</v>
      </c>
      <c r="F235" s="476" t="s">
        <v>9</v>
      </c>
      <c r="G235" s="475" t="s">
        <v>2013</v>
      </c>
      <c r="H235" s="516"/>
      <c r="I235" s="477" t="s">
        <v>5</v>
      </c>
      <c r="J235" s="476" t="s">
        <v>14</v>
      </c>
      <c r="K235" s="476" t="s">
        <v>7</v>
      </c>
      <c r="L235" s="184">
        <v>42582</v>
      </c>
      <c r="M235" s="184">
        <v>42909</v>
      </c>
      <c r="N235" s="480">
        <v>142796.67000000001</v>
      </c>
      <c r="O235" s="478" t="str">
        <f>IFERROR(VLOOKUP(A235,[1]Approval!A:C,3,FALSE),"")</f>
        <v>FIN Approval - Internal</v>
      </c>
      <c r="P235" s="184">
        <f>IFERROR(VLOOKUP(A235,[1]Approval!A:J,10,FALSE),"")</f>
        <v>42909</v>
      </c>
      <c r="R235" s="425">
        <f>2020-YEAR(Table227[[#This Row],[In-
Service
Date]])</f>
        <v>4</v>
      </c>
      <c r="S235" s="308">
        <f>+Table227[[#This Row],[Proj To Date
Actuals]]*1.02^R235</f>
        <v>154567.70794890722</v>
      </c>
    </row>
    <row r="236" spans="1:19" x14ac:dyDescent="0.25">
      <c r="A236" s="476" t="s">
        <v>1634</v>
      </c>
      <c r="B236" s="475" t="s">
        <v>4479</v>
      </c>
      <c r="C236" s="422" t="e">
        <f>VLOOKUP(B236,'Matter &amp; CI#'!$D$4:$E$595,2,FALSE)</f>
        <v>#N/A</v>
      </c>
      <c r="D236" s="476" t="s">
        <v>1635</v>
      </c>
      <c r="E236" s="476" t="s">
        <v>10</v>
      </c>
      <c r="F236" s="476" t="s">
        <v>9</v>
      </c>
      <c r="G236" s="475" t="s">
        <v>2013</v>
      </c>
      <c r="H236" s="516"/>
      <c r="I236" s="477" t="s">
        <v>5</v>
      </c>
      <c r="J236" s="476" t="s">
        <v>131</v>
      </c>
      <c r="K236" s="476" t="s">
        <v>7</v>
      </c>
      <c r="L236" s="184">
        <v>42582</v>
      </c>
      <c r="M236" s="184">
        <v>43524</v>
      </c>
      <c r="N236" s="480">
        <v>65764.509999999995</v>
      </c>
      <c r="O236" s="478" t="str">
        <f>IFERROR(VLOOKUP(A236,[1]Approval!A:C,3,FALSE),"")</f>
        <v>FIN Approval - Internal</v>
      </c>
      <c r="P236" s="184">
        <f>IFERROR(VLOOKUP(A236,[1]Approval!A:J,10,FALSE),"")</f>
        <v>43374</v>
      </c>
      <c r="R236" s="425">
        <f>2020-YEAR(Table227[[#This Row],[In-
Service
Date]])</f>
        <v>4</v>
      </c>
      <c r="S236" s="308">
        <f>+Table227[[#This Row],[Proj To Date
Actuals]]*1.02^R236</f>
        <v>71185.620610641592</v>
      </c>
    </row>
    <row r="237" spans="1:19" x14ac:dyDescent="0.25">
      <c r="A237" s="476" t="s">
        <v>1106</v>
      </c>
      <c r="B237" s="475" t="s">
        <v>4482</v>
      </c>
      <c r="C237" s="422" t="e">
        <f>VLOOKUP(B237,'Matter &amp; CI#'!$D$4:$E$595,2,FALSE)</f>
        <v>#N/A</v>
      </c>
      <c r="D237" s="476" t="s">
        <v>1107</v>
      </c>
      <c r="E237" s="476" t="s">
        <v>10</v>
      </c>
      <c r="F237" s="476" t="s">
        <v>9</v>
      </c>
      <c r="G237" s="475" t="s">
        <v>2013</v>
      </c>
      <c r="H237" s="516"/>
      <c r="I237" s="477" t="s">
        <v>5</v>
      </c>
      <c r="J237" s="476" t="s">
        <v>6</v>
      </c>
      <c r="K237" s="476" t="s">
        <v>7</v>
      </c>
      <c r="L237" s="184">
        <v>42582</v>
      </c>
      <c r="M237" s="184">
        <v>44044</v>
      </c>
      <c r="N237" s="480">
        <v>1739040.03</v>
      </c>
      <c r="O237" s="478" t="str">
        <f>IFERROR(VLOOKUP(A237,[1]Approval!A:C,3,FALSE),"")</f>
        <v>FIN Approval - Internal</v>
      </c>
      <c r="P237" s="184">
        <f>IFERROR(VLOOKUP(A237,[1]Approval!A:J,10,FALSE),"")</f>
        <v>43915</v>
      </c>
      <c r="R237" s="425">
        <f>2020-YEAR(Table227[[#This Row],[In-
Service
Date]])</f>
        <v>4</v>
      </c>
      <c r="S237" s="308">
        <f>+Table227[[#This Row],[Proj To Date
Actuals]]*1.02^R237</f>
        <v>1882392.8559993648</v>
      </c>
    </row>
    <row r="238" spans="1:19" x14ac:dyDescent="0.25">
      <c r="A238" s="476" t="s">
        <v>1118</v>
      </c>
      <c r="B238" s="475" t="s">
        <v>4517</v>
      </c>
      <c r="C238" s="422" t="e">
        <f>VLOOKUP(B238,'Matter &amp; CI#'!$D$4:$E$595,2,FALSE)</f>
        <v>#N/A</v>
      </c>
      <c r="D238" s="476" t="s">
        <v>1119</v>
      </c>
      <c r="E238" s="476" t="s">
        <v>10</v>
      </c>
      <c r="F238" s="476" t="s">
        <v>9</v>
      </c>
      <c r="G238" s="475" t="s">
        <v>2013</v>
      </c>
      <c r="H238" s="516"/>
      <c r="I238" s="477" t="s">
        <v>5</v>
      </c>
      <c r="J238" s="476" t="s">
        <v>12</v>
      </c>
      <c r="K238" s="476" t="s">
        <v>7</v>
      </c>
      <c r="L238" s="184">
        <v>42582</v>
      </c>
      <c r="M238" s="184">
        <v>42937</v>
      </c>
      <c r="N238" s="480">
        <v>210873.28</v>
      </c>
      <c r="O238" s="478" t="str">
        <f>IFERROR(VLOOKUP(A238,[1]Approval!A:C,3,FALSE),"")</f>
        <v>FIN Approval - Internal</v>
      </c>
      <c r="P238" s="184">
        <f>IFERROR(VLOOKUP(A238,[1]Approval!A:J,10,FALSE),"")</f>
        <v>42937</v>
      </c>
      <c r="R238" s="425">
        <f>2020-YEAR(Table227[[#This Row],[In-
Service
Date]])</f>
        <v>4</v>
      </c>
      <c r="S238" s="308">
        <f>+Table227[[#This Row],[Proj To Date
Actuals]]*1.02^R238</f>
        <v>228256.01995668479</v>
      </c>
    </row>
    <row r="239" spans="1:19" x14ac:dyDescent="0.25">
      <c r="A239" s="476" t="s">
        <v>1016</v>
      </c>
      <c r="B239" s="475" t="s">
        <v>4075</v>
      </c>
      <c r="C239" s="422" t="e">
        <f>VLOOKUP(B239,'Matter &amp; CI#'!$D$4:$E$595,2,FALSE)</f>
        <v>#N/A</v>
      </c>
      <c r="D239" s="476" t="s">
        <v>1017</v>
      </c>
      <c r="E239" s="476" t="s">
        <v>10</v>
      </c>
      <c r="F239" s="476" t="s">
        <v>9</v>
      </c>
      <c r="G239" s="475" t="s">
        <v>2013</v>
      </c>
      <c r="H239" s="516"/>
      <c r="I239" s="477" t="s">
        <v>5</v>
      </c>
      <c r="J239" s="476" t="s">
        <v>6</v>
      </c>
      <c r="K239" s="476" t="s">
        <v>7</v>
      </c>
      <c r="L239" s="184">
        <v>42586</v>
      </c>
      <c r="M239" s="184">
        <v>43952</v>
      </c>
      <c r="N239" s="480">
        <v>533107.53</v>
      </c>
      <c r="O239" s="478" t="str">
        <f>IFERROR(VLOOKUP(A239,[1]Approval!A:C,3,FALSE),"")</f>
        <v>FIN Approval - Internal</v>
      </c>
      <c r="P239" s="184">
        <f>IFERROR(VLOOKUP(A239,[1]Approval!A:J,10,FALSE),"")</f>
        <v>43857</v>
      </c>
      <c r="R239" s="425">
        <f>2020-YEAR(Table227[[#This Row],[In-
Service
Date]])</f>
        <v>4</v>
      </c>
      <c r="S239" s="308">
        <f>+Table227[[#This Row],[Proj To Date
Actuals]]*1.02^R239</f>
        <v>577052.7352101648</v>
      </c>
    </row>
    <row r="240" spans="1:19" x14ac:dyDescent="0.25">
      <c r="A240" s="476" t="s">
        <v>1640</v>
      </c>
      <c r="B240" s="475" t="s">
        <v>4445</v>
      </c>
      <c r="C240" s="422" t="e">
        <f>VLOOKUP(B240,'Matter &amp; CI#'!$D$4:$E$595,2,FALSE)</f>
        <v>#N/A</v>
      </c>
      <c r="D240" s="476" t="s">
        <v>1641</v>
      </c>
      <c r="E240" s="476" t="s">
        <v>10</v>
      </c>
      <c r="F240" s="476" t="s">
        <v>9</v>
      </c>
      <c r="G240" s="475" t="s">
        <v>2013</v>
      </c>
      <c r="H240" s="516"/>
      <c r="I240" s="477" t="s">
        <v>5</v>
      </c>
      <c r="J240" s="476" t="s">
        <v>6</v>
      </c>
      <c r="K240" s="476" t="s">
        <v>7</v>
      </c>
      <c r="L240" s="184">
        <v>42586</v>
      </c>
      <c r="M240" s="184">
        <v>43524</v>
      </c>
      <c r="N240" s="480">
        <v>381586.91</v>
      </c>
      <c r="O240" s="478" t="str">
        <f>IFERROR(VLOOKUP(A240,[1]Approval!A:C,3,FALSE),"")</f>
        <v>FIN Approval - Internal</v>
      </c>
      <c r="P240" s="184">
        <f>IFERROR(VLOOKUP(A240,[1]Approval!A:J,10,FALSE),"")</f>
        <v>43432</v>
      </c>
      <c r="R240" s="425">
        <f>2020-YEAR(Table227[[#This Row],[In-
Service
Date]])</f>
        <v>4</v>
      </c>
      <c r="S240" s="308">
        <f>+Table227[[#This Row],[Proj To Date
Actuals]]*1.02^R240</f>
        <v>413041.94321902556</v>
      </c>
    </row>
    <row r="241" spans="1:19" x14ac:dyDescent="0.25">
      <c r="A241" s="476" t="s">
        <v>1909</v>
      </c>
      <c r="B241" s="475" t="s">
        <v>4495</v>
      </c>
      <c r="C241" s="422" t="e">
        <f>VLOOKUP(B241,'Matter &amp; CI#'!$D$4:$E$595,2,FALSE)</f>
        <v>#N/A</v>
      </c>
      <c r="D241" s="476" t="s">
        <v>1910</v>
      </c>
      <c r="E241" s="476" t="s">
        <v>10</v>
      </c>
      <c r="F241" s="476" t="s">
        <v>9</v>
      </c>
      <c r="G241" s="475" t="s">
        <v>2013</v>
      </c>
      <c r="H241" s="516"/>
      <c r="I241" s="477" t="s">
        <v>5</v>
      </c>
      <c r="J241" s="476" t="s">
        <v>131</v>
      </c>
      <c r="K241" s="476" t="s">
        <v>28</v>
      </c>
      <c r="L241" s="184">
        <v>42586</v>
      </c>
      <c r="N241" s="480">
        <v>121781.11</v>
      </c>
      <c r="O241" s="478" t="str">
        <f>IFERROR(VLOOKUP(A241,[1]Approval!A:C,3,FALSE),"")</f>
        <v>FIN Approval - Internal</v>
      </c>
      <c r="P241" s="184">
        <f>IFERROR(VLOOKUP(A241,[1]Approval!A:J,10,FALSE),"")</f>
        <v>43374</v>
      </c>
      <c r="R241" s="425">
        <f>2020-YEAR(Table227[[#This Row],[In-
Service
Date]])</f>
        <v>4</v>
      </c>
      <c r="S241" s="308">
        <f>+Table227[[#This Row],[Proj To Date
Actuals]]*1.02^R241</f>
        <v>131819.78994449761</v>
      </c>
    </row>
    <row r="242" spans="1:19" x14ac:dyDescent="0.25">
      <c r="A242" s="476" t="s">
        <v>622</v>
      </c>
      <c r="B242" s="475" t="s">
        <v>4534</v>
      </c>
      <c r="C242" s="422" t="e">
        <f>VLOOKUP(B242,'Matter &amp; CI#'!$D$4:$E$595,2,FALSE)</f>
        <v>#N/A</v>
      </c>
      <c r="D242" s="476" t="s">
        <v>623</v>
      </c>
      <c r="E242" s="476" t="s">
        <v>10</v>
      </c>
      <c r="F242" s="476" t="s">
        <v>9</v>
      </c>
      <c r="G242" s="475" t="s">
        <v>2013</v>
      </c>
      <c r="H242" s="516"/>
      <c r="I242" s="477" t="s">
        <v>5</v>
      </c>
      <c r="J242" s="476" t="s">
        <v>43</v>
      </c>
      <c r="K242" s="476" t="s">
        <v>7</v>
      </c>
      <c r="L242" s="184">
        <v>42607</v>
      </c>
      <c r="M242" s="184">
        <v>43862</v>
      </c>
      <c r="N242" s="480">
        <v>76270.42</v>
      </c>
      <c r="O242" s="478" t="str">
        <f>IFERROR(VLOOKUP(A242,[1]Approval!A:C,3,FALSE),"")</f>
        <v>FIN Approval - Internal</v>
      </c>
      <c r="P242" s="184">
        <f>IFERROR(VLOOKUP(A242,[1]Approval!A:J,10,FALSE),"")</f>
        <v>43677</v>
      </c>
      <c r="R242" s="425">
        <f>2020-YEAR(Table227[[#This Row],[In-
Service
Date]])</f>
        <v>4</v>
      </c>
      <c r="S242" s="308">
        <f>+Table227[[#This Row],[Proj To Date
Actuals]]*1.02^R242</f>
        <v>82557.555464707199</v>
      </c>
    </row>
    <row r="243" spans="1:19" x14ac:dyDescent="0.25">
      <c r="A243" s="476" t="s">
        <v>419</v>
      </c>
      <c r="B243" s="475" t="s">
        <v>4557</v>
      </c>
      <c r="C243" s="422" t="e">
        <f>VLOOKUP(B243,'Matter &amp; CI#'!$D$4:$E$595,2,FALSE)</f>
        <v>#N/A</v>
      </c>
      <c r="D243" s="476" t="s">
        <v>420</v>
      </c>
      <c r="E243" s="476" t="s">
        <v>10</v>
      </c>
      <c r="F243" s="476" t="s">
        <v>9</v>
      </c>
      <c r="G243" s="475" t="s">
        <v>2013</v>
      </c>
      <c r="H243" s="516"/>
      <c r="I243" s="477" t="s">
        <v>5</v>
      </c>
      <c r="J243" s="476" t="s">
        <v>39</v>
      </c>
      <c r="K243" s="476" t="s">
        <v>7</v>
      </c>
      <c r="L243" s="184">
        <v>42611</v>
      </c>
      <c r="M243" s="184">
        <v>43738</v>
      </c>
      <c r="N243" s="480">
        <v>47759.519999999997</v>
      </c>
      <c r="O243" s="478" t="str">
        <f>IFERROR(VLOOKUP(A243,[1]Approval!A:C,3,FALSE),"")</f>
        <v>FIN Approval - Internal</v>
      </c>
      <c r="P243" s="184">
        <f>IFERROR(VLOOKUP(A243,[1]Approval!A:J,10,FALSE),"")</f>
        <v>43677</v>
      </c>
      <c r="R243" s="425">
        <f>2020-YEAR(Table227[[#This Row],[In-
Service
Date]])</f>
        <v>4</v>
      </c>
      <c r="S243" s="308">
        <f>+Table227[[#This Row],[Proj To Date
Actuals]]*1.02^R243</f>
        <v>51696.440394163197</v>
      </c>
    </row>
    <row r="244" spans="1:19" x14ac:dyDescent="0.25">
      <c r="A244" s="476" t="s">
        <v>624</v>
      </c>
      <c r="B244" s="475" t="s">
        <v>4535</v>
      </c>
      <c r="C244" s="422" t="e">
        <f>VLOOKUP(B244,'Matter &amp; CI#'!$D$4:$E$595,2,FALSE)</f>
        <v>#N/A</v>
      </c>
      <c r="D244" s="476" t="s">
        <v>625</v>
      </c>
      <c r="E244" s="476" t="s">
        <v>10</v>
      </c>
      <c r="F244" s="476" t="s">
        <v>9</v>
      </c>
      <c r="G244" s="475" t="s">
        <v>2013</v>
      </c>
      <c r="H244" s="516"/>
      <c r="I244" s="477" t="s">
        <v>5</v>
      </c>
      <c r="J244" s="476" t="s">
        <v>6</v>
      </c>
      <c r="K244" s="476" t="s">
        <v>28</v>
      </c>
      <c r="L244" s="184">
        <v>42613</v>
      </c>
      <c r="N244" s="480">
        <v>182268.97</v>
      </c>
      <c r="O244" s="478" t="str">
        <f>IFERROR(VLOOKUP(A244,[1]Approval!A:C,3,FALSE),"")</f>
        <v>FIN Approval - Internal</v>
      </c>
      <c r="P244" s="184">
        <f>IFERROR(VLOOKUP(A244,[1]Approval!A:J,10,FALSE),"")</f>
        <v>43374</v>
      </c>
      <c r="R244" s="425">
        <f>2020-YEAR(Table227[[#This Row],[In-
Service
Date]])</f>
        <v>4</v>
      </c>
      <c r="S244" s="308">
        <f>+Table227[[#This Row],[Proj To Date
Actuals]]*1.02^R244</f>
        <v>197293.7948980752</v>
      </c>
    </row>
    <row r="245" spans="1:19" x14ac:dyDescent="0.25">
      <c r="A245" s="476" t="s">
        <v>879</v>
      </c>
      <c r="B245" s="475" t="s">
        <v>4558</v>
      </c>
      <c r="C245" s="422" t="e">
        <f>VLOOKUP(B245,'Matter &amp; CI#'!$D$4:$E$595,2,FALSE)</f>
        <v>#N/A</v>
      </c>
      <c r="D245" s="476" t="s">
        <v>880</v>
      </c>
      <c r="E245" s="476" t="s">
        <v>10</v>
      </c>
      <c r="F245" s="476" t="s">
        <v>9</v>
      </c>
      <c r="G245" s="475" t="s">
        <v>2013</v>
      </c>
      <c r="H245" s="516"/>
      <c r="I245" s="477" t="s">
        <v>5</v>
      </c>
      <c r="J245" s="476" t="s">
        <v>182</v>
      </c>
      <c r="K245" s="476" t="s">
        <v>7</v>
      </c>
      <c r="L245" s="184">
        <v>42613</v>
      </c>
      <c r="M245" s="184">
        <v>42909</v>
      </c>
      <c r="N245" s="480">
        <v>1512468.45</v>
      </c>
      <c r="O245" s="478" t="str">
        <f>IFERROR(VLOOKUP(A245,[1]Approval!A:C,3,FALSE),"")</f>
        <v>FIN Approval - Internal</v>
      </c>
      <c r="P245" s="184">
        <f>IFERROR(VLOOKUP(A245,[1]Approval!A:J,10,FALSE),"")</f>
        <v>42909</v>
      </c>
      <c r="R245" s="425">
        <f>2020-YEAR(Table227[[#This Row],[In-
Service
Date]])</f>
        <v>4</v>
      </c>
      <c r="S245" s="308">
        <f>+Table227[[#This Row],[Proj To Date
Actuals]]*1.02^R245</f>
        <v>1637144.4912653519</v>
      </c>
    </row>
    <row r="246" spans="1:19" x14ac:dyDescent="0.25">
      <c r="A246" s="476" t="s">
        <v>1110</v>
      </c>
      <c r="B246" s="475" t="s">
        <v>4481</v>
      </c>
      <c r="C246" s="422" t="e">
        <f>VLOOKUP(B246,'Matter &amp; CI#'!$D$4:$E$595,2,FALSE)</f>
        <v>#N/A</v>
      </c>
      <c r="D246" s="476" t="s">
        <v>1111</v>
      </c>
      <c r="E246" s="476" t="s">
        <v>34</v>
      </c>
      <c r="F246" s="476" t="s">
        <v>9</v>
      </c>
      <c r="G246" s="475" t="s">
        <v>2013</v>
      </c>
      <c r="H246" s="516"/>
      <c r="I246" s="477" t="s">
        <v>5</v>
      </c>
      <c r="J246" s="476" t="s">
        <v>6</v>
      </c>
      <c r="K246" s="476" t="s">
        <v>7</v>
      </c>
      <c r="L246" s="184">
        <v>42643</v>
      </c>
      <c r="M246" s="184">
        <v>43862</v>
      </c>
      <c r="N246" s="480">
        <v>633511.76</v>
      </c>
      <c r="O246" s="478" t="str">
        <f>IFERROR(VLOOKUP(A246,[1]Approval!A:C,3,FALSE),"")</f>
        <v>FIN Approval - Internal</v>
      </c>
      <c r="P246" s="184">
        <f>IFERROR(VLOOKUP(A246,[1]Approval!A:J,10,FALSE),"")</f>
        <v>43700</v>
      </c>
      <c r="R246" s="425">
        <f>2020-YEAR(Table227[[#This Row],[In-
Service
Date]])</f>
        <v>4</v>
      </c>
      <c r="S246" s="308">
        <f>+Table227[[#This Row],[Proj To Date
Actuals]]*1.02^R246</f>
        <v>685733.50276220159</v>
      </c>
    </row>
    <row r="247" spans="1:19" x14ac:dyDescent="0.25">
      <c r="A247" s="476" t="s">
        <v>1636</v>
      </c>
      <c r="B247" s="475" t="s">
        <v>4527</v>
      </c>
      <c r="C247" s="422" t="e">
        <f>VLOOKUP(B247,'Matter &amp; CI#'!$D$4:$E$595,2,FALSE)</f>
        <v>#N/A</v>
      </c>
      <c r="D247" s="476" t="s">
        <v>1637</v>
      </c>
      <c r="E247" s="476" t="s">
        <v>10</v>
      </c>
      <c r="F247" s="476" t="s">
        <v>9</v>
      </c>
      <c r="G247" s="475" t="s">
        <v>2013</v>
      </c>
      <c r="H247" s="516"/>
      <c r="I247" s="477" t="s">
        <v>5</v>
      </c>
      <c r="J247" s="476" t="s">
        <v>14</v>
      </c>
      <c r="K247" s="476" t="s">
        <v>7</v>
      </c>
      <c r="L247" s="184">
        <v>42643</v>
      </c>
      <c r="M247" s="184">
        <v>42937</v>
      </c>
      <c r="N247" s="480">
        <v>56631.98</v>
      </c>
      <c r="O247" s="478" t="str">
        <f>IFERROR(VLOOKUP(A247,[1]Approval!A:C,3,FALSE),"")</f>
        <v>FIN Approval - Internal</v>
      </c>
      <c r="P247" s="184">
        <f>IFERROR(VLOOKUP(A247,[1]Approval!A:J,10,FALSE),"")</f>
        <v>42937</v>
      </c>
      <c r="R247" s="425">
        <f>2020-YEAR(Table227[[#This Row],[In-
Service
Date]])</f>
        <v>4</v>
      </c>
      <c r="S247" s="308">
        <f>+Table227[[#This Row],[Proj To Date
Actuals]]*1.02^R247</f>
        <v>61300.276436476801</v>
      </c>
    </row>
    <row r="248" spans="1:19" x14ac:dyDescent="0.25">
      <c r="A248" s="476" t="s">
        <v>1126</v>
      </c>
      <c r="B248" s="475" t="s">
        <v>4555</v>
      </c>
      <c r="C248" s="422" t="e">
        <f>VLOOKUP(B248,'Matter &amp; CI#'!$D$4:$E$595,2,FALSE)</f>
        <v>#N/A</v>
      </c>
      <c r="D248" s="476" t="s">
        <v>1127</v>
      </c>
      <c r="E248" s="476" t="s">
        <v>10</v>
      </c>
      <c r="F248" s="476" t="s">
        <v>9</v>
      </c>
      <c r="G248" s="475" t="s">
        <v>2013</v>
      </c>
      <c r="H248" s="516"/>
      <c r="I248" s="477" t="s">
        <v>5</v>
      </c>
      <c r="J248" s="476" t="s">
        <v>14</v>
      </c>
      <c r="K248" s="476" t="s">
        <v>7</v>
      </c>
      <c r="L248" s="184">
        <v>42643</v>
      </c>
      <c r="M248" s="184">
        <v>42937</v>
      </c>
      <c r="N248" s="480">
        <v>18249.53</v>
      </c>
      <c r="O248" s="478" t="str">
        <f>IFERROR(VLOOKUP(A248,[1]Approval!A:C,3,FALSE),"")</f>
        <v>FIN Approval - Internal</v>
      </c>
      <c r="P248" s="184">
        <f>IFERROR(VLOOKUP(A248,[1]Approval!A:J,10,FALSE),"")</f>
        <v>42937</v>
      </c>
      <c r="R248" s="425">
        <f>2020-YEAR(Table227[[#This Row],[In-
Service
Date]])</f>
        <v>4</v>
      </c>
      <c r="S248" s="308">
        <f>+Table227[[#This Row],[Proj To Date
Actuals]]*1.02^R248</f>
        <v>19753.878176884798</v>
      </c>
    </row>
    <row r="249" spans="1:19" x14ac:dyDescent="0.25">
      <c r="A249" s="476" t="s">
        <v>1644</v>
      </c>
      <c r="B249" s="475" t="s">
        <v>4516</v>
      </c>
      <c r="C249" s="422" t="e">
        <f>VLOOKUP(B249,'Matter &amp; CI#'!$D$4:$E$595,2,FALSE)</f>
        <v>#N/A</v>
      </c>
      <c r="D249" s="476" t="s">
        <v>1645</v>
      </c>
      <c r="E249" s="476" t="s">
        <v>10</v>
      </c>
      <c r="F249" s="476" t="s">
        <v>9</v>
      </c>
      <c r="G249" s="475" t="s">
        <v>2013</v>
      </c>
      <c r="H249" s="516"/>
      <c r="I249" s="477" t="s">
        <v>5</v>
      </c>
      <c r="J249" s="476" t="s">
        <v>14</v>
      </c>
      <c r="K249" s="476" t="s">
        <v>7</v>
      </c>
      <c r="L249" s="184">
        <v>42674</v>
      </c>
      <c r="M249" s="184">
        <v>42937</v>
      </c>
      <c r="N249" s="480">
        <v>19564.900000000001</v>
      </c>
      <c r="O249" s="478" t="str">
        <f>IFERROR(VLOOKUP(A249,[1]Approval!A:C,3,FALSE),"")</f>
        <v>FIN Approval - Internal</v>
      </c>
      <c r="P249" s="184">
        <f>IFERROR(VLOOKUP(A249,[1]Approval!A:J,10,FALSE),"")</f>
        <v>42937</v>
      </c>
      <c r="R249" s="425">
        <f>2020-YEAR(Table227[[#This Row],[In-
Service
Date]])</f>
        <v>4</v>
      </c>
      <c r="S249" s="308">
        <f>+Table227[[#This Row],[Proj To Date
Actuals]]*1.02^R249</f>
        <v>21177.676967184001</v>
      </c>
    </row>
    <row r="250" spans="1:19" x14ac:dyDescent="0.25">
      <c r="A250" s="476" t="s">
        <v>1646</v>
      </c>
      <c r="B250" s="475" t="s">
        <v>4538</v>
      </c>
      <c r="C250" s="422" t="e">
        <f>VLOOKUP(B250,'Matter &amp; CI#'!$D$4:$E$595,2,FALSE)</f>
        <v>#N/A</v>
      </c>
      <c r="D250" s="476" t="s">
        <v>1647</v>
      </c>
      <c r="E250" s="476" t="s">
        <v>10</v>
      </c>
      <c r="F250" s="476" t="s">
        <v>9</v>
      </c>
      <c r="G250" s="475" t="s">
        <v>2013</v>
      </c>
      <c r="H250" s="516"/>
      <c r="I250" s="477" t="s">
        <v>5</v>
      </c>
      <c r="J250" s="476" t="s">
        <v>12</v>
      </c>
      <c r="K250" s="476" t="s">
        <v>28</v>
      </c>
      <c r="L250" s="184">
        <v>42674</v>
      </c>
      <c r="N250" s="480">
        <v>205561.39</v>
      </c>
      <c r="O250" s="478" t="str">
        <f>IFERROR(VLOOKUP(A250,[1]Approval!A:C,3,FALSE),"")</f>
        <v>FIN Approval - Internal</v>
      </c>
      <c r="P250" s="184">
        <f>IFERROR(VLOOKUP(A250,[1]Approval!A:J,10,FALSE),"")</f>
        <v>43374</v>
      </c>
      <c r="R250" s="425">
        <f>2020-YEAR(Table227[[#This Row],[In-
Service
Date]])</f>
        <v>4</v>
      </c>
      <c r="S250" s="308">
        <f>+Table227[[#This Row],[Proj To Date
Actuals]]*1.02^R250</f>
        <v>222506.25939030241</v>
      </c>
    </row>
    <row r="251" spans="1:19" x14ac:dyDescent="0.25">
      <c r="A251" s="476" t="s">
        <v>632</v>
      </c>
      <c r="B251" s="475" t="s">
        <v>4542</v>
      </c>
      <c r="C251" s="422" t="e">
        <f>VLOOKUP(B251,'Matter &amp; CI#'!$D$4:$E$595,2,FALSE)</f>
        <v>#N/A</v>
      </c>
      <c r="D251" s="476" t="s">
        <v>633</v>
      </c>
      <c r="E251" s="476" t="s">
        <v>10</v>
      </c>
      <c r="F251" s="476" t="s">
        <v>9</v>
      </c>
      <c r="G251" s="475" t="s">
        <v>2013</v>
      </c>
      <c r="H251" s="516"/>
      <c r="I251" s="477" t="s">
        <v>5</v>
      </c>
      <c r="J251" s="476" t="s">
        <v>14</v>
      </c>
      <c r="K251" s="476" t="s">
        <v>7</v>
      </c>
      <c r="L251" s="184">
        <v>42674</v>
      </c>
      <c r="M251" s="184">
        <v>43586</v>
      </c>
      <c r="N251" s="480">
        <v>127996.43</v>
      </c>
      <c r="O251" s="478" t="str">
        <f>IFERROR(VLOOKUP(A251,[1]Approval!A:C,3,FALSE),"")</f>
        <v>FIN Approval - Internal</v>
      </c>
      <c r="P251" s="184">
        <f>IFERROR(VLOOKUP(A251,[1]Approval!A:J,10,FALSE),"")</f>
        <v>43769</v>
      </c>
      <c r="R251" s="425">
        <f>2020-YEAR(Table227[[#This Row],[In-
Service
Date]])</f>
        <v>4</v>
      </c>
      <c r="S251" s="308">
        <f>+Table227[[#This Row],[Proj To Date
Actuals]]*1.02^R251</f>
        <v>138547.4521971888</v>
      </c>
    </row>
    <row r="252" spans="1:19" x14ac:dyDescent="0.25">
      <c r="A252" s="476" t="s">
        <v>1128</v>
      </c>
      <c r="B252" s="475" t="s">
        <v>4554</v>
      </c>
      <c r="C252" s="422" t="e">
        <f>VLOOKUP(B252,'Matter &amp; CI#'!$D$4:$E$595,2,FALSE)</f>
        <v>#N/A</v>
      </c>
      <c r="D252" s="476" t="s">
        <v>1129</v>
      </c>
      <c r="E252" s="476" t="s">
        <v>10</v>
      </c>
      <c r="F252" s="476" t="s">
        <v>9</v>
      </c>
      <c r="G252" s="475" t="s">
        <v>2013</v>
      </c>
      <c r="H252" s="516"/>
      <c r="I252" s="477" t="s">
        <v>5</v>
      </c>
      <c r="J252" s="476" t="s">
        <v>14</v>
      </c>
      <c r="K252" s="476" t="s">
        <v>7</v>
      </c>
      <c r="L252" s="184">
        <v>42674</v>
      </c>
      <c r="M252" s="184">
        <v>43556</v>
      </c>
      <c r="N252" s="480">
        <v>53587.5</v>
      </c>
      <c r="O252" s="478" t="str">
        <f>IFERROR(VLOOKUP(A252,[1]Approval!A:C,3,FALSE),"")</f>
        <v>FIN Approval - Internal</v>
      </c>
      <c r="P252" s="184">
        <f>IFERROR(VLOOKUP(A252,[1]Approval!A:J,10,FALSE),"")</f>
        <v>43374</v>
      </c>
      <c r="R252" s="425">
        <f>2020-YEAR(Table227[[#This Row],[In-
Service
Date]])</f>
        <v>4</v>
      </c>
      <c r="S252" s="308">
        <f>+Table227[[#This Row],[Proj To Date
Actuals]]*1.02^R252</f>
        <v>58004.833374000002</v>
      </c>
    </row>
    <row r="253" spans="1:19" x14ac:dyDescent="0.25">
      <c r="A253" s="476" t="s">
        <v>1612</v>
      </c>
      <c r="B253" s="475" t="s">
        <v>4280</v>
      </c>
      <c r="C253" s="422" t="e">
        <f>VLOOKUP(B253,'Matter &amp; CI#'!$D$4:$E$595,2,FALSE)</f>
        <v>#N/A</v>
      </c>
      <c r="D253" s="476" t="s">
        <v>1613</v>
      </c>
      <c r="E253" s="476" t="s">
        <v>10</v>
      </c>
      <c r="F253" s="476" t="s">
        <v>9</v>
      </c>
      <c r="G253" s="475" t="s">
        <v>2013</v>
      </c>
      <c r="H253" s="516"/>
      <c r="I253" s="477" t="s">
        <v>5</v>
      </c>
      <c r="J253" s="476" t="s">
        <v>6</v>
      </c>
      <c r="K253" s="476" t="s">
        <v>7</v>
      </c>
      <c r="L253" s="184">
        <v>42704</v>
      </c>
      <c r="M253" s="184">
        <v>43556</v>
      </c>
      <c r="N253" s="480">
        <v>237079.49</v>
      </c>
      <c r="O253" s="478" t="str">
        <f>IFERROR(VLOOKUP(A253,[1]Approval!A:C,3,FALSE),"")</f>
        <v>FIN Approval - Internal</v>
      </c>
      <c r="P253" s="184">
        <f>IFERROR(VLOOKUP(A253,[1]Approval!A:J,10,FALSE),"")</f>
        <v>43468</v>
      </c>
      <c r="R253" s="425">
        <f>2020-YEAR(Table227[[#This Row],[In-
Service
Date]])</f>
        <v>4</v>
      </c>
      <c r="S253" s="308">
        <f>+Table227[[#This Row],[Proj To Date
Actuals]]*1.02^R253</f>
        <v>256622.46445239839</v>
      </c>
    </row>
    <row r="254" spans="1:19" x14ac:dyDescent="0.25">
      <c r="A254" s="476" t="s">
        <v>827</v>
      </c>
      <c r="B254" s="475" t="s">
        <v>4340</v>
      </c>
      <c r="C254" s="422" t="e">
        <f>VLOOKUP(B254,'Matter &amp; CI#'!$D$4:$E$595,2,FALSE)</f>
        <v>#N/A</v>
      </c>
      <c r="D254" s="476" t="s">
        <v>828</v>
      </c>
      <c r="E254" s="476" t="s">
        <v>10</v>
      </c>
      <c r="F254" s="476" t="s">
        <v>9</v>
      </c>
      <c r="G254" s="475" t="s">
        <v>2013</v>
      </c>
      <c r="H254" s="516"/>
      <c r="I254" s="477" t="s">
        <v>5</v>
      </c>
      <c r="J254" s="476" t="s">
        <v>14</v>
      </c>
      <c r="K254" s="476" t="s">
        <v>7</v>
      </c>
      <c r="L254" s="184">
        <v>42704</v>
      </c>
      <c r="M254" s="184">
        <v>42937</v>
      </c>
      <c r="N254" s="480">
        <v>141567.78</v>
      </c>
      <c r="O254" s="478" t="str">
        <f>IFERROR(VLOOKUP(A254,[1]Approval!A:C,3,FALSE),"")</f>
        <v>FIN Approval - Internal</v>
      </c>
      <c r="P254" s="184">
        <f>IFERROR(VLOOKUP(A254,[1]Approval!A:J,10,FALSE),"")</f>
        <v>42937</v>
      </c>
      <c r="R254" s="425">
        <f>2020-YEAR(Table227[[#This Row],[In-
Service
Date]])</f>
        <v>4</v>
      </c>
      <c r="S254" s="308">
        <f>+Table227[[#This Row],[Proj To Date
Actuals]]*1.02^R254</f>
        <v>153237.5178918048</v>
      </c>
    </row>
    <row r="255" spans="1:19" x14ac:dyDescent="0.25">
      <c r="A255" s="476" t="s">
        <v>616</v>
      </c>
      <c r="B255" s="475" t="s">
        <v>4496</v>
      </c>
      <c r="C255" s="422" t="e">
        <f>VLOOKUP(B255,'Matter &amp; CI#'!$D$4:$E$595,2,FALSE)</f>
        <v>#N/A</v>
      </c>
      <c r="D255" s="476" t="s">
        <v>617</v>
      </c>
      <c r="E255" s="476" t="s">
        <v>10</v>
      </c>
      <c r="F255" s="476" t="s">
        <v>9</v>
      </c>
      <c r="G255" s="475" t="s">
        <v>2013</v>
      </c>
      <c r="H255" s="516"/>
      <c r="I255" s="477" t="s">
        <v>5</v>
      </c>
      <c r="J255" s="476" t="s">
        <v>14</v>
      </c>
      <c r="K255" s="476" t="s">
        <v>28</v>
      </c>
      <c r="L255" s="184">
        <v>42704</v>
      </c>
      <c r="N255" s="480">
        <v>235281.26</v>
      </c>
      <c r="O255" s="478" t="str">
        <f>IFERROR(VLOOKUP(A255,[1]Approval!A:C,3,FALSE),"")</f>
        <v>FIN Approval - Internal</v>
      </c>
      <c r="P255" s="184">
        <f>IFERROR(VLOOKUP(A255,[1]Approval!A:J,10,FALSE),"")</f>
        <v>43374</v>
      </c>
      <c r="R255" s="425">
        <f>2020-YEAR(Table227[[#This Row],[In-
Service
Date]])</f>
        <v>4</v>
      </c>
      <c r="S255" s="308">
        <f>+Table227[[#This Row],[Proj To Date
Actuals]]*1.02^R255</f>
        <v>254676.0024693216</v>
      </c>
    </row>
    <row r="256" spans="1:19" x14ac:dyDescent="0.25">
      <c r="A256" s="476" t="s">
        <v>1108</v>
      </c>
      <c r="B256" s="475" t="s">
        <v>4503</v>
      </c>
      <c r="C256" s="422" t="e">
        <f>VLOOKUP(B256,'Matter &amp; CI#'!$D$4:$E$595,2,FALSE)</f>
        <v>#N/A</v>
      </c>
      <c r="D256" s="476" t="s">
        <v>1109</v>
      </c>
      <c r="E256" s="476" t="s">
        <v>10</v>
      </c>
      <c r="F256" s="476" t="s">
        <v>9</v>
      </c>
      <c r="G256" s="475" t="s">
        <v>2013</v>
      </c>
      <c r="H256" s="516"/>
      <c r="I256" s="477" t="s">
        <v>5</v>
      </c>
      <c r="J256" s="476" t="s">
        <v>12</v>
      </c>
      <c r="K256" s="476" t="s">
        <v>7</v>
      </c>
      <c r="L256" s="184">
        <v>42704</v>
      </c>
      <c r="M256" s="184">
        <v>43556</v>
      </c>
      <c r="N256" s="480">
        <v>115393.78</v>
      </c>
      <c r="O256" s="478" t="str">
        <f>IFERROR(VLOOKUP(A256,[1]Approval!A:C,3,FALSE),"")</f>
        <v>FIN Approval - Internal</v>
      </c>
      <c r="P256" s="184">
        <f>IFERROR(VLOOKUP(A256,[1]Approval!A:J,10,FALSE),"")</f>
        <v>43374</v>
      </c>
      <c r="R256" s="425">
        <f>2020-YEAR(Table227[[#This Row],[In-
Service
Date]])</f>
        <v>4</v>
      </c>
      <c r="S256" s="308">
        <f>+Table227[[#This Row],[Proj To Date
Actuals]]*1.02^R256</f>
        <v>124905.9385359648</v>
      </c>
    </row>
    <row r="257" spans="1:19" x14ac:dyDescent="0.25">
      <c r="A257" s="476" t="s">
        <v>1652</v>
      </c>
      <c r="B257" s="475" t="s">
        <v>4526</v>
      </c>
      <c r="C257" s="422" t="e">
        <f>VLOOKUP(B257,'Matter &amp; CI#'!$D$4:$E$595,2,FALSE)</f>
        <v>#N/A</v>
      </c>
      <c r="D257" s="476" t="s">
        <v>1653</v>
      </c>
      <c r="E257" s="476" t="s">
        <v>10</v>
      </c>
      <c r="F257" s="476" t="s">
        <v>9</v>
      </c>
      <c r="G257" s="475" t="s">
        <v>2013</v>
      </c>
      <c r="H257" s="516"/>
      <c r="I257" s="477" t="s">
        <v>5</v>
      </c>
      <c r="J257" s="476" t="s">
        <v>40</v>
      </c>
      <c r="K257" s="476" t="s">
        <v>7</v>
      </c>
      <c r="L257" s="184">
        <v>42724</v>
      </c>
      <c r="M257" s="184">
        <v>43862</v>
      </c>
      <c r="N257" s="480">
        <v>65481.2</v>
      </c>
      <c r="O257" s="478" t="str">
        <f>IFERROR(VLOOKUP(A257,[1]Approval!A:C,3,FALSE),"")</f>
        <v>FIN Approval - Internal</v>
      </c>
      <c r="P257" s="184">
        <f>IFERROR(VLOOKUP(A257,[1]Approval!A:J,10,FALSE),"")</f>
        <v>43677</v>
      </c>
      <c r="R257" s="425">
        <f>2020-YEAR(Table227[[#This Row],[In-
Service
Date]])</f>
        <v>4</v>
      </c>
      <c r="S257" s="308">
        <f>+Table227[[#This Row],[Proj To Date
Actuals]]*1.02^R257</f>
        <v>70878.956755391991</v>
      </c>
    </row>
    <row r="258" spans="1:19" x14ac:dyDescent="0.25">
      <c r="A258" s="476" t="s">
        <v>156</v>
      </c>
      <c r="B258" s="475" t="s">
        <v>4265</v>
      </c>
      <c r="C258" s="422" t="e">
        <f>VLOOKUP(B258,'Matter &amp; CI#'!$D$4:$E$595,2,FALSE)</f>
        <v>#N/A</v>
      </c>
      <c r="D258" s="476" t="s">
        <v>157</v>
      </c>
      <c r="E258" s="476" t="s">
        <v>10</v>
      </c>
      <c r="F258" s="476" t="s">
        <v>9</v>
      </c>
      <c r="G258" s="475" t="s">
        <v>2013</v>
      </c>
      <c r="H258" s="516"/>
      <c r="I258" s="477" t="s">
        <v>5</v>
      </c>
      <c r="J258" s="476" t="s">
        <v>6</v>
      </c>
      <c r="K258" s="476" t="s">
        <v>28</v>
      </c>
      <c r="L258" s="184">
        <v>42735</v>
      </c>
      <c r="N258" s="480">
        <v>768988.06</v>
      </c>
      <c r="O258" s="478" t="str">
        <f>IFERROR(VLOOKUP(A258,[1]Approval!A:C,3,FALSE),"")</f>
        <v>FIN Approval - Internal</v>
      </c>
      <c r="P258" s="184">
        <f>IFERROR(VLOOKUP(A258,[1]Approval!A:J,10,FALSE),"")</f>
        <v>43452</v>
      </c>
      <c r="R258" s="425">
        <f>2020-YEAR(Table227[[#This Row],[In-
Service
Date]])</f>
        <v>4</v>
      </c>
      <c r="S258" s="308">
        <f>+Table227[[#This Row],[Proj To Date
Actuals]]*1.02^R258</f>
        <v>832377.40680000966</v>
      </c>
    </row>
    <row r="259" spans="1:19" x14ac:dyDescent="0.25">
      <c r="A259" s="476" t="s">
        <v>869</v>
      </c>
      <c r="B259" s="475" t="s">
        <v>4528</v>
      </c>
      <c r="C259" s="422" t="e">
        <f>VLOOKUP(B259,'Matter &amp; CI#'!$D$4:$E$595,2,FALSE)</f>
        <v>#N/A</v>
      </c>
      <c r="D259" s="476" t="s">
        <v>870</v>
      </c>
      <c r="E259" s="476" t="s">
        <v>10</v>
      </c>
      <c r="F259" s="476" t="s">
        <v>9</v>
      </c>
      <c r="G259" s="475" t="s">
        <v>2013</v>
      </c>
      <c r="H259" s="516"/>
      <c r="I259" s="477" t="s">
        <v>5</v>
      </c>
      <c r="J259" s="476" t="s">
        <v>14</v>
      </c>
      <c r="K259" s="476" t="s">
        <v>7</v>
      </c>
      <c r="L259" s="184">
        <v>42735</v>
      </c>
      <c r="M259" s="184">
        <v>43556</v>
      </c>
      <c r="N259" s="480">
        <v>114626.83</v>
      </c>
      <c r="O259" s="478" t="str">
        <f>IFERROR(VLOOKUP(A259,[1]Approval!A:C,3,FALSE),"")</f>
        <v>FIN Approval - Internal</v>
      </c>
      <c r="P259" s="184">
        <f>IFERROR(VLOOKUP(A259,[1]Approval!A:J,10,FALSE),"")</f>
        <v>43454</v>
      </c>
      <c r="R259" s="425">
        <f>2020-YEAR(Table227[[#This Row],[In-
Service
Date]])</f>
        <v>4</v>
      </c>
      <c r="S259" s="308">
        <f>+Table227[[#This Row],[Proj To Date
Actuals]]*1.02^R259</f>
        <v>124075.7671908528</v>
      </c>
    </row>
    <row r="260" spans="1:19" x14ac:dyDescent="0.25">
      <c r="A260" s="476" t="s">
        <v>1378</v>
      </c>
      <c r="B260" s="475" t="s">
        <v>4539</v>
      </c>
      <c r="C260" s="422" t="e">
        <f>VLOOKUP(B260,'Matter &amp; CI#'!$D$4:$E$595,2,FALSE)</f>
        <v>#N/A</v>
      </c>
      <c r="D260" s="476" t="s">
        <v>1379</v>
      </c>
      <c r="E260" s="476" t="s">
        <v>10</v>
      </c>
      <c r="F260" s="476" t="s">
        <v>9</v>
      </c>
      <c r="G260" s="475" t="s">
        <v>2013</v>
      </c>
      <c r="H260" s="516"/>
      <c r="I260" s="477" t="s">
        <v>5</v>
      </c>
      <c r="J260" s="476" t="s">
        <v>131</v>
      </c>
      <c r="K260" s="476" t="s">
        <v>7</v>
      </c>
      <c r="L260" s="184">
        <v>42735</v>
      </c>
      <c r="M260" s="184">
        <v>42937</v>
      </c>
      <c r="N260" s="480">
        <v>123281.16</v>
      </c>
      <c r="O260" s="478" t="str">
        <f>IFERROR(VLOOKUP(A260,[1]Approval!A:C,3,FALSE),"")</f>
        <v>FIN Approval - Internal</v>
      </c>
      <c r="P260" s="184">
        <f>IFERROR(VLOOKUP(A260,[1]Approval!A:J,10,FALSE),"")</f>
        <v>42937</v>
      </c>
      <c r="R260" s="425">
        <f>2020-YEAR(Table227[[#This Row],[In-
Service
Date]])</f>
        <v>4</v>
      </c>
      <c r="S260" s="308">
        <f>+Table227[[#This Row],[Proj To Date
Actuals]]*1.02^R260</f>
        <v>133443.49230610559</v>
      </c>
    </row>
    <row r="261" spans="1:19" x14ac:dyDescent="0.25">
      <c r="A261" s="476" t="s">
        <v>1650</v>
      </c>
      <c r="B261" s="475" t="s">
        <v>4601</v>
      </c>
      <c r="C261" s="422" t="e">
        <f>VLOOKUP(B261,'Matter &amp; CI#'!$D$4:$E$595,2,FALSE)</f>
        <v>#N/A</v>
      </c>
      <c r="D261" s="476" t="s">
        <v>1651</v>
      </c>
      <c r="E261" s="476" t="s">
        <v>10</v>
      </c>
      <c r="F261" s="476" t="s">
        <v>9</v>
      </c>
      <c r="G261" s="475" t="s">
        <v>2013</v>
      </c>
      <c r="H261" s="516"/>
      <c r="I261" s="477" t="s">
        <v>5</v>
      </c>
      <c r="J261" s="476" t="s">
        <v>12</v>
      </c>
      <c r="K261" s="476" t="s">
        <v>7</v>
      </c>
      <c r="L261" s="184">
        <v>42735</v>
      </c>
      <c r="M261" s="184">
        <v>43343</v>
      </c>
      <c r="N261" s="480">
        <v>473037.99</v>
      </c>
      <c r="O261" s="478" t="str">
        <f>IFERROR(VLOOKUP(A261,[1]Approval!A:C,3,FALSE),"")</f>
        <v>FIN Approval - Internal</v>
      </c>
      <c r="P261" s="184">
        <f>IFERROR(VLOOKUP(A261,[1]Approval!A:J,10,FALSE),"")</f>
        <v>43280</v>
      </c>
      <c r="R261" s="425">
        <f>2020-YEAR(Table227[[#This Row],[In-
Service
Date]])</f>
        <v>4</v>
      </c>
      <c r="S261" s="308">
        <f>+Table227[[#This Row],[Proj To Date
Actuals]]*1.02^R261</f>
        <v>512031.5332777584</v>
      </c>
    </row>
    <row r="262" spans="1:19" x14ac:dyDescent="0.25">
      <c r="A262" s="476" t="s">
        <v>638</v>
      </c>
      <c r="B262" s="475" t="s">
        <v>4602</v>
      </c>
      <c r="C262" s="422" t="e">
        <f>VLOOKUP(B262,'Matter &amp; CI#'!$D$4:$E$595,2,FALSE)</f>
        <v>#N/A</v>
      </c>
      <c r="D262" s="476" t="s">
        <v>639</v>
      </c>
      <c r="E262" s="476" t="s">
        <v>10</v>
      </c>
      <c r="F262" s="476" t="s">
        <v>9</v>
      </c>
      <c r="G262" s="475" t="s">
        <v>2013</v>
      </c>
      <c r="H262" s="516"/>
      <c r="I262" s="477" t="s">
        <v>5</v>
      </c>
      <c r="J262" s="476" t="s">
        <v>43</v>
      </c>
      <c r="K262" s="476" t="s">
        <v>7</v>
      </c>
      <c r="L262" s="184">
        <v>42735</v>
      </c>
      <c r="M262" s="184">
        <v>43586</v>
      </c>
      <c r="N262" s="480">
        <v>208557.35</v>
      </c>
      <c r="O262" s="478" t="str">
        <f>IFERROR(VLOOKUP(A262,[1]Approval!A:C,3,FALSE),"")</f>
        <v>FIN Approval - Internal</v>
      </c>
      <c r="P262" s="184">
        <f>IFERROR(VLOOKUP(A262,[1]Approval!A:J,10,FALSE),"")</f>
        <v>43507</v>
      </c>
      <c r="R262" s="425">
        <f>2020-YEAR(Table227[[#This Row],[In-
Service
Date]])</f>
        <v>4</v>
      </c>
      <c r="S262" s="308">
        <f>+Table227[[#This Row],[Proj To Date
Actuals]]*1.02^R262</f>
        <v>225749.18284437599</v>
      </c>
    </row>
    <row r="263" spans="1:19" x14ac:dyDescent="0.25">
      <c r="A263" s="476" t="s">
        <v>189</v>
      </c>
      <c r="B263" s="475" t="s">
        <v>4606</v>
      </c>
      <c r="C263" s="422" t="e">
        <f>VLOOKUP(B263,'Matter &amp; CI#'!$D$4:$E$595,2,FALSE)</f>
        <v>#N/A</v>
      </c>
      <c r="D263" s="476" t="s">
        <v>190</v>
      </c>
      <c r="E263" s="476" t="s">
        <v>34</v>
      </c>
      <c r="F263" s="476" t="s">
        <v>9</v>
      </c>
      <c r="G263" s="475" t="s">
        <v>2013</v>
      </c>
      <c r="H263" s="516"/>
      <c r="I263" s="477" t="s">
        <v>5</v>
      </c>
      <c r="J263" s="476" t="s">
        <v>6</v>
      </c>
      <c r="K263" s="476" t="s">
        <v>28</v>
      </c>
      <c r="L263" s="184">
        <v>42745</v>
      </c>
      <c r="N263" s="480">
        <v>692360.97</v>
      </c>
      <c r="O263" s="478" t="str">
        <f>IFERROR(VLOOKUP(A263,[1]Approval!A:C,3,FALSE),"")</f>
        <v/>
      </c>
      <c r="P263" s="184" t="str">
        <f>IFERROR(VLOOKUP(A263,[1]Approval!A:J,10,FALSE),"")</f>
        <v/>
      </c>
      <c r="R263" s="425">
        <f>2020-YEAR(Table227[[#This Row],[In-
Service
Date]])</f>
        <v>3</v>
      </c>
      <c r="S263" s="308">
        <f>+Table227[[#This Row],[Proj To Date
Actuals]]*1.02^R263</f>
        <v>734739.00025175989</v>
      </c>
    </row>
    <row r="264" spans="1:19" x14ac:dyDescent="0.25">
      <c r="A264" s="476" t="s">
        <v>429</v>
      </c>
      <c r="B264" s="475" t="s">
        <v>4605</v>
      </c>
      <c r="C264" s="422" t="e">
        <f>VLOOKUP(B264,'Matter &amp; CI#'!$D$4:$E$595,2,FALSE)</f>
        <v>#N/A</v>
      </c>
      <c r="D264" s="476" t="s">
        <v>430</v>
      </c>
      <c r="E264" s="476" t="s">
        <v>10</v>
      </c>
      <c r="F264" s="476" t="s">
        <v>9</v>
      </c>
      <c r="G264" s="475" t="s">
        <v>2013</v>
      </c>
      <c r="H264" s="516"/>
      <c r="I264" s="477" t="s">
        <v>5</v>
      </c>
      <c r="J264" s="476" t="s">
        <v>182</v>
      </c>
      <c r="K264" s="476" t="s">
        <v>7</v>
      </c>
      <c r="L264" s="184">
        <v>42760</v>
      </c>
      <c r="M264" s="184">
        <v>43738</v>
      </c>
      <c r="N264" s="480">
        <v>1712892.76</v>
      </c>
      <c r="O264" s="478" t="str">
        <f>IFERROR(VLOOKUP(A264,[1]Approval!A:C,3,FALSE),"")</f>
        <v>FIN Approval - Internal</v>
      </c>
      <c r="P264" s="184">
        <f>IFERROR(VLOOKUP(A264,[1]Approval!A:J,10,FALSE),"")</f>
        <v>43677</v>
      </c>
      <c r="R264" s="425">
        <f>2020-YEAR(Table227[[#This Row],[In-
Service
Date]])</f>
        <v>3</v>
      </c>
      <c r="S264" s="308">
        <f>+Table227[[#This Row],[Proj To Date
Actuals]]*1.02^R264</f>
        <v>1817735.5000540798</v>
      </c>
    </row>
    <row r="265" spans="1:19" x14ac:dyDescent="0.25">
      <c r="A265" s="476" t="s">
        <v>883</v>
      </c>
      <c r="B265" s="475" t="s">
        <v>4615</v>
      </c>
      <c r="C265" s="422" t="e">
        <f>VLOOKUP(B265,'Matter &amp; CI#'!$D$4:$E$595,2,FALSE)</f>
        <v>#N/A</v>
      </c>
      <c r="D265" s="476" t="s">
        <v>884</v>
      </c>
      <c r="E265" s="476" t="s">
        <v>10</v>
      </c>
      <c r="F265" s="476" t="s">
        <v>9</v>
      </c>
      <c r="G265" s="475" t="s">
        <v>2013</v>
      </c>
      <c r="H265" s="516"/>
      <c r="I265" s="477" t="s">
        <v>5</v>
      </c>
      <c r="J265" s="476" t="s">
        <v>14</v>
      </c>
      <c r="K265" s="476" t="s">
        <v>7</v>
      </c>
      <c r="L265" s="184">
        <v>42794</v>
      </c>
      <c r="M265" s="184">
        <v>43586</v>
      </c>
      <c r="N265" s="480">
        <v>31722.82</v>
      </c>
      <c r="O265" s="478" t="str">
        <f>IFERROR(VLOOKUP(A265,[1]Approval!A:C,3,FALSE),"")</f>
        <v>FIN Approval - Internal</v>
      </c>
      <c r="P265" s="184">
        <f>IFERROR(VLOOKUP(A265,[1]Approval!A:J,10,FALSE),"")</f>
        <v>43507</v>
      </c>
      <c r="R265" s="425">
        <f>2020-YEAR(Table227[[#This Row],[In-
Service
Date]])</f>
        <v>3</v>
      </c>
      <c r="S265" s="308">
        <f>+Table227[[#This Row],[Proj To Date
Actuals]]*1.02^R265</f>
        <v>33664.510366559996</v>
      </c>
    </row>
    <row r="266" spans="1:19" x14ac:dyDescent="0.25">
      <c r="A266" s="476" t="s">
        <v>1389</v>
      </c>
      <c r="B266" s="475" t="s">
        <v>4620</v>
      </c>
      <c r="C266" s="422" t="e">
        <f>VLOOKUP(B266,'Matter &amp; CI#'!$D$4:$E$595,2,FALSE)</f>
        <v>#N/A</v>
      </c>
      <c r="D266" s="476" t="s">
        <v>1390</v>
      </c>
      <c r="E266" s="476" t="s">
        <v>10</v>
      </c>
      <c r="F266" s="476" t="s">
        <v>9</v>
      </c>
      <c r="G266" s="475" t="s">
        <v>2013</v>
      </c>
      <c r="H266" s="516"/>
      <c r="I266" s="477" t="s">
        <v>5</v>
      </c>
      <c r="J266" s="476" t="s">
        <v>14</v>
      </c>
      <c r="K266" s="476" t="s">
        <v>7</v>
      </c>
      <c r="L266" s="184">
        <v>42794</v>
      </c>
      <c r="M266" s="184">
        <v>43556</v>
      </c>
      <c r="N266" s="480">
        <v>12851.58</v>
      </c>
      <c r="O266" s="478" t="str">
        <f>IFERROR(VLOOKUP(A266,[1]Approval!A:C,3,FALSE),"")</f>
        <v>FIN Approval - Internal</v>
      </c>
      <c r="P266" s="184">
        <f>IFERROR(VLOOKUP(A266,[1]Approval!A:J,10,FALSE),"")</f>
        <v>43452</v>
      </c>
      <c r="R266" s="425">
        <f>2020-YEAR(Table227[[#This Row],[In-
Service
Date]])</f>
        <v>3</v>
      </c>
      <c r="S266" s="308">
        <f>+Table227[[#This Row],[Proj To Date
Actuals]]*1.02^R266</f>
        <v>13638.199508639998</v>
      </c>
    </row>
    <row r="267" spans="1:19" x14ac:dyDescent="0.25">
      <c r="A267" s="476" t="s">
        <v>383</v>
      </c>
      <c r="B267" s="475" t="s">
        <v>4283</v>
      </c>
      <c r="C267" s="422" t="e">
        <f>VLOOKUP(B267,'Matter &amp; CI#'!$D$4:$E$595,2,FALSE)</f>
        <v>#N/A</v>
      </c>
      <c r="D267" s="476" t="s">
        <v>384</v>
      </c>
      <c r="E267" s="476" t="s">
        <v>10</v>
      </c>
      <c r="F267" s="476" t="s">
        <v>9</v>
      </c>
      <c r="G267" s="475" t="s">
        <v>2013</v>
      </c>
      <c r="H267" s="516"/>
      <c r="I267" s="477" t="s">
        <v>5</v>
      </c>
      <c r="J267" s="476" t="s">
        <v>6</v>
      </c>
      <c r="K267" s="476" t="s">
        <v>7</v>
      </c>
      <c r="L267" s="184">
        <v>42825</v>
      </c>
      <c r="M267" s="184">
        <v>43556</v>
      </c>
      <c r="N267" s="480">
        <v>845160.57</v>
      </c>
      <c r="O267" s="478" t="str">
        <f>IFERROR(VLOOKUP(A267,[1]Approval!A:C,3,FALSE),"")</f>
        <v>FIN Approval - Internal</v>
      </c>
      <c r="P267" s="184">
        <f>IFERROR(VLOOKUP(A267,[1]Approval!A:J,10,FALSE),"")</f>
        <v>43452</v>
      </c>
      <c r="R267" s="425">
        <f>2020-YEAR(Table227[[#This Row],[In-
Service
Date]])</f>
        <v>3</v>
      </c>
      <c r="S267" s="308">
        <f>+Table227[[#This Row],[Proj To Date
Actuals]]*1.02^R267</f>
        <v>896891.15816855989</v>
      </c>
    </row>
    <row r="268" spans="1:19" x14ac:dyDescent="0.25">
      <c r="A268" s="476" t="s">
        <v>1372</v>
      </c>
      <c r="B268" s="475" t="s">
        <v>4437</v>
      </c>
      <c r="C268" s="422" t="e">
        <f>VLOOKUP(B268,'Matter &amp; CI#'!$D$4:$E$595,2,FALSE)</f>
        <v>#N/A</v>
      </c>
      <c r="D268" s="476" t="s">
        <v>1373</v>
      </c>
      <c r="E268" s="476" t="s">
        <v>10</v>
      </c>
      <c r="F268" s="476" t="s">
        <v>9</v>
      </c>
      <c r="G268" s="475" t="s">
        <v>2013</v>
      </c>
      <c r="H268" s="516"/>
      <c r="I268" s="477" t="s">
        <v>5</v>
      </c>
      <c r="J268" s="476" t="s">
        <v>6</v>
      </c>
      <c r="K268" s="476" t="s">
        <v>7</v>
      </c>
      <c r="L268" s="184">
        <v>42825</v>
      </c>
      <c r="M268" s="184">
        <v>43586</v>
      </c>
      <c r="N268" s="480">
        <v>302903.59000000003</v>
      </c>
      <c r="O268" s="478" t="str">
        <f>IFERROR(VLOOKUP(A268,[1]Approval!A:C,3,FALSE),"")</f>
        <v>FIN Approval - Internal</v>
      </c>
      <c r="P268" s="184">
        <f>IFERROR(VLOOKUP(A268,[1]Approval!A:J,10,FALSE),"")</f>
        <v>43553</v>
      </c>
      <c r="R268" s="425">
        <f>2020-YEAR(Table227[[#This Row],[In-
Service
Date]])</f>
        <v>3</v>
      </c>
      <c r="S268" s="308">
        <f>+Table227[[#This Row],[Proj To Date
Actuals]]*1.02^R268</f>
        <v>321443.71293672</v>
      </c>
    </row>
    <row r="269" spans="1:19" x14ac:dyDescent="0.25">
      <c r="A269" s="476" t="s">
        <v>1104</v>
      </c>
      <c r="B269" s="475" t="s">
        <v>4443</v>
      </c>
      <c r="C269" s="422" t="e">
        <f>VLOOKUP(B269,'Matter &amp; CI#'!$D$4:$E$595,2,FALSE)</f>
        <v>#N/A</v>
      </c>
      <c r="D269" s="476" t="s">
        <v>1105</v>
      </c>
      <c r="E269" s="476" t="s">
        <v>10</v>
      </c>
      <c r="F269" s="476" t="s">
        <v>9</v>
      </c>
      <c r="G269" s="475" t="s">
        <v>2013</v>
      </c>
      <c r="H269" s="516"/>
      <c r="I269" s="477" t="s">
        <v>5</v>
      </c>
      <c r="J269" s="476" t="s">
        <v>6</v>
      </c>
      <c r="K269" s="476" t="s">
        <v>7</v>
      </c>
      <c r="L269" s="184">
        <v>42825</v>
      </c>
      <c r="M269" s="184">
        <v>44136</v>
      </c>
      <c r="N269" s="480">
        <v>1700924.43</v>
      </c>
      <c r="O269" s="478" t="str">
        <f>IFERROR(VLOOKUP(A269,[1]Approval!A:C,3,FALSE),"")</f>
        <v>FIN Approval - Internal</v>
      </c>
      <c r="P269" s="184">
        <f>IFERROR(VLOOKUP(A269,[1]Approval!A:J,10,FALSE),"")</f>
        <v>43999</v>
      </c>
      <c r="R269" s="425">
        <f>2020-YEAR(Table227[[#This Row],[In-
Service
Date]])</f>
        <v>3</v>
      </c>
      <c r="S269" s="308">
        <f>+Table227[[#This Row],[Proj To Date
Actuals]]*1.02^R269</f>
        <v>1805034.6125114397</v>
      </c>
    </row>
    <row r="270" spans="1:19" x14ac:dyDescent="0.25">
      <c r="A270" s="476" t="s">
        <v>425</v>
      </c>
      <c r="B270" s="475" t="s">
        <v>4492</v>
      </c>
      <c r="C270" s="422" t="e">
        <f>VLOOKUP(B270,'Matter &amp; CI#'!$D$4:$E$595,2,FALSE)</f>
        <v>#N/A</v>
      </c>
      <c r="D270" s="476" t="s">
        <v>426</v>
      </c>
      <c r="E270" s="476" t="s">
        <v>10</v>
      </c>
      <c r="F270" s="476" t="s">
        <v>9</v>
      </c>
      <c r="G270" s="475" t="s">
        <v>2013</v>
      </c>
      <c r="H270" s="516"/>
      <c r="I270" s="477" t="s">
        <v>5</v>
      </c>
      <c r="J270" s="476" t="s">
        <v>6</v>
      </c>
      <c r="K270" s="476" t="s">
        <v>7</v>
      </c>
      <c r="L270" s="184">
        <v>42825</v>
      </c>
      <c r="M270" s="184">
        <v>44136</v>
      </c>
      <c r="N270" s="480">
        <v>520454.6</v>
      </c>
      <c r="O270" s="478" t="str">
        <f>IFERROR(VLOOKUP(A270,[1]Approval!A:C,3,FALSE),"")</f>
        <v>FIN Approval - Internal</v>
      </c>
      <c r="P270" s="184">
        <f>IFERROR(VLOOKUP(A270,[1]Approval!A:J,10,FALSE),"")</f>
        <v>43999</v>
      </c>
      <c r="R270" s="425">
        <f>2020-YEAR(Table227[[#This Row],[In-
Service
Date]])</f>
        <v>3</v>
      </c>
      <c r="S270" s="308">
        <f>+Table227[[#This Row],[Proj To Date
Actuals]]*1.02^R270</f>
        <v>552310.58515679999</v>
      </c>
    </row>
    <row r="271" spans="1:19" x14ac:dyDescent="0.25">
      <c r="A271" s="476" t="s">
        <v>435</v>
      </c>
      <c r="B271" s="475" t="s">
        <v>4569</v>
      </c>
      <c r="C271" s="422" t="e">
        <f>VLOOKUP(B271,'Matter &amp; CI#'!$D$4:$E$595,2,FALSE)</f>
        <v>#N/A</v>
      </c>
      <c r="D271" s="476" t="s">
        <v>436</v>
      </c>
      <c r="E271" s="476" t="s">
        <v>10</v>
      </c>
      <c r="F271" s="476" t="s">
        <v>9</v>
      </c>
      <c r="G271" s="475" t="s">
        <v>2013</v>
      </c>
      <c r="H271" s="516"/>
      <c r="I271" s="477" t="s">
        <v>5</v>
      </c>
      <c r="J271" s="476" t="s">
        <v>6</v>
      </c>
      <c r="K271" s="476" t="s">
        <v>7</v>
      </c>
      <c r="L271" s="184">
        <v>42825</v>
      </c>
      <c r="M271" s="184">
        <v>44228</v>
      </c>
      <c r="N271" s="480">
        <v>604785.22</v>
      </c>
      <c r="O271" s="478" t="str">
        <f>IFERROR(VLOOKUP(A271,[1]Approval!A:C,3,FALSE),"")</f>
        <v>FIN Approval - Internal</v>
      </c>
      <c r="P271" s="184">
        <f>IFERROR(VLOOKUP(A271,[1]Approval!A:J,10,FALSE),"")</f>
        <v>44105</v>
      </c>
      <c r="R271" s="425">
        <f>2020-YEAR(Table227[[#This Row],[In-
Service
Date]])</f>
        <v>3</v>
      </c>
      <c r="S271" s="308">
        <f>+Table227[[#This Row],[Proj To Date
Actuals]]*1.02^R271</f>
        <v>641802.91374575987</v>
      </c>
    </row>
    <row r="272" spans="1:19" x14ac:dyDescent="0.25">
      <c r="A272" s="476" t="s">
        <v>1917</v>
      </c>
      <c r="B272" s="475" t="s">
        <v>4594</v>
      </c>
      <c r="C272" s="422" t="e">
        <f>VLOOKUP(B272,'Matter &amp; CI#'!$D$4:$E$595,2,FALSE)</f>
        <v>#N/A</v>
      </c>
      <c r="D272" s="476" t="s">
        <v>1918</v>
      </c>
      <c r="E272" s="476" t="s">
        <v>10</v>
      </c>
      <c r="F272" s="476" t="s">
        <v>9</v>
      </c>
      <c r="G272" s="475" t="s">
        <v>2013</v>
      </c>
      <c r="H272" s="516"/>
      <c r="I272" s="477" t="s">
        <v>5</v>
      </c>
      <c r="J272" s="476" t="s">
        <v>6</v>
      </c>
      <c r="K272" s="476" t="s">
        <v>28</v>
      </c>
      <c r="L272" s="184">
        <v>42825</v>
      </c>
      <c r="N272" s="480">
        <v>1708846.23</v>
      </c>
      <c r="O272" s="478" t="str">
        <f>IFERROR(VLOOKUP(A272,[1]Approval!A:C,3,FALSE),"")</f>
        <v/>
      </c>
      <c r="P272" s="184" t="str">
        <f>IFERROR(VLOOKUP(A272,[1]Approval!A:J,10,FALSE),"")</f>
        <v/>
      </c>
      <c r="R272" s="425">
        <f>2020-YEAR(Table227[[#This Row],[In-
Service
Date]])</f>
        <v>3</v>
      </c>
      <c r="S272" s="308">
        <f>+Table227[[#This Row],[Proj To Date
Actuals]]*1.02^R272</f>
        <v>1813441.29004584</v>
      </c>
    </row>
    <row r="273" spans="1:19" x14ac:dyDescent="0.25">
      <c r="A273" s="476" t="s">
        <v>172</v>
      </c>
      <c r="B273" s="475" t="s">
        <v>4604</v>
      </c>
      <c r="C273" s="422" t="e">
        <f>VLOOKUP(B273,'Matter &amp; CI#'!$D$4:$E$595,2,FALSE)</f>
        <v>#N/A</v>
      </c>
      <c r="D273" s="476" t="s">
        <v>173</v>
      </c>
      <c r="E273" s="476" t="s">
        <v>10</v>
      </c>
      <c r="F273" s="476" t="s">
        <v>9</v>
      </c>
      <c r="G273" s="475" t="s">
        <v>2013</v>
      </c>
      <c r="H273" s="516"/>
      <c r="I273" s="477" t="s">
        <v>5</v>
      </c>
      <c r="J273" s="476" t="s">
        <v>12</v>
      </c>
      <c r="K273" s="476" t="s">
        <v>28</v>
      </c>
      <c r="L273" s="184">
        <v>42825</v>
      </c>
      <c r="N273" s="480">
        <v>-23888.35</v>
      </c>
      <c r="O273" s="478" t="str">
        <f>IFERROR(VLOOKUP(A273,[1]Approval!A:C,3,FALSE),"")</f>
        <v/>
      </c>
      <c r="P273" s="184" t="str">
        <f>IFERROR(VLOOKUP(A273,[1]Approval!A:J,10,FALSE),"")</f>
        <v/>
      </c>
      <c r="R273" s="425">
        <f>2020-YEAR(Table227[[#This Row],[In-
Service
Date]])</f>
        <v>3</v>
      </c>
      <c r="S273" s="308">
        <f>+Table227[[#This Row],[Proj To Date
Actuals]]*1.02^R273</f>
        <v>-25350.508126799996</v>
      </c>
    </row>
    <row r="274" spans="1:19" x14ac:dyDescent="0.25">
      <c r="A274" s="476" t="s">
        <v>1656</v>
      </c>
      <c r="B274" s="475" t="s">
        <v>4610</v>
      </c>
      <c r="C274" s="422" t="e">
        <f>VLOOKUP(B274,'Matter &amp; CI#'!$D$4:$E$595,2,FALSE)</f>
        <v>#N/A</v>
      </c>
      <c r="D274" s="476" t="s">
        <v>1657</v>
      </c>
      <c r="E274" s="476" t="s">
        <v>10</v>
      </c>
      <c r="F274" s="476" t="s">
        <v>9</v>
      </c>
      <c r="G274" s="475" t="s">
        <v>2013</v>
      </c>
      <c r="H274" s="516"/>
      <c r="I274" s="477" t="s">
        <v>5</v>
      </c>
      <c r="J274" s="476" t="s">
        <v>14</v>
      </c>
      <c r="K274" s="476" t="s">
        <v>7</v>
      </c>
      <c r="L274" s="184">
        <v>42825</v>
      </c>
      <c r="M274" s="184">
        <v>43862</v>
      </c>
      <c r="N274" s="480">
        <v>136994.68</v>
      </c>
      <c r="O274" s="478" t="str">
        <f>IFERROR(VLOOKUP(A274,[1]Approval!A:C,3,FALSE),"")</f>
        <v>FIN Approval - Internal</v>
      </c>
      <c r="P274" s="184">
        <f>IFERROR(VLOOKUP(A274,[1]Approval!A:J,10,FALSE),"")</f>
        <v>43817</v>
      </c>
      <c r="R274" s="425">
        <f>2020-YEAR(Table227[[#This Row],[In-
Service
Date]])</f>
        <v>3</v>
      </c>
      <c r="S274" s="308">
        <f>+Table227[[#This Row],[Proj To Date
Actuals]]*1.02^R274</f>
        <v>145379.85037343999</v>
      </c>
    </row>
    <row r="275" spans="1:19" x14ac:dyDescent="0.25">
      <c r="A275" s="476" t="s">
        <v>644</v>
      </c>
      <c r="B275" s="475" t="s">
        <v>4613</v>
      </c>
      <c r="C275" s="422" t="e">
        <f>VLOOKUP(B275,'Matter &amp; CI#'!$D$4:$E$595,2,FALSE)</f>
        <v>#N/A</v>
      </c>
      <c r="D275" s="476" t="s">
        <v>645</v>
      </c>
      <c r="E275" s="476" t="s">
        <v>10</v>
      </c>
      <c r="F275" s="476" t="s">
        <v>9</v>
      </c>
      <c r="G275" s="475" t="s">
        <v>2013</v>
      </c>
      <c r="H275" s="516"/>
      <c r="I275" s="477" t="s">
        <v>5</v>
      </c>
      <c r="J275" s="476" t="s">
        <v>12</v>
      </c>
      <c r="K275" s="476" t="s">
        <v>7</v>
      </c>
      <c r="L275" s="184">
        <v>42825</v>
      </c>
      <c r="M275" s="184">
        <v>43586</v>
      </c>
      <c r="N275" s="480">
        <v>20156.45</v>
      </c>
      <c r="O275" s="478" t="str">
        <f>IFERROR(VLOOKUP(A275,[1]Approval!A:C,3,FALSE),"")</f>
        <v>FIN Approval - Internal</v>
      </c>
      <c r="P275" s="184">
        <f>IFERROR(VLOOKUP(A275,[1]Approval!A:J,10,FALSE),"")</f>
        <v>43804</v>
      </c>
      <c r="R275" s="425">
        <f>2020-YEAR(Table227[[#This Row],[In-
Service
Date]])</f>
        <v>3</v>
      </c>
      <c r="S275" s="308">
        <f>+Table227[[#This Row],[Proj To Date
Actuals]]*1.02^R275</f>
        <v>21390.185991599999</v>
      </c>
    </row>
    <row r="276" spans="1:19" x14ac:dyDescent="0.25">
      <c r="A276" s="476" t="s">
        <v>646</v>
      </c>
      <c r="B276" s="475" t="s">
        <v>4624</v>
      </c>
      <c r="C276" s="422" t="e">
        <f>VLOOKUP(B276,'Matter &amp; CI#'!$D$4:$E$595,2,FALSE)</f>
        <v>#N/A</v>
      </c>
      <c r="D276" s="476" t="s">
        <v>647</v>
      </c>
      <c r="E276" s="476" t="s">
        <v>10</v>
      </c>
      <c r="F276" s="476" t="s">
        <v>9</v>
      </c>
      <c r="G276" s="475" t="s">
        <v>2013</v>
      </c>
      <c r="H276" s="516"/>
      <c r="I276" s="477" t="s">
        <v>5</v>
      </c>
      <c r="J276" s="476" t="s">
        <v>14</v>
      </c>
      <c r="K276" s="476" t="s">
        <v>7</v>
      </c>
      <c r="L276" s="184">
        <v>42825</v>
      </c>
      <c r="M276" s="184">
        <v>43677</v>
      </c>
      <c r="N276" s="480">
        <v>173521.68</v>
      </c>
      <c r="O276" s="478" t="str">
        <f>IFERROR(VLOOKUP(A276,[1]Approval!A:C,3,FALSE),"")</f>
        <v>FIN Approval - Internal</v>
      </c>
      <c r="P276" s="184">
        <f>IFERROR(VLOOKUP(A276,[1]Approval!A:J,10,FALSE),"")</f>
        <v>43584</v>
      </c>
      <c r="R276" s="425">
        <f>2020-YEAR(Table227[[#This Row],[In-
Service
Date]])</f>
        <v>3</v>
      </c>
      <c r="S276" s="308">
        <f>+Table227[[#This Row],[Proj To Date
Actuals]]*1.02^R276</f>
        <v>184142.59498943997</v>
      </c>
    </row>
    <row r="277" spans="1:19" x14ac:dyDescent="0.25">
      <c r="A277" s="476" t="s">
        <v>1925</v>
      </c>
      <c r="B277" s="475" t="s">
        <v>4575</v>
      </c>
      <c r="C277" s="422" t="e">
        <f>VLOOKUP(B277,'Matter &amp; CI#'!$D$4:$E$595,2,FALSE)</f>
        <v>#N/A</v>
      </c>
      <c r="D277" s="476" t="s">
        <v>1926</v>
      </c>
      <c r="E277" s="476" t="s">
        <v>10</v>
      </c>
      <c r="F277" s="476" t="s">
        <v>9</v>
      </c>
      <c r="G277" s="475" t="s">
        <v>2013</v>
      </c>
      <c r="H277" s="516"/>
      <c r="I277" s="477" t="s">
        <v>5</v>
      </c>
      <c r="J277" s="476" t="s">
        <v>6</v>
      </c>
      <c r="K277" s="476" t="s">
        <v>7</v>
      </c>
      <c r="L277" s="184">
        <v>42855</v>
      </c>
      <c r="M277" s="184">
        <v>44136</v>
      </c>
      <c r="N277" s="480">
        <v>1719177.15</v>
      </c>
      <c r="O277" s="478" t="str">
        <f>IFERROR(VLOOKUP(A277,[1]Approval!A:C,3,FALSE),"")</f>
        <v>FIN Approval - Internal</v>
      </c>
      <c r="P277" s="184">
        <f>IFERROR(VLOOKUP(A277,[1]Approval!A:J,10,FALSE),"")</f>
        <v>43999</v>
      </c>
      <c r="R277" s="425">
        <f>2020-YEAR(Table227[[#This Row],[In-
Service
Date]])</f>
        <v>3</v>
      </c>
      <c r="S277" s="308">
        <f>+Table227[[#This Row],[Proj To Date
Actuals]]*1.02^R277</f>
        <v>1824404.5449971997</v>
      </c>
    </row>
    <row r="278" spans="1:19" x14ac:dyDescent="0.25">
      <c r="A278" s="476" t="s">
        <v>648</v>
      </c>
      <c r="B278" s="475" t="s">
        <v>4634</v>
      </c>
      <c r="C278" s="422" t="e">
        <f>VLOOKUP(B278,'Matter &amp; CI#'!$D$4:$E$595,2,FALSE)</f>
        <v>#N/A</v>
      </c>
      <c r="D278" s="476" t="s">
        <v>649</v>
      </c>
      <c r="E278" s="476" t="s">
        <v>10</v>
      </c>
      <c r="F278" s="476" t="s">
        <v>9</v>
      </c>
      <c r="G278" s="475" t="s">
        <v>2013</v>
      </c>
      <c r="H278" s="516"/>
      <c r="I278" s="477" t="s">
        <v>5</v>
      </c>
      <c r="J278" s="476" t="s">
        <v>182</v>
      </c>
      <c r="K278" s="476" t="s">
        <v>7</v>
      </c>
      <c r="L278" s="184">
        <v>42855</v>
      </c>
      <c r="M278" s="184">
        <v>43738</v>
      </c>
      <c r="N278" s="480">
        <v>1081700.6599999999</v>
      </c>
      <c r="O278" s="478" t="str">
        <f>IFERROR(VLOOKUP(A278,[1]Approval!A:C,3,FALSE),"")</f>
        <v>FIN Approval - Internal</v>
      </c>
      <c r="P278" s="184">
        <f>IFERROR(VLOOKUP(A278,[1]Approval!A:J,10,FALSE),"")</f>
        <v>43677</v>
      </c>
      <c r="R278" s="425">
        <f>2020-YEAR(Table227[[#This Row],[In-
Service
Date]])</f>
        <v>3</v>
      </c>
      <c r="S278" s="308">
        <f>+Table227[[#This Row],[Proj To Date
Actuals]]*1.02^R278</f>
        <v>1147909.3939972799</v>
      </c>
    </row>
    <row r="279" spans="1:19" x14ac:dyDescent="0.25">
      <c r="A279" s="476" t="s">
        <v>180</v>
      </c>
      <c r="B279" s="475" t="s">
        <v>4647</v>
      </c>
      <c r="C279" s="422" t="e">
        <f>VLOOKUP(B279,'Matter &amp; CI#'!$D$4:$E$595,2,FALSE)</f>
        <v>#N/A</v>
      </c>
      <c r="D279" s="476" t="s">
        <v>181</v>
      </c>
      <c r="E279" s="476" t="s">
        <v>10</v>
      </c>
      <c r="F279" s="476" t="s">
        <v>9</v>
      </c>
      <c r="G279" s="475" t="s">
        <v>2013</v>
      </c>
      <c r="H279" s="516"/>
      <c r="I279" s="477" t="s">
        <v>5</v>
      </c>
      <c r="J279" s="476" t="s">
        <v>182</v>
      </c>
      <c r="K279" s="476" t="s">
        <v>7</v>
      </c>
      <c r="L279" s="184">
        <v>42855</v>
      </c>
      <c r="M279" s="184">
        <v>43891</v>
      </c>
      <c r="N279" s="480">
        <v>228084.28</v>
      </c>
      <c r="O279" s="478" t="str">
        <f>IFERROR(VLOOKUP(A279,[1]Approval!A:C,3,FALSE),"")</f>
        <v>FIN Approval - Internal</v>
      </c>
      <c r="P279" s="184">
        <f>IFERROR(VLOOKUP(A279,[1]Approval!A:J,10,FALSE),"")</f>
        <v>43677</v>
      </c>
      <c r="R279" s="425">
        <f>2020-YEAR(Table227[[#This Row],[In-
Service
Date]])</f>
        <v>3</v>
      </c>
      <c r="S279" s="308">
        <f>+Table227[[#This Row],[Proj To Date
Actuals]]*1.02^R279</f>
        <v>242044.86261023997</v>
      </c>
    </row>
    <row r="280" spans="1:19" x14ac:dyDescent="0.25">
      <c r="A280" s="476" t="s">
        <v>1664</v>
      </c>
      <c r="B280" s="475" t="s">
        <v>4607</v>
      </c>
      <c r="C280" s="422" t="e">
        <f>VLOOKUP(B280,'Matter &amp; CI#'!$D$4:$E$595,2,FALSE)</f>
        <v>#N/A</v>
      </c>
      <c r="D280" s="476" t="s">
        <v>1665</v>
      </c>
      <c r="E280" s="476" t="s">
        <v>10</v>
      </c>
      <c r="F280" s="476" t="s">
        <v>9</v>
      </c>
      <c r="G280" s="475" t="s">
        <v>2013</v>
      </c>
      <c r="H280" s="516"/>
      <c r="I280" s="477" t="s">
        <v>5</v>
      </c>
      <c r="J280" s="476" t="s">
        <v>14</v>
      </c>
      <c r="K280" s="476" t="s">
        <v>28</v>
      </c>
      <c r="L280" s="184">
        <v>42885</v>
      </c>
      <c r="N280" s="480">
        <v>101933.59</v>
      </c>
      <c r="O280" s="478" t="str">
        <f>IFERROR(VLOOKUP(A280,[1]Approval!A:C,3,FALSE),"")</f>
        <v>FIN Approval - Internal</v>
      </c>
      <c r="P280" s="184">
        <f>IFERROR(VLOOKUP(A280,[1]Approval!A:J,10,FALSE),"")</f>
        <v>43374</v>
      </c>
      <c r="R280" s="425">
        <f>2020-YEAR(Table227[[#This Row],[In-
Service
Date]])</f>
        <v>3</v>
      </c>
      <c r="S280" s="308">
        <f>+Table227[[#This Row],[Proj To Date
Actuals]]*1.02^R280</f>
        <v>108172.74117672</v>
      </c>
    </row>
    <row r="281" spans="1:19" x14ac:dyDescent="0.25">
      <c r="A281" s="476" t="s">
        <v>630</v>
      </c>
      <c r="B281" s="475" t="s">
        <v>4536</v>
      </c>
      <c r="C281" s="422" t="e">
        <f>VLOOKUP(B281,'Matter &amp; CI#'!$D$4:$E$595,2,FALSE)</f>
        <v>#N/A</v>
      </c>
      <c r="D281" s="476" t="s">
        <v>631</v>
      </c>
      <c r="E281" s="476" t="s">
        <v>10</v>
      </c>
      <c r="F281" s="476" t="s">
        <v>9</v>
      </c>
      <c r="G281" s="475" t="s">
        <v>2013</v>
      </c>
      <c r="H281" s="516"/>
      <c r="I281" s="477" t="s">
        <v>5</v>
      </c>
      <c r="J281" s="476" t="s">
        <v>12</v>
      </c>
      <c r="K281" s="476" t="s">
        <v>7</v>
      </c>
      <c r="L281" s="184">
        <v>42886</v>
      </c>
      <c r="M281" s="184">
        <v>43556</v>
      </c>
      <c r="N281" s="480">
        <v>101702.26</v>
      </c>
      <c r="O281" s="478" t="str">
        <f>IFERROR(VLOOKUP(A281,[1]Approval!A:C,3,FALSE),"")</f>
        <v>FIN Approval - Internal</v>
      </c>
      <c r="P281" s="184">
        <f>IFERROR(VLOOKUP(A281,[1]Approval!A:J,10,FALSE),"")</f>
        <v>43454</v>
      </c>
      <c r="R281" s="425">
        <f>2020-YEAR(Table227[[#This Row],[In-
Service
Date]])</f>
        <v>3</v>
      </c>
      <c r="S281" s="308">
        <f>+Table227[[#This Row],[Proj To Date
Actuals]]*1.02^R281</f>
        <v>107927.25193007999</v>
      </c>
    </row>
    <row r="282" spans="1:19" x14ac:dyDescent="0.25">
      <c r="A282" s="476" t="s">
        <v>1921</v>
      </c>
      <c r="B282" s="475" t="s">
        <v>4611</v>
      </c>
      <c r="C282" s="422" t="e">
        <f>VLOOKUP(B282,'Matter &amp; CI#'!$D$4:$E$595,2,FALSE)</f>
        <v>#N/A</v>
      </c>
      <c r="D282" s="476" t="s">
        <v>1922</v>
      </c>
      <c r="E282" s="476" t="s">
        <v>10</v>
      </c>
      <c r="F282" s="476" t="s">
        <v>9</v>
      </c>
      <c r="G282" s="475" t="s">
        <v>2013</v>
      </c>
      <c r="H282" s="516"/>
      <c r="I282" s="477" t="s">
        <v>5</v>
      </c>
      <c r="J282" s="476" t="s">
        <v>12</v>
      </c>
      <c r="K282" s="476" t="s">
        <v>7</v>
      </c>
      <c r="L282" s="184">
        <v>42886</v>
      </c>
      <c r="M282" s="184">
        <v>43891</v>
      </c>
      <c r="N282" s="480">
        <v>93146.559999999998</v>
      </c>
      <c r="O282" s="478" t="str">
        <f>IFERROR(VLOOKUP(A282,[1]Approval!A:C,3,FALSE),"")</f>
        <v>FIN Approval - Internal</v>
      </c>
      <c r="P282" s="184">
        <f>IFERROR(VLOOKUP(A282,[1]Approval!A:J,10,FALSE),"")</f>
        <v>43507</v>
      </c>
      <c r="R282" s="425">
        <f>2020-YEAR(Table227[[#This Row],[In-
Service
Date]])</f>
        <v>3</v>
      </c>
      <c r="S282" s="308">
        <f>+Table227[[#This Row],[Proj To Date
Actuals]]*1.02^R282</f>
        <v>98847.874644479991</v>
      </c>
    </row>
    <row r="283" spans="1:19" x14ac:dyDescent="0.25">
      <c r="A283" s="476" t="s">
        <v>1400</v>
      </c>
      <c r="B283" s="475" t="s">
        <v>4629</v>
      </c>
      <c r="C283" s="422" t="e">
        <f>VLOOKUP(B283,'Matter &amp; CI#'!$D$4:$E$595,2,FALSE)</f>
        <v>#N/A</v>
      </c>
      <c r="D283" s="476" t="s">
        <v>1401</v>
      </c>
      <c r="E283" s="476" t="s">
        <v>10</v>
      </c>
      <c r="F283" s="476" t="s">
        <v>9</v>
      </c>
      <c r="G283" s="475" t="s">
        <v>2013</v>
      </c>
      <c r="H283" s="516"/>
      <c r="I283" s="477" t="s">
        <v>5</v>
      </c>
      <c r="J283" s="476" t="s">
        <v>6</v>
      </c>
      <c r="K283" s="476" t="s">
        <v>7</v>
      </c>
      <c r="L283" s="184">
        <v>42886</v>
      </c>
      <c r="M283" s="184">
        <v>43586</v>
      </c>
      <c r="N283" s="480">
        <v>375232.25</v>
      </c>
      <c r="O283" s="478" t="str">
        <f>IFERROR(VLOOKUP(A283,[1]Approval!A:C,3,FALSE),"")</f>
        <v>FIN Approval - Internal</v>
      </c>
      <c r="P283" s="184">
        <f>IFERROR(VLOOKUP(A283,[1]Approval!A:J,10,FALSE),"")</f>
        <v>43507</v>
      </c>
      <c r="R283" s="425">
        <f>2020-YEAR(Table227[[#This Row],[In-
Service
Date]])</f>
        <v>3</v>
      </c>
      <c r="S283" s="308">
        <f>+Table227[[#This Row],[Proj To Date
Actuals]]*1.02^R283</f>
        <v>398199.46555799997</v>
      </c>
    </row>
    <row r="284" spans="1:19" x14ac:dyDescent="0.25">
      <c r="A284" s="476" t="s">
        <v>1216</v>
      </c>
      <c r="B284" s="475" t="s">
        <v>3892</v>
      </c>
      <c r="C284" s="422" t="e">
        <f>VLOOKUP(B284,'Matter &amp; CI#'!$D$4:$E$595,2,FALSE)</f>
        <v>#N/A</v>
      </c>
      <c r="D284" s="476" t="s">
        <v>1217</v>
      </c>
      <c r="E284" s="476" t="s">
        <v>8</v>
      </c>
      <c r="F284" s="476" t="s">
        <v>9</v>
      </c>
      <c r="G284" s="475" t="s">
        <v>2013</v>
      </c>
      <c r="H284" s="516"/>
      <c r="I284" s="477" t="s">
        <v>11</v>
      </c>
      <c r="J284" s="476" t="s">
        <v>22</v>
      </c>
      <c r="K284" s="476" t="s">
        <v>7</v>
      </c>
      <c r="L284" s="184">
        <v>42916</v>
      </c>
      <c r="M284" s="184">
        <v>42916</v>
      </c>
      <c r="N284" s="480">
        <v>22391.69</v>
      </c>
      <c r="O284" s="478" t="str">
        <f>IFERROR(VLOOKUP(A284,[1]Approval!A:C,3,FALSE),"")</f>
        <v/>
      </c>
      <c r="P284" s="184" t="str">
        <f>IFERROR(VLOOKUP(A284,[1]Approval!A:J,10,FALSE),"")</f>
        <v/>
      </c>
      <c r="R284" s="425">
        <f>2020-YEAR(Table227[[#This Row],[In-
Service
Date]])</f>
        <v>3</v>
      </c>
      <c r="S284" s="308">
        <f>+Table227[[#This Row],[Proj To Date
Actuals]]*1.02^R284</f>
        <v>23762.240561519997</v>
      </c>
    </row>
    <row r="285" spans="1:19" x14ac:dyDescent="0.25">
      <c r="A285" s="476" t="s">
        <v>249</v>
      </c>
      <c r="B285" s="475" t="s">
        <v>3893</v>
      </c>
      <c r="C285" s="422" t="e">
        <f>VLOOKUP(B285,'Matter &amp; CI#'!$D$4:$E$595,2,FALSE)</f>
        <v>#N/A</v>
      </c>
      <c r="D285" s="476" t="s">
        <v>250</v>
      </c>
      <c r="E285" s="476" t="s">
        <v>8</v>
      </c>
      <c r="F285" s="476" t="s">
        <v>9</v>
      </c>
      <c r="G285" s="475" t="s">
        <v>2013</v>
      </c>
      <c r="H285" s="516"/>
      <c r="I285" s="477" t="s">
        <v>11</v>
      </c>
      <c r="J285" s="476" t="s">
        <v>22</v>
      </c>
      <c r="K285" s="476" t="s">
        <v>7</v>
      </c>
      <c r="L285" s="184">
        <v>42916</v>
      </c>
      <c r="M285" s="184">
        <v>42940</v>
      </c>
      <c r="N285" s="480">
        <v>603692.44999999995</v>
      </c>
      <c r="O285" s="478" t="str">
        <f>IFERROR(VLOOKUP(A285,[1]Approval!A:C,3,FALSE),"")</f>
        <v>FIN Approval - Internal</v>
      </c>
      <c r="P285" s="184">
        <f>IFERROR(VLOOKUP(A285,[1]Approval!A:J,10,FALSE),"")</f>
        <v>42940</v>
      </c>
      <c r="R285" s="425">
        <f>2020-YEAR(Table227[[#This Row],[In-
Service
Date]])</f>
        <v>3</v>
      </c>
      <c r="S285" s="308">
        <f>+Table227[[#This Row],[Proj To Date
Actuals]]*1.02^R285</f>
        <v>640643.25747959991</v>
      </c>
    </row>
    <row r="286" spans="1:19" x14ac:dyDescent="0.25">
      <c r="A286" s="476" t="s">
        <v>1218</v>
      </c>
      <c r="B286" s="475" t="s">
        <v>3895</v>
      </c>
      <c r="C286" s="422" t="e">
        <f>VLOOKUP(B286,'Matter &amp; CI#'!$D$4:$E$595,2,FALSE)</f>
        <v>#N/A</v>
      </c>
      <c r="D286" s="476" t="s">
        <v>1219</v>
      </c>
      <c r="E286" s="476" t="s">
        <v>8</v>
      </c>
      <c r="F286" s="476" t="s">
        <v>9</v>
      </c>
      <c r="G286" s="475" t="s">
        <v>2013</v>
      </c>
      <c r="H286" s="516"/>
      <c r="I286" s="477" t="s">
        <v>11</v>
      </c>
      <c r="J286" s="476" t="s">
        <v>13</v>
      </c>
      <c r="K286" s="476" t="s">
        <v>7</v>
      </c>
      <c r="L286" s="184">
        <v>42916</v>
      </c>
      <c r="M286" s="184">
        <v>42940</v>
      </c>
      <c r="N286" s="480">
        <v>240.83</v>
      </c>
      <c r="O286" s="478" t="str">
        <f>IFERROR(VLOOKUP(A286,[1]Approval!A:C,3,FALSE),"")</f>
        <v>FIN Approval - Internal</v>
      </c>
      <c r="P286" s="184">
        <f>IFERROR(VLOOKUP(A286,[1]Approval!A:J,10,FALSE),"")</f>
        <v>42940</v>
      </c>
      <c r="R286" s="425">
        <f>2020-YEAR(Table227[[#This Row],[In-
Service
Date]])</f>
        <v>3</v>
      </c>
      <c r="S286" s="308">
        <f>+Table227[[#This Row],[Proj To Date
Actuals]]*1.02^R286</f>
        <v>255.57072263999999</v>
      </c>
    </row>
    <row r="287" spans="1:19" x14ac:dyDescent="0.25">
      <c r="A287" s="476" t="s">
        <v>251</v>
      </c>
      <c r="B287" s="475" t="s">
        <v>3896</v>
      </c>
      <c r="C287" s="422" t="e">
        <f>VLOOKUP(B287,'Matter &amp; CI#'!$D$4:$E$595,2,FALSE)</f>
        <v>#N/A</v>
      </c>
      <c r="D287" s="476" t="s">
        <v>252</v>
      </c>
      <c r="E287" s="476" t="s">
        <v>10</v>
      </c>
      <c r="F287" s="476" t="s">
        <v>9</v>
      </c>
      <c r="G287" s="475" t="s">
        <v>2013</v>
      </c>
      <c r="H287" s="516"/>
      <c r="I287" s="477" t="s">
        <v>11</v>
      </c>
      <c r="J287" s="476" t="s">
        <v>13</v>
      </c>
      <c r="K287" s="476" t="s">
        <v>28</v>
      </c>
      <c r="L287" s="184">
        <v>42916</v>
      </c>
      <c r="N287" s="480">
        <v>6232.32</v>
      </c>
      <c r="O287" s="478" t="str">
        <f>IFERROR(VLOOKUP(A287,[1]Approval!A:C,3,FALSE),"")</f>
        <v/>
      </c>
      <c r="P287" s="184" t="str">
        <f>IFERROR(VLOOKUP(A287,[1]Approval!A:J,10,FALSE),"")</f>
        <v/>
      </c>
      <c r="R287" s="425">
        <f>2020-YEAR(Table227[[#This Row],[In-
Service
Date]])</f>
        <v>3</v>
      </c>
      <c r="S287" s="308">
        <f>+Table227[[#This Row],[Proj To Date
Actuals]]*1.02^R287</f>
        <v>6613.7878425599993</v>
      </c>
    </row>
    <row r="288" spans="1:19" x14ac:dyDescent="0.25">
      <c r="A288" s="476" t="s">
        <v>1740</v>
      </c>
      <c r="B288" s="475" t="s">
        <v>3898</v>
      </c>
      <c r="C288" s="422" t="e">
        <f>VLOOKUP(B288,'Matter &amp; CI#'!$D$4:$E$595,2,FALSE)</f>
        <v>#N/A</v>
      </c>
      <c r="D288" s="476" t="s">
        <v>1741</v>
      </c>
      <c r="E288" s="476" t="s">
        <v>27</v>
      </c>
      <c r="F288" s="476" t="s">
        <v>9</v>
      </c>
      <c r="G288" s="475" t="s">
        <v>2013</v>
      </c>
      <c r="H288" s="516"/>
      <c r="I288" s="477" t="s">
        <v>11</v>
      </c>
      <c r="J288" s="476" t="s">
        <v>12</v>
      </c>
      <c r="K288" s="476" t="s">
        <v>7</v>
      </c>
      <c r="L288" s="184">
        <v>42916</v>
      </c>
      <c r="M288" s="184">
        <v>42940</v>
      </c>
      <c r="N288" s="480">
        <v>0.13</v>
      </c>
      <c r="O288" s="478" t="str">
        <f>IFERROR(VLOOKUP(A288,[1]Approval!A:C,3,FALSE),"")</f>
        <v>FIN Approval - Internal</v>
      </c>
      <c r="P288" s="184">
        <f>IFERROR(VLOOKUP(A288,[1]Approval!A:J,10,FALSE),"")</f>
        <v>42940</v>
      </c>
      <c r="R288" s="425">
        <f>2020-YEAR(Table227[[#This Row],[In-
Service
Date]])</f>
        <v>3</v>
      </c>
      <c r="S288" s="308">
        <f>+Table227[[#This Row],[Proj To Date
Actuals]]*1.02^R288</f>
        <v>0.13795704</v>
      </c>
    </row>
    <row r="289" spans="1:19" x14ac:dyDescent="0.25">
      <c r="A289" s="476" t="s">
        <v>35</v>
      </c>
      <c r="B289" s="475" t="s">
        <v>3899</v>
      </c>
      <c r="C289" s="422" t="e">
        <f>VLOOKUP(B289,'Matter &amp; CI#'!$D$4:$E$595,2,FALSE)</f>
        <v>#N/A</v>
      </c>
      <c r="D289" s="476" t="s">
        <v>36</v>
      </c>
      <c r="E289" s="476" t="s">
        <v>8</v>
      </c>
      <c r="F289" s="476" t="s">
        <v>9</v>
      </c>
      <c r="G289" s="475" t="s">
        <v>2013</v>
      </c>
      <c r="H289" s="516"/>
      <c r="I289" s="477" t="s">
        <v>11</v>
      </c>
      <c r="J289" s="476" t="s">
        <v>13</v>
      </c>
      <c r="K289" s="476" t="s">
        <v>7</v>
      </c>
      <c r="L289" s="184">
        <v>42916</v>
      </c>
      <c r="M289" s="184">
        <v>42940</v>
      </c>
      <c r="N289" s="480">
        <v>3294.14</v>
      </c>
      <c r="O289" s="478" t="str">
        <f>IFERROR(VLOOKUP(A289,[1]Approval!A:C,3,FALSE),"")</f>
        <v>FIN Approval - Internal</v>
      </c>
      <c r="P289" s="184">
        <f>IFERROR(VLOOKUP(A289,[1]Approval!A:J,10,FALSE),"")</f>
        <v>42940</v>
      </c>
      <c r="R289" s="425">
        <f>2020-YEAR(Table227[[#This Row],[In-
Service
Date]])</f>
        <v>3</v>
      </c>
      <c r="S289" s="308">
        <f>+Table227[[#This Row],[Proj To Date
Actuals]]*1.02^R289</f>
        <v>3495.7677211199998</v>
      </c>
    </row>
    <row r="290" spans="1:19" x14ac:dyDescent="0.25">
      <c r="A290" s="476" t="s">
        <v>1220</v>
      </c>
      <c r="B290" s="475" t="s">
        <v>3901</v>
      </c>
      <c r="C290" s="422" t="e">
        <f>VLOOKUP(B290,'Matter &amp; CI#'!$D$4:$E$595,2,FALSE)</f>
        <v>#N/A</v>
      </c>
      <c r="D290" s="476" t="s">
        <v>1221</v>
      </c>
      <c r="E290" s="476" t="s">
        <v>8</v>
      </c>
      <c r="F290" s="476" t="s">
        <v>9</v>
      </c>
      <c r="G290" s="475" t="s">
        <v>2013</v>
      </c>
      <c r="H290" s="516"/>
      <c r="I290" s="477" t="s">
        <v>11</v>
      </c>
      <c r="J290" s="476" t="s">
        <v>13</v>
      </c>
      <c r="K290" s="476" t="s">
        <v>7</v>
      </c>
      <c r="L290" s="184">
        <v>42916</v>
      </c>
      <c r="M290" s="184">
        <v>42940</v>
      </c>
      <c r="N290" s="480">
        <v>5529.45</v>
      </c>
      <c r="O290" s="478" t="str">
        <f>IFERROR(VLOOKUP(A290,[1]Approval!A:C,3,FALSE),"")</f>
        <v>FIN Approval - Internal</v>
      </c>
      <c r="P290" s="184">
        <f>IFERROR(VLOOKUP(A290,[1]Approval!A:J,10,FALSE),"")</f>
        <v>42940</v>
      </c>
      <c r="R290" s="425">
        <f>2020-YEAR(Table227[[#This Row],[In-
Service
Date]])</f>
        <v>3</v>
      </c>
      <c r="S290" s="308">
        <f>+Table227[[#This Row],[Proj To Date
Actuals]]*1.02^R290</f>
        <v>5867.8965755999998</v>
      </c>
    </row>
    <row r="291" spans="1:19" x14ac:dyDescent="0.25">
      <c r="A291" s="476" t="s">
        <v>1484</v>
      </c>
      <c r="B291" s="475" t="s">
        <v>3902</v>
      </c>
      <c r="C291" s="422" t="e">
        <f>VLOOKUP(B291,'Matter &amp; CI#'!$D$4:$E$595,2,FALSE)</f>
        <v>#N/A</v>
      </c>
      <c r="D291" s="476" t="s">
        <v>1485</v>
      </c>
      <c r="E291" s="476" t="s">
        <v>8</v>
      </c>
      <c r="F291" s="476" t="s">
        <v>9</v>
      </c>
      <c r="G291" s="475" t="s">
        <v>2013</v>
      </c>
      <c r="H291" s="516"/>
      <c r="I291" s="477" t="s">
        <v>11</v>
      </c>
      <c r="J291" s="476" t="s">
        <v>13</v>
      </c>
      <c r="K291" s="476" t="s">
        <v>7</v>
      </c>
      <c r="L291" s="184">
        <v>42916</v>
      </c>
      <c r="M291" s="184">
        <v>42940</v>
      </c>
      <c r="N291" s="480">
        <v>635.09</v>
      </c>
      <c r="O291" s="478" t="str">
        <f>IFERROR(VLOOKUP(A291,[1]Approval!A:C,3,FALSE),"")</f>
        <v>FIN Approval - Internal</v>
      </c>
      <c r="P291" s="184">
        <f>IFERROR(VLOOKUP(A291,[1]Approval!A:J,10,FALSE),"")</f>
        <v>42940</v>
      </c>
      <c r="R291" s="425">
        <f>2020-YEAR(Table227[[#This Row],[In-
Service
Date]])</f>
        <v>3</v>
      </c>
      <c r="S291" s="308">
        <f>+Table227[[#This Row],[Proj To Date
Actuals]]*1.02^R291</f>
        <v>673.96258871999999</v>
      </c>
    </row>
    <row r="292" spans="1:19" x14ac:dyDescent="0.25">
      <c r="A292" s="476" t="s">
        <v>729</v>
      </c>
      <c r="B292" s="475" t="s">
        <v>3903</v>
      </c>
      <c r="C292" s="422" t="e">
        <f>VLOOKUP(B292,'Matter &amp; CI#'!$D$4:$E$595,2,FALSE)</f>
        <v>#N/A</v>
      </c>
      <c r="D292" s="476" t="s">
        <v>730</v>
      </c>
      <c r="E292" s="476" t="s">
        <v>8</v>
      </c>
      <c r="F292" s="476" t="s">
        <v>9</v>
      </c>
      <c r="G292" s="475" t="s">
        <v>2013</v>
      </c>
      <c r="H292" s="516"/>
      <c r="I292" s="477" t="s">
        <v>11</v>
      </c>
      <c r="J292" s="476" t="s">
        <v>12</v>
      </c>
      <c r="K292" s="476" t="s">
        <v>7</v>
      </c>
      <c r="L292" s="184">
        <v>42916</v>
      </c>
      <c r="M292" s="184">
        <v>42916</v>
      </c>
      <c r="N292" s="480">
        <v>40.46</v>
      </c>
      <c r="O292" s="478" t="str">
        <f>IFERROR(VLOOKUP(A292,[1]Approval!A:C,3,FALSE),"")</f>
        <v/>
      </c>
      <c r="P292" s="184" t="str">
        <f>IFERROR(VLOOKUP(A292,[1]Approval!A:J,10,FALSE),"")</f>
        <v/>
      </c>
      <c r="R292" s="425">
        <f>2020-YEAR(Table227[[#This Row],[In-
Service
Date]])</f>
        <v>3</v>
      </c>
      <c r="S292" s="308">
        <f>+Table227[[#This Row],[Proj To Date
Actuals]]*1.02^R292</f>
        <v>42.936475680000001</v>
      </c>
    </row>
    <row r="293" spans="1:19" x14ac:dyDescent="0.25">
      <c r="A293" s="476" t="s">
        <v>19</v>
      </c>
      <c r="B293" s="475" t="s">
        <v>3904</v>
      </c>
      <c r="C293" s="422" t="e">
        <f>VLOOKUP(B293,'Matter &amp; CI#'!$D$4:$E$595,2,FALSE)</f>
        <v>#N/A</v>
      </c>
      <c r="D293" s="476" t="s">
        <v>20</v>
      </c>
      <c r="E293" s="476" t="s">
        <v>21</v>
      </c>
      <c r="F293" s="476" t="s">
        <v>9</v>
      </c>
      <c r="G293" s="475" t="s">
        <v>2013</v>
      </c>
      <c r="H293" s="516"/>
      <c r="I293" s="477" t="s">
        <v>11</v>
      </c>
      <c r="J293" s="476" t="s">
        <v>22</v>
      </c>
      <c r="K293" s="476" t="s">
        <v>7</v>
      </c>
      <c r="L293" s="184">
        <v>42916</v>
      </c>
      <c r="M293" s="184">
        <v>42916</v>
      </c>
      <c r="N293" s="480">
        <v>3001199.35</v>
      </c>
      <c r="O293" s="478" t="str">
        <f>IFERROR(VLOOKUP(A293,[1]Approval!A:C,3,FALSE),"")</f>
        <v/>
      </c>
      <c r="P293" s="184" t="str">
        <f>IFERROR(VLOOKUP(A293,[1]Approval!A:J,10,FALSE),"")</f>
        <v/>
      </c>
      <c r="R293" s="425">
        <f>2020-YEAR(Table227[[#This Row],[In-
Service
Date]])</f>
        <v>3</v>
      </c>
      <c r="S293" s="308">
        <f>+Table227[[#This Row],[Proj To Date
Actuals]]*1.02^R293</f>
        <v>3184896.7598147998</v>
      </c>
    </row>
    <row r="294" spans="1:19" x14ac:dyDescent="0.25">
      <c r="A294" s="476" t="s">
        <v>1480</v>
      </c>
      <c r="B294" s="475" t="s">
        <v>3908</v>
      </c>
      <c r="C294" s="422" t="e">
        <f>VLOOKUP(B294,'Matter &amp; CI#'!$D$4:$E$595,2,FALSE)</f>
        <v>#N/A</v>
      </c>
      <c r="D294" s="476" t="s">
        <v>1481</v>
      </c>
      <c r="E294" s="476" t="s">
        <v>8</v>
      </c>
      <c r="F294" s="476" t="s">
        <v>9</v>
      </c>
      <c r="G294" s="475" t="s">
        <v>2013</v>
      </c>
      <c r="H294" s="516"/>
      <c r="I294" s="477" t="s">
        <v>11</v>
      </c>
      <c r="J294" s="476" t="s">
        <v>22</v>
      </c>
      <c r="K294" s="476" t="s">
        <v>7</v>
      </c>
      <c r="L294" s="184">
        <v>42916</v>
      </c>
      <c r="M294" s="184">
        <v>42916</v>
      </c>
      <c r="N294" s="480">
        <v>682728.18</v>
      </c>
      <c r="O294" s="478" t="str">
        <f>IFERROR(VLOOKUP(A294,[1]Approval!A:C,3,FALSE),"")</f>
        <v/>
      </c>
      <c r="P294" s="184" t="str">
        <f>IFERROR(VLOOKUP(A294,[1]Approval!A:J,10,FALSE),"")</f>
        <v/>
      </c>
      <c r="R294" s="425">
        <f>2020-YEAR(Table227[[#This Row],[In-
Service
Date]])</f>
        <v>3</v>
      </c>
      <c r="S294" s="308">
        <f>+Table227[[#This Row],[Proj To Date
Actuals]]*1.02^R294</f>
        <v>724516.60644144006</v>
      </c>
    </row>
    <row r="295" spans="1:19" x14ac:dyDescent="0.25">
      <c r="A295" s="476" t="s">
        <v>1212</v>
      </c>
      <c r="B295" s="475" t="s">
        <v>3909</v>
      </c>
      <c r="C295" s="422" t="e">
        <f>VLOOKUP(B295,'Matter &amp; CI#'!$D$4:$E$595,2,FALSE)</f>
        <v>#N/A</v>
      </c>
      <c r="D295" s="476" t="s">
        <v>1213</v>
      </c>
      <c r="E295" s="476" t="s">
        <v>8</v>
      </c>
      <c r="F295" s="476" t="s">
        <v>9</v>
      </c>
      <c r="G295" s="475" t="s">
        <v>2013</v>
      </c>
      <c r="H295" s="516"/>
      <c r="I295" s="477" t="s">
        <v>11</v>
      </c>
      <c r="J295" s="476" t="s">
        <v>493</v>
      </c>
      <c r="K295" s="476" t="s">
        <v>7</v>
      </c>
      <c r="L295" s="184">
        <v>42916</v>
      </c>
      <c r="M295" s="184">
        <v>42916</v>
      </c>
      <c r="N295" s="480">
        <v>-100.8</v>
      </c>
      <c r="O295" s="478" t="str">
        <f>IFERROR(VLOOKUP(A295,[1]Approval!A:C,3,FALSE),"")</f>
        <v/>
      </c>
      <c r="P295" s="184" t="str">
        <f>IFERROR(VLOOKUP(A295,[1]Approval!A:J,10,FALSE),"")</f>
        <v/>
      </c>
      <c r="R295" s="425">
        <f>2020-YEAR(Table227[[#This Row],[In-
Service
Date]])</f>
        <v>3</v>
      </c>
      <c r="S295" s="308">
        <f>+Table227[[#This Row],[Proj To Date
Actuals]]*1.02^R295</f>
        <v>-106.96976639999998</v>
      </c>
    </row>
    <row r="296" spans="1:19" x14ac:dyDescent="0.25">
      <c r="A296" s="476" t="s">
        <v>496</v>
      </c>
      <c r="B296" s="475" t="s">
        <v>3916</v>
      </c>
      <c r="C296" s="422" t="e">
        <f>VLOOKUP(B296,'Matter &amp; CI#'!$D$4:$E$595,2,FALSE)</f>
        <v>#N/A</v>
      </c>
      <c r="D296" s="476" t="s">
        <v>497</v>
      </c>
      <c r="E296" s="476" t="s">
        <v>8</v>
      </c>
      <c r="F296" s="476" t="s">
        <v>9</v>
      </c>
      <c r="G296" s="475" t="s">
        <v>2013</v>
      </c>
      <c r="H296" s="516"/>
      <c r="I296" s="477" t="s">
        <v>11</v>
      </c>
      <c r="J296" s="476" t="s">
        <v>22</v>
      </c>
      <c r="K296" s="476" t="s">
        <v>7</v>
      </c>
      <c r="L296" s="184">
        <v>42916</v>
      </c>
      <c r="M296" s="184">
        <v>42916</v>
      </c>
      <c r="N296" s="480">
        <v>2.62</v>
      </c>
      <c r="O296" s="478" t="str">
        <f>IFERROR(VLOOKUP(A296,[1]Approval!A:C,3,FALSE),"")</f>
        <v/>
      </c>
      <c r="P296" s="184" t="str">
        <f>IFERROR(VLOOKUP(A296,[1]Approval!A:J,10,FALSE),"")</f>
        <v/>
      </c>
      <c r="R296" s="425">
        <f>2020-YEAR(Table227[[#This Row],[In-
Service
Date]])</f>
        <v>3</v>
      </c>
      <c r="S296" s="308">
        <f>+Table227[[#This Row],[Proj To Date
Actuals]]*1.02^R296</f>
        <v>2.78036496</v>
      </c>
    </row>
    <row r="297" spans="1:19" x14ac:dyDescent="0.25">
      <c r="A297" s="476" t="s">
        <v>1654</v>
      </c>
      <c r="B297" s="475" t="s">
        <v>4560</v>
      </c>
      <c r="C297" s="422" t="e">
        <f>VLOOKUP(B297,'Matter &amp; CI#'!$D$4:$E$595,2,FALSE)</f>
        <v>#N/A</v>
      </c>
      <c r="D297" s="476" t="s">
        <v>1655</v>
      </c>
      <c r="E297" s="476" t="s">
        <v>10</v>
      </c>
      <c r="F297" s="476" t="s">
        <v>9</v>
      </c>
      <c r="G297" s="475" t="s">
        <v>2013</v>
      </c>
      <c r="H297" s="516"/>
      <c r="I297" s="477" t="s">
        <v>5</v>
      </c>
      <c r="J297" s="476" t="s">
        <v>12</v>
      </c>
      <c r="K297" s="476" t="s">
        <v>7</v>
      </c>
      <c r="L297" s="184">
        <v>42916</v>
      </c>
      <c r="M297" s="184">
        <v>43586</v>
      </c>
      <c r="N297" s="480">
        <v>122457.29</v>
      </c>
      <c r="O297" s="478" t="str">
        <f>IFERROR(VLOOKUP(A297,[1]Approval!A:C,3,FALSE),"")</f>
        <v>FIN Approval - Internal</v>
      </c>
      <c r="P297" s="184">
        <f>IFERROR(VLOOKUP(A297,[1]Approval!A:J,10,FALSE),"")</f>
        <v>43507</v>
      </c>
      <c r="R297" s="425">
        <f>2020-YEAR(Table227[[#This Row],[In-
Service
Date]])</f>
        <v>3</v>
      </c>
      <c r="S297" s="308">
        <f>+Table227[[#This Row],[Proj To Date
Actuals]]*1.02^R297</f>
        <v>129952.65580631998</v>
      </c>
    </row>
    <row r="298" spans="1:19" x14ac:dyDescent="0.25">
      <c r="A298" s="476" t="s">
        <v>1134</v>
      </c>
      <c r="B298" s="475" t="s">
        <v>4622</v>
      </c>
      <c r="C298" s="422" t="e">
        <f>VLOOKUP(B298,'Matter &amp; CI#'!$D$4:$E$595,2,FALSE)</f>
        <v>#N/A</v>
      </c>
      <c r="D298" s="476" t="s">
        <v>1135</v>
      </c>
      <c r="E298" s="476" t="s">
        <v>10</v>
      </c>
      <c r="F298" s="476" t="s">
        <v>9</v>
      </c>
      <c r="G298" s="475" t="s">
        <v>2013</v>
      </c>
      <c r="H298" s="516"/>
      <c r="I298" s="477" t="s">
        <v>5</v>
      </c>
      <c r="J298" s="476" t="s">
        <v>14</v>
      </c>
      <c r="K298" s="476" t="s">
        <v>7</v>
      </c>
      <c r="L298" s="184">
        <v>42916</v>
      </c>
      <c r="M298" s="184">
        <v>43586</v>
      </c>
      <c r="N298" s="480">
        <v>173274.17</v>
      </c>
      <c r="O298" s="478" t="str">
        <f>IFERROR(VLOOKUP(A298,[1]Approval!A:C,3,FALSE),"")</f>
        <v>FIN Approval - Internal</v>
      </c>
      <c r="P298" s="184">
        <f>IFERROR(VLOOKUP(A298,[1]Approval!A:J,10,FALSE),"")</f>
        <v>43507</v>
      </c>
      <c r="R298" s="425">
        <f>2020-YEAR(Table227[[#This Row],[In-
Service
Date]])</f>
        <v>3</v>
      </c>
      <c r="S298" s="308">
        <f>+Table227[[#This Row],[Proj To Date
Actuals]]*1.02^R298</f>
        <v>183879.93539736001</v>
      </c>
    </row>
    <row r="299" spans="1:19" x14ac:dyDescent="0.25">
      <c r="A299" s="476" t="s">
        <v>1666</v>
      </c>
      <c r="B299" s="475" t="s">
        <v>4625</v>
      </c>
      <c r="C299" s="422" t="e">
        <f>VLOOKUP(B299,'Matter &amp; CI#'!$D$4:$E$595,2,FALSE)</f>
        <v>#N/A</v>
      </c>
      <c r="D299" s="476" t="s">
        <v>1667</v>
      </c>
      <c r="E299" s="476" t="s">
        <v>10</v>
      </c>
      <c r="F299" s="476" t="s">
        <v>9</v>
      </c>
      <c r="G299" s="475" t="s">
        <v>2013</v>
      </c>
      <c r="H299" s="516"/>
      <c r="I299" s="477" t="s">
        <v>5</v>
      </c>
      <c r="J299" s="476" t="s">
        <v>14</v>
      </c>
      <c r="K299" s="476" t="s">
        <v>7</v>
      </c>
      <c r="L299" s="184">
        <v>42916</v>
      </c>
      <c r="M299" s="184">
        <v>43556</v>
      </c>
      <c r="N299" s="480">
        <v>81396.03</v>
      </c>
      <c r="O299" s="478" t="str">
        <f>IFERROR(VLOOKUP(A299,[1]Approval!A:C,3,FALSE),"")</f>
        <v>FIN Approval - Internal</v>
      </c>
      <c r="P299" s="184">
        <f>IFERROR(VLOOKUP(A299,[1]Approval!A:J,10,FALSE),"")</f>
        <v>43452</v>
      </c>
      <c r="R299" s="425">
        <f>2020-YEAR(Table227[[#This Row],[In-
Service
Date]])</f>
        <v>3</v>
      </c>
      <c r="S299" s="308">
        <f>+Table227[[#This Row],[Proj To Date
Actuals]]*1.02^R299</f>
        <v>86378.118204239989</v>
      </c>
    </row>
    <row r="300" spans="1:19" x14ac:dyDescent="0.25">
      <c r="A300" s="476" t="s">
        <v>1941</v>
      </c>
      <c r="B300" s="475" t="s">
        <v>4630</v>
      </c>
      <c r="C300" s="422" t="e">
        <f>VLOOKUP(B300,'Matter &amp; CI#'!$D$4:$E$595,2,FALSE)</f>
        <v>#N/A</v>
      </c>
      <c r="D300" s="476" t="s">
        <v>1942</v>
      </c>
      <c r="E300" s="476" t="s">
        <v>89</v>
      </c>
      <c r="F300" s="476" t="s">
        <v>9</v>
      </c>
      <c r="G300" s="475" t="s">
        <v>2013</v>
      </c>
      <c r="H300" s="516"/>
      <c r="I300" s="477" t="s">
        <v>5</v>
      </c>
      <c r="J300" s="476" t="s">
        <v>6</v>
      </c>
      <c r="K300" s="476" t="s">
        <v>7</v>
      </c>
      <c r="L300" s="184">
        <v>42916</v>
      </c>
      <c r="M300" s="184">
        <v>43524</v>
      </c>
      <c r="N300" s="480">
        <v>3446611.94</v>
      </c>
      <c r="O300" s="478" t="str">
        <f>IFERROR(VLOOKUP(A300,[1]Approval!A:C,3,FALSE),"")</f>
        <v>FIN Approval - Internal</v>
      </c>
      <c r="P300" s="184">
        <f>IFERROR(VLOOKUP(A300,[1]Approval!A:J,10,FALSE),"")</f>
        <v>43374</v>
      </c>
      <c r="R300" s="425">
        <f>2020-YEAR(Table227[[#This Row],[In-
Service
Date]])</f>
        <v>3</v>
      </c>
      <c r="S300" s="308">
        <f>+Table227[[#This Row],[Proj To Date
Actuals]]*1.02^R300</f>
        <v>3657572.1636235197</v>
      </c>
    </row>
    <row r="301" spans="1:19" x14ac:dyDescent="0.25">
      <c r="A301" s="476" t="s">
        <v>1939</v>
      </c>
      <c r="B301" s="475" t="s">
        <v>4661</v>
      </c>
      <c r="C301" s="422" t="e">
        <f>VLOOKUP(B301,'Matter &amp; CI#'!$D$4:$E$595,2,FALSE)</f>
        <v>#N/A</v>
      </c>
      <c r="D301" s="476" t="s">
        <v>1940</v>
      </c>
      <c r="E301" s="476" t="s">
        <v>10</v>
      </c>
      <c r="F301" s="476" t="s">
        <v>9</v>
      </c>
      <c r="G301" s="475" t="s">
        <v>2013</v>
      </c>
      <c r="H301" s="516"/>
      <c r="I301" s="477" t="s">
        <v>5</v>
      </c>
      <c r="J301" s="476" t="s">
        <v>6</v>
      </c>
      <c r="K301" s="476" t="s">
        <v>28</v>
      </c>
      <c r="L301" s="184">
        <v>42916</v>
      </c>
      <c r="N301" s="480">
        <v>1169635.83</v>
      </c>
      <c r="O301" s="478" t="str">
        <f>IFERROR(VLOOKUP(A301,[1]Approval!A:C,3,FALSE),"")</f>
        <v/>
      </c>
      <c r="P301" s="184" t="str">
        <f>IFERROR(VLOOKUP(A301,[1]Approval!A:J,10,FALSE),"")</f>
        <v/>
      </c>
      <c r="R301" s="425">
        <f>2020-YEAR(Table227[[#This Row],[In-
Service
Date]])</f>
        <v>3</v>
      </c>
      <c r="S301" s="308">
        <f>+Table227[[#This Row],[Proj To Date
Actuals]]*1.02^R301</f>
        <v>1241226.89988264</v>
      </c>
    </row>
    <row r="302" spans="1:19" x14ac:dyDescent="0.25">
      <c r="A302" s="476" t="s">
        <v>31</v>
      </c>
      <c r="B302" s="475" t="s">
        <v>4688</v>
      </c>
      <c r="C302" s="422" t="e">
        <f>VLOOKUP(B302,'Matter &amp; CI#'!$D$4:$E$595,2,FALSE)</f>
        <v>#N/A</v>
      </c>
      <c r="D302" s="476" t="s">
        <v>32</v>
      </c>
      <c r="E302" s="476" t="s">
        <v>8</v>
      </c>
      <c r="F302" s="476" t="s">
        <v>9</v>
      </c>
      <c r="G302" s="475" t="s">
        <v>2013</v>
      </c>
      <c r="H302" s="516"/>
      <c r="I302" s="477" t="s">
        <v>11</v>
      </c>
      <c r="J302" s="476" t="s">
        <v>22</v>
      </c>
      <c r="K302" s="476" t="s">
        <v>7</v>
      </c>
      <c r="L302" s="184">
        <v>42916</v>
      </c>
      <c r="M302" s="184">
        <v>42916</v>
      </c>
      <c r="N302" s="480">
        <v>26098.87</v>
      </c>
      <c r="O302" s="478" t="str">
        <f>IFERROR(VLOOKUP(A302,[1]Approval!A:C,3,FALSE),"")</f>
        <v/>
      </c>
      <c r="P302" s="184" t="str">
        <f>IFERROR(VLOOKUP(A302,[1]Approval!A:J,10,FALSE),"")</f>
        <v/>
      </c>
      <c r="R302" s="425">
        <f>2020-YEAR(Table227[[#This Row],[In-
Service
Date]])</f>
        <v>3</v>
      </c>
      <c r="S302" s="308">
        <f>+Table227[[#This Row],[Proj To Date
Actuals]]*1.02^R302</f>
        <v>27696.329634959999</v>
      </c>
    </row>
    <row r="303" spans="1:19" x14ac:dyDescent="0.25">
      <c r="A303" s="476" t="s">
        <v>491</v>
      </c>
      <c r="B303" s="475" t="s">
        <v>4689</v>
      </c>
      <c r="C303" s="422" t="e">
        <f>VLOOKUP(B303,'Matter &amp; CI#'!$D$4:$E$595,2,FALSE)</f>
        <v>#N/A</v>
      </c>
      <c r="D303" s="476" t="s">
        <v>492</v>
      </c>
      <c r="E303" s="476" t="s">
        <v>10</v>
      </c>
      <c r="F303" s="476" t="s">
        <v>9</v>
      </c>
      <c r="G303" s="475" t="s">
        <v>2013</v>
      </c>
      <c r="H303" s="516"/>
      <c r="I303" s="477" t="s">
        <v>11</v>
      </c>
      <c r="J303" s="476" t="s">
        <v>493</v>
      </c>
      <c r="K303" s="476" t="s">
        <v>7</v>
      </c>
      <c r="L303" s="184">
        <v>42916</v>
      </c>
      <c r="M303" s="184">
        <v>42916</v>
      </c>
      <c r="N303" s="480">
        <v>-232.42</v>
      </c>
      <c r="O303" s="478" t="str">
        <f>IFERROR(VLOOKUP(A303,[1]Approval!A:C,3,FALSE),"")</f>
        <v/>
      </c>
      <c r="P303" s="184" t="str">
        <f>IFERROR(VLOOKUP(A303,[1]Approval!A:J,10,FALSE),"")</f>
        <v/>
      </c>
      <c r="R303" s="425">
        <f>2020-YEAR(Table227[[#This Row],[In-
Service
Date]])</f>
        <v>3</v>
      </c>
      <c r="S303" s="308">
        <f>+Table227[[#This Row],[Proj To Date
Actuals]]*1.02^R303</f>
        <v>-246.64596335999997</v>
      </c>
    </row>
    <row r="304" spans="1:19" x14ac:dyDescent="0.25">
      <c r="A304" s="476" t="s">
        <v>1487</v>
      </c>
      <c r="B304" s="475" t="s">
        <v>4690</v>
      </c>
      <c r="C304" s="422" t="e">
        <f>VLOOKUP(B304,'Matter &amp; CI#'!$D$4:$E$595,2,FALSE)</f>
        <v>#N/A</v>
      </c>
      <c r="D304" s="476" t="s">
        <v>12</v>
      </c>
      <c r="E304" s="476" t="s">
        <v>8</v>
      </c>
      <c r="F304" s="476" t="s">
        <v>9</v>
      </c>
      <c r="G304" s="475" t="s">
        <v>2013</v>
      </c>
      <c r="H304" s="516"/>
      <c r="I304" s="477" t="s">
        <v>11</v>
      </c>
      <c r="J304" s="476" t="s">
        <v>12</v>
      </c>
      <c r="K304" s="476" t="s">
        <v>7</v>
      </c>
      <c r="L304" s="184">
        <v>42916</v>
      </c>
      <c r="M304" s="184">
        <v>42916</v>
      </c>
      <c r="N304" s="480">
        <v>816.93</v>
      </c>
      <c r="O304" s="478" t="str">
        <f>IFERROR(VLOOKUP(A304,[1]Approval!A:C,3,FALSE),"")</f>
        <v/>
      </c>
      <c r="P304" s="184" t="str">
        <f>IFERROR(VLOOKUP(A304,[1]Approval!A:J,10,FALSE),"")</f>
        <v/>
      </c>
      <c r="R304" s="425">
        <f>2020-YEAR(Table227[[#This Row],[In-
Service
Date]])</f>
        <v>3</v>
      </c>
      <c r="S304" s="308">
        <f>+Table227[[#This Row],[Proj To Date
Actuals]]*1.02^R304</f>
        <v>866.93265143999986</v>
      </c>
    </row>
    <row r="305" spans="1:19" x14ac:dyDescent="0.25">
      <c r="A305" s="476" t="s">
        <v>726</v>
      </c>
      <c r="B305" s="475" t="s">
        <v>4691</v>
      </c>
      <c r="C305" s="422" t="e">
        <f>VLOOKUP(B305,'Matter &amp; CI#'!$D$4:$E$595,2,FALSE)</f>
        <v>#N/A</v>
      </c>
      <c r="D305" s="476" t="s">
        <v>12</v>
      </c>
      <c r="E305" s="476" t="s">
        <v>8</v>
      </c>
      <c r="F305" s="476" t="s">
        <v>9</v>
      </c>
      <c r="G305" s="475" t="s">
        <v>2013</v>
      </c>
      <c r="H305" s="516"/>
      <c r="I305" s="477" t="s">
        <v>11</v>
      </c>
      <c r="J305" s="476" t="s">
        <v>12</v>
      </c>
      <c r="K305" s="476" t="s">
        <v>7</v>
      </c>
      <c r="L305" s="184">
        <v>42916</v>
      </c>
      <c r="M305" s="184">
        <v>42940</v>
      </c>
      <c r="N305" s="480">
        <v>450.88</v>
      </c>
      <c r="O305" s="478" t="str">
        <f>IFERROR(VLOOKUP(A305,[1]Approval!A:C,3,FALSE),"")</f>
        <v>FIN Approval - Internal</v>
      </c>
      <c r="P305" s="184">
        <f>IFERROR(VLOOKUP(A305,[1]Approval!A:J,10,FALSE),"")</f>
        <v>42940</v>
      </c>
      <c r="R305" s="425">
        <f>2020-YEAR(Table227[[#This Row],[In-
Service
Date]])</f>
        <v>3</v>
      </c>
      <c r="S305" s="308">
        <f>+Table227[[#This Row],[Proj To Date
Actuals]]*1.02^R305</f>
        <v>478.47746303999998</v>
      </c>
    </row>
    <row r="306" spans="1:19" x14ac:dyDescent="0.25">
      <c r="A306" s="476" t="s">
        <v>968</v>
      </c>
      <c r="B306" s="475" t="s">
        <v>4692</v>
      </c>
      <c r="C306" s="422" t="e">
        <f>VLOOKUP(B306,'Matter &amp; CI#'!$D$4:$E$595,2,FALSE)</f>
        <v>#N/A</v>
      </c>
      <c r="D306" s="476" t="s">
        <v>969</v>
      </c>
      <c r="E306" s="476" t="s">
        <v>10</v>
      </c>
      <c r="F306" s="476" t="s">
        <v>9</v>
      </c>
      <c r="G306" s="475" t="s">
        <v>2013</v>
      </c>
      <c r="H306" s="516"/>
      <c r="I306" s="477" t="s">
        <v>11</v>
      </c>
      <c r="J306" s="476" t="s">
        <v>12</v>
      </c>
      <c r="K306" s="476" t="s">
        <v>28</v>
      </c>
      <c r="L306" s="184">
        <v>42916</v>
      </c>
      <c r="N306" s="480">
        <v>12552.47</v>
      </c>
      <c r="O306" s="478" t="str">
        <f>IFERROR(VLOOKUP(A306,[1]Approval!A:C,3,FALSE),"")</f>
        <v/>
      </c>
      <c r="P306" s="184" t="str">
        <f>IFERROR(VLOOKUP(A306,[1]Approval!A:J,10,FALSE),"")</f>
        <v/>
      </c>
      <c r="R306" s="425">
        <f>2020-YEAR(Table227[[#This Row],[In-
Service
Date]])</f>
        <v>3</v>
      </c>
      <c r="S306" s="308">
        <f>+Table227[[#This Row],[Proj To Date
Actuals]]*1.02^R306</f>
        <v>13320.781583759999</v>
      </c>
    </row>
    <row r="307" spans="1:19" x14ac:dyDescent="0.25">
      <c r="A307" s="476" t="s">
        <v>37</v>
      </c>
      <c r="B307" s="475" t="s">
        <v>4693</v>
      </c>
      <c r="C307" s="422" t="e">
        <f>VLOOKUP(B307,'Matter &amp; CI#'!$D$4:$E$595,2,FALSE)</f>
        <v>#N/A</v>
      </c>
      <c r="D307" s="476" t="s">
        <v>38</v>
      </c>
      <c r="E307" s="476" t="s">
        <v>8</v>
      </c>
      <c r="F307" s="476" t="s">
        <v>9</v>
      </c>
      <c r="G307" s="475" t="s">
        <v>2013</v>
      </c>
      <c r="H307" s="516"/>
      <c r="I307" s="477" t="s">
        <v>11</v>
      </c>
      <c r="J307" s="476" t="s">
        <v>13</v>
      </c>
      <c r="K307" s="476" t="s">
        <v>7</v>
      </c>
      <c r="L307" s="184">
        <v>42916</v>
      </c>
      <c r="M307" s="184">
        <v>42940</v>
      </c>
      <c r="N307" s="480">
        <v>10.41</v>
      </c>
      <c r="O307" s="478" t="str">
        <f>IFERROR(VLOOKUP(A307,[1]Approval!A:C,3,FALSE),"")</f>
        <v>FIN Approval - Internal</v>
      </c>
      <c r="P307" s="184">
        <f>IFERROR(VLOOKUP(A307,[1]Approval!A:J,10,FALSE),"")</f>
        <v>42940</v>
      </c>
      <c r="R307" s="425">
        <f>2020-YEAR(Table227[[#This Row],[In-
Service
Date]])</f>
        <v>3</v>
      </c>
      <c r="S307" s="308">
        <f>+Table227[[#This Row],[Proj To Date
Actuals]]*1.02^R307</f>
        <v>11.047175279999999</v>
      </c>
    </row>
    <row r="308" spans="1:19" x14ac:dyDescent="0.25">
      <c r="A308" s="476" t="s">
        <v>1486</v>
      </c>
      <c r="B308" s="475" t="s">
        <v>4694</v>
      </c>
      <c r="C308" s="422" t="e">
        <f>VLOOKUP(B308,'Matter &amp; CI#'!$D$4:$E$595,2,FALSE)</f>
        <v>#N/A</v>
      </c>
      <c r="D308" s="476" t="s">
        <v>13</v>
      </c>
      <c r="E308" s="476" t="s">
        <v>8</v>
      </c>
      <c r="F308" s="476" t="s">
        <v>9</v>
      </c>
      <c r="G308" s="475" t="s">
        <v>2013</v>
      </c>
      <c r="H308" s="516"/>
      <c r="I308" s="477" t="s">
        <v>11</v>
      </c>
      <c r="J308" s="476" t="s">
        <v>13</v>
      </c>
      <c r="K308" s="476" t="s">
        <v>7</v>
      </c>
      <c r="L308" s="184">
        <v>42916</v>
      </c>
      <c r="M308" s="184">
        <v>42940</v>
      </c>
      <c r="N308" s="480">
        <v>112.05</v>
      </c>
      <c r="O308" s="478" t="str">
        <f>IFERROR(VLOOKUP(A308,[1]Approval!A:C,3,FALSE),"")</f>
        <v>FIN Approval - Internal</v>
      </c>
      <c r="P308" s="184">
        <f>IFERROR(VLOOKUP(A308,[1]Approval!A:J,10,FALSE),"")</f>
        <v>42940</v>
      </c>
      <c r="R308" s="425">
        <f>2020-YEAR(Table227[[#This Row],[In-
Service
Date]])</f>
        <v>3</v>
      </c>
      <c r="S308" s="308">
        <f>+Table227[[#This Row],[Proj To Date
Actuals]]*1.02^R308</f>
        <v>118.90835639999999</v>
      </c>
    </row>
    <row r="309" spans="1:19" x14ac:dyDescent="0.25">
      <c r="A309" s="476" t="s">
        <v>1742</v>
      </c>
      <c r="B309" s="475" t="s">
        <v>4695</v>
      </c>
      <c r="C309" s="422" t="e">
        <f>VLOOKUP(B309,'Matter &amp; CI#'!$D$4:$E$595,2,FALSE)</f>
        <v>#N/A</v>
      </c>
      <c r="D309" s="476" t="s">
        <v>13</v>
      </c>
      <c r="E309" s="476" t="s">
        <v>8</v>
      </c>
      <c r="F309" s="476" t="s">
        <v>9</v>
      </c>
      <c r="G309" s="475" t="s">
        <v>2013</v>
      </c>
      <c r="H309" s="516"/>
      <c r="I309" s="477" t="s">
        <v>11</v>
      </c>
      <c r="J309" s="476" t="s">
        <v>13</v>
      </c>
      <c r="K309" s="476" t="s">
        <v>7</v>
      </c>
      <c r="L309" s="184">
        <v>42916</v>
      </c>
      <c r="M309" s="184">
        <v>42940</v>
      </c>
      <c r="N309" s="480">
        <v>466.18</v>
      </c>
      <c r="O309" s="478" t="str">
        <f>IFERROR(VLOOKUP(A309,[1]Approval!A:C,3,FALSE),"")</f>
        <v>FIN Approval - Internal</v>
      </c>
      <c r="P309" s="184">
        <f>IFERROR(VLOOKUP(A309,[1]Approval!A:J,10,FALSE),"")</f>
        <v>42940</v>
      </c>
      <c r="R309" s="425">
        <f>2020-YEAR(Table227[[#This Row],[In-
Service
Date]])</f>
        <v>3</v>
      </c>
      <c r="S309" s="308">
        <f>+Table227[[#This Row],[Proj To Date
Actuals]]*1.02^R309</f>
        <v>494.71394543999997</v>
      </c>
    </row>
    <row r="310" spans="1:19" x14ac:dyDescent="0.25">
      <c r="A310" s="476" t="s">
        <v>1482</v>
      </c>
      <c r="B310" s="475" t="s">
        <v>3897</v>
      </c>
      <c r="C310" s="422" t="e">
        <f>VLOOKUP(B310,'Matter &amp; CI#'!$D$4:$E$595,2,FALSE)</f>
        <v>#N/A</v>
      </c>
      <c r="D310" s="476" t="s">
        <v>1483</v>
      </c>
      <c r="E310" s="476" t="s">
        <v>8</v>
      </c>
      <c r="F310" s="476" t="s">
        <v>9</v>
      </c>
      <c r="G310" s="475" t="s">
        <v>2013</v>
      </c>
      <c r="H310" s="516"/>
      <c r="I310" s="477" t="s">
        <v>11</v>
      </c>
      <c r="J310" s="476" t="s">
        <v>43</v>
      </c>
      <c r="K310" s="476" t="s">
        <v>18</v>
      </c>
      <c r="L310" s="184">
        <v>42940</v>
      </c>
      <c r="M310" s="184">
        <v>42940</v>
      </c>
      <c r="N310" s="480">
        <v>262.62</v>
      </c>
      <c r="O310" s="478" t="str">
        <f>IFERROR(VLOOKUP(A310,[1]Approval!A:C,3,FALSE),"")</f>
        <v>FIN Approval - Internal</v>
      </c>
      <c r="P310" s="184">
        <f>IFERROR(VLOOKUP(A310,[1]Approval!A:J,10,FALSE),"")</f>
        <v>42940</v>
      </c>
      <c r="R310" s="425">
        <f>2020-YEAR(Table227[[#This Row],[In-
Service
Date]])</f>
        <v>3</v>
      </c>
      <c r="S310" s="308">
        <f>+Table227[[#This Row],[Proj To Date
Actuals]]*1.02^R310</f>
        <v>278.69444496</v>
      </c>
    </row>
    <row r="311" spans="1:19" x14ac:dyDescent="0.25">
      <c r="A311" s="476" t="s">
        <v>253</v>
      </c>
      <c r="B311" s="475" t="s">
        <v>3900</v>
      </c>
      <c r="C311" s="422" t="e">
        <f>VLOOKUP(B311,'Matter &amp; CI#'!$D$4:$E$595,2,FALSE)</f>
        <v>#N/A</v>
      </c>
      <c r="D311" s="476" t="s">
        <v>254</v>
      </c>
      <c r="E311" s="476" t="s">
        <v>8</v>
      </c>
      <c r="F311" s="476" t="s">
        <v>9</v>
      </c>
      <c r="G311" s="475" t="s">
        <v>2013</v>
      </c>
      <c r="H311" s="516"/>
      <c r="I311" s="477" t="s">
        <v>11</v>
      </c>
      <c r="J311" s="476" t="s">
        <v>43</v>
      </c>
      <c r="K311" s="476" t="s">
        <v>18</v>
      </c>
      <c r="L311" s="184">
        <v>42940</v>
      </c>
      <c r="M311" s="184">
        <v>42940</v>
      </c>
      <c r="N311" s="480">
        <v>356.2</v>
      </c>
      <c r="O311" s="478" t="str">
        <f>IFERROR(VLOOKUP(A311,[1]Approval!A:C,3,FALSE),"")</f>
        <v>FIN Approval - Internal</v>
      </c>
      <c r="P311" s="184">
        <f>IFERROR(VLOOKUP(A311,[1]Approval!A:J,10,FALSE),"")</f>
        <v>42940</v>
      </c>
      <c r="R311" s="425">
        <f>2020-YEAR(Table227[[#This Row],[In-
Service
Date]])</f>
        <v>3</v>
      </c>
      <c r="S311" s="308">
        <f>+Table227[[#This Row],[Proj To Date
Actuals]]*1.02^R311</f>
        <v>378.00228959999998</v>
      </c>
    </row>
    <row r="312" spans="1:19" x14ac:dyDescent="0.25">
      <c r="A312" s="476" t="s">
        <v>246</v>
      </c>
      <c r="B312" s="475" t="s">
        <v>3905</v>
      </c>
      <c r="C312" s="422" t="e">
        <f>VLOOKUP(B312,'Matter &amp; CI#'!$D$4:$E$595,2,FALSE)</f>
        <v>#N/A</v>
      </c>
      <c r="D312" s="476" t="s">
        <v>247</v>
      </c>
      <c r="E312" s="476" t="s">
        <v>8</v>
      </c>
      <c r="F312" s="476" t="s">
        <v>9</v>
      </c>
      <c r="G312" s="475" t="s">
        <v>2013</v>
      </c>
      <c r="H312" s="516"/>
      <c r="I312" s="477" t="s">
        <v>11</v>
      </c>
      <c r="J312" s="476" t="s">
        <v>248</v>
      </c>
      <c r="K312" s="476" t="s">
        <v>18</v>
      </c>
      <c r="L312" s="184">
        <v>42940</v>
      </c>
      <c r="M312" s="184">
        <v>42940</v>
      </c>
      <c r="N312" s="480">
        <v>999874.74</v>
      </c>
      <c r="O312" s="478" t="str">
        <f>IFERROR(VLOOKUP(A312,[1]Approval!A:C,3,FALSE),"")</f>
        <v>FIN Approval - Internal</v>
      </c>
      <c r="P312" s="184">
        <f>IFERROR(VLOOKUP(A312,[1]Approval!A:J,10,FALSE),"")</f>
        <v>42940</v>
      </c>
      <c r="R312" s="425">
        <f>2020-YEAR(Table227[[#This Row],[In-
Service
Date]])</f>
        <v>3</v>
      </c>
      <c r="S312" s="308">
        <f>+Table227[[#This Row],[Proj To Date
Actuals]]*1.02^R312</f>
        <v>1061075.07308592</v>
      </c>
    </row>
    <row r="313" spans="1:19" x14ac:dyDescent="0.25">
      <c r="A313" s="476" t="s">
        <v>1738</v>
      </c>
      <c r="B313" s="475" t="s">
        <v>3906</v>
      </c>
      <c r="C313" s="422" t="e">
        <f>VLOOKUP(B313,'Matter &amp; CI#'!$D$4:$E$595,2,FALSE)</f>
        <v>#N/A</v>
      </c>
      <c r="D313" s="476" t="s">
        <v>1739</v>
      </c>
      <c r="E313" s="476" t="s">
        <v>8</v>
      </c>
      <c r="F313" s="476" t="s">
        <v>9</v>
      </c>
      <c r="G313" s="475" t="s">
        <v>2013</v>
      </c>
      <c r="H313" s="516"/>
      <c r="I313" s="477" t="s">
        <v>11</v>
      </c>
      <c r="J313" s="476" t="s">
        <v>17</v>
      </c>
      <c r="K313" s="476" t="s">
        <v>18</v>
      </c>
      <c r="L313" s="184">
        <v>42940</v>
      </c>
      <c r="M313" s="184">
        <v>42940</v>
      </c>
      <c r="N313" s="480">
        <v>12211005.109999999</v>
      </c>
      <c r="O313" s="478" t="str">
        <f>IFERROR(VLOOKUP(A313,[1]Approval!A:C,3,FALSE),"")</f>
        <v>FIN Approval - Internal</v>
      </c>
      <c r="P313" s="184">
        <f>IFERROR(VLOOKUP(A313,[1]Approval!A:J,10,FALSE),"")</f>
        <v>42940</v>
      </c>
      <c r="R313" s="425">
        <f>2020-YEAR(Table227[[#This Row],[In-
Service
Date]])</f>
        <v>3</v>
      </c>
      <c r="S313" s="308">
        <f>+Table227[[#This Row],[Proj To Date
Actuals]]*1.02^R313</f>
        <v>12958416.310772879</v>
      </c>
    </row>
    <row r="314" spans="1:19" x14ac:dyDescent="0.25">
      <c r="A314" s="476" t="s">
        <v>722</v>
      </c>
      <c r="B314" s="475" t="s">
        <v>3907</v>
      </c>
      <c r="C314" s="422" t="e">
        <f>VLOOKUP(B314,'Matter &amp; CI#'!$D$4:$E$595,2,FALSE)</f>
        <v>#N/A</v>
      </c>
      <c r="D314" s="476" t="s">
        <v>723</v>
      </c>
      <c r="E314" s="476" t="s">
        <v>8</v>
      </c>
      <c r="F314" s="476" t="s">
        <v>9</v>
      </c>
      <c r="G314" s="475" t="s">
        <v>2013</v>
      </c>
      <c r="H314" s="516"/>
      <c r="I314" s="477" t="s">
        <v>11</v>
      </c>
      <c r="J314" s="476" t="s">
        <v>23</v>
      </c>
      <c r="K314" s="476" t="s">
        <v>18</v>
      </c>
      <c r="L314" s="184">
        <v>42940</v>
      </c>
      <c r="M314" s="184">
        <v>42940</v>
      </c>
      <c r="N314" s="480">
        <v>3877205.28</v>
      </c>
      <c r="O314" s="478" t="str">
        <f>IFERROR(VLOOKUP(A314,[1]Approval!A:C,3,FALSE),"")</f>
        <v>FIN Approval - Internal</v>
      </c>
      <c r="P314" s="184">
        <f>IFERROR(VLOOKUP(A314,[1]Approval!A:J,10,FALSE),"")</f>
        <v>42940</v>
      </c>
      <c r="R314" s="425">
        <f>2020-YEAR(Table227[[#This Row],[In-
Service
Date]])</f>
        <v>3</v>
      </c>
      <c r="S314" s="308">
        <f>+Table227[[#This Row],[Proj To Date
Actuals]]*1.02^R314</f>
        <v>4114521.2607782395</v>
      </c>
    </row>
    <row r="315" spans="1:19" x14ac:dyDescent="0.25">
      <c r="A315" s="476" t="s">
        <v>1478</v>
      </c>
      <c r="B315" s="475" t="s">
        <v>3910</v>
      </c>
      <c r="C315" s="422" t="e">
        <f>VLOOKUP(B315,'Matter &amp; CI#'!$D$4:$E$595,2,FALSE)</f>
        <v>#N/A</v>
      </c>
      <c r="D315" s="476" t="s">
        <v>1479</v>
      </c>
      <c r="E315" s="476" t="s">
        <v>8</v>
      </c>
      <c r="F315" s="476" t="s">
        <v>9</v>
      </c>
      <c r="G315" s="475" t="s">
        <v>2013</v>
      </c>
      <c r="H315" s="516"/>
      <c r="I315" s="477" t="s">
        <v>11</v>
      </c>
      <c r="J315" s="476" t="s">
        <v>248</v>
      </c>
      <c r="K315" s="476" t="s">
        <v>18</v>
      </c>
      <c r="L315" s="184">
        <v>42940</v>
      </c>
      <c r="M315" s="184">
        <v>42940</v>
      </c>
      <c r="N315" s="480">
        <v>306690.56</v>
      </c>
      <c r="O315" s="478" t="str">
        <f>IFERROR(VLOOKUP(A315,[1]Approval!A:C,3,FALSE),"")</f>
        <v>FIN Approval - Internal</v>
      </c>
      <c r="P315" s="184">
        <f>IFERROR(VLOOKUP(A315,[1]Approval!A:J,10,FALSE),"")</f>
        <v>42940</v>
      </c>
      <c r="R315" s="425">
        <f>2020-YEAR(Table227[[#This Row],[In-
Service
Date]])</f>
        <v>3</v>
      </c>
      <c r="S315" s="308">
        <f>+Table227[[#This Row],[Proj To Date
Actuals]]*1.02^R315</f>
        <v>325462.47579647996</v>
      </c>
    </row>
    <row r="316" spans="1:19" x14ac:dyDescent="0.25">
      <c r="A316" s="476" t="s">
        <v>962</v>
      </c>
      <c r="B316" s="475" t="s">
        <v>3911</v>
      </c>
      <c r="C316" s="422" t="e">
        <f>VLOOKUP(B316,'Matter &amp; CI#'!$D$4:$E$595,2,FALSE)</f>
        <v>#N/A</v>
      </c>
      <c r="D316" s="476" t="s">
        <v>963</v>
      </c>
      <c r="E316" s="476" t="s">
        <v>8</v>
      </c>
      <c r="F316" s="476" t="s">
        <v>9</v>
      </c>
      <c r="G316" s="475" t="s">
        <v>2013</v>
      </c>
      <c r="H316" s="516"/>
      <c r="I316" s="477" t="s">
        <v>11</v>
      </c>
      <c r="J316" s="476" t="s">
        <v>248</v>
      </c>
      <c r="K316" s="476" t="s">
        <v>18</v>
      </c>
      <c r="L316" s="184">
        <v>42940</v>
      </c>
      <c r="M316" s="184">
        <v>42940</v>
      </c>
      <c r="N316" s="480">
        <v>635133.71</v>
      </c>
      <c r="O316" s="478" t="str">
        <f>IFERROR(VLOOKUP(A316,[1]Approval!A:C,3,FALSE),"")</f>
        <v>FIN Approval - Internal</v>
      </c>
      <c r="P316" s="184">
        <f>IFERROR(VLOOKUP(A316,[1]Approval!A:J,10,FALSE),"")</f>
        <v>42940</v>
      </c>
      <c r="R316" s="425">
        <f>2020-YEAR(Table227[[#This Row],[In-
Service
Date]])</f>
        <v>3</v>
      </c>
      <c r="S316" s="308">
        <f>+Table227[[#This Row],[Proj To Date
Actuals]]*1.02^R316</f>
        <v>674008.9741216799</v>
      </c>
    </row>
    <row r="317" spans="1:19" x14ac:dyDescent="0.25">
      <c r="A317" s="476" t="s">
        <v>15</v>
      </c>
      <c r="B317" s="475" t="s">
        <v>3912</v>
      </c>
      <c r="C317" s="422" t="e">
        <f>VLOOKUP(B317,'Matter &amp; CI#'!$D$4:$E$595,2,FALSE)</f>
        <v>#N/A</v>
      </c>
      <c r="D317" s="476" t="s">
        <v>16</v>
      </c>
      <c r="E317" s="476" t="s">
        <v>8</v>
      </c>
      <c r="F317" s="476" t="s">
        <v>9</v>
      </c>
      <c r="G317" s="475" t="s">
        <v>2013</v>
      </c>
      <c r="H317" s="516"/>
      <c r="I317" s="477" t="s">
        <v>11</v>
      </c>
      <c r="J317" s="476" t="s">
        <v>17</v>
      </c>
      <c r="K317" s="476" t="s">
        <v>18</v>
      </c>
      <c r="L317" s="184">
        <v>42940</v>
      </c>
      <c r="M317" s="184">
        <v>42940</v>
      </c>
      <c r="N317" s="480">
        <v>5097221.45</v>
      </c>
      <c r="O317" s="478" t="str">
        <f>IFERROR(VLOOKUP(A317,[1]Approval!A:C,3,FALSE),"")</f>
        <v>FIN Approval - Internal</v>
      </c>
      <c r="P317" s="184">
        <f>IFERROR(VLOOKUP(A317,[1]Approval!A:J,10,FALSE),"")</f>
        <v>42940</v>
      </c>
      <c r="R317" s="425">
        <f>2020-YEAR(Table227[[#This Row],[In-
Service
Date]])</f>
        <v>3</v>
      </c>
      <c r="S317" s="308">
        <f>+Table227[[#This Row],[Proj To Date
Actuals]]*1.02^R317</f>
        <v>5409212.1805115994</v>
      </c>
    </row>
    <row r="318" spans="1:19" x14ac:dyDescent="0.25">
      <c r="A318" s="476" t="s">
        <v>964</v>
      </c>
      <c r="B318" s="475" t="s">
        <v>3913</v>
      </c>
      <c r="C318" s="422" t="e">
        <f>VLOOKUP(B318,'Matter &amp; CI#'!$D$4:$E$595,2,FALSE)</f>
        <v>#N/A</v>
      </c>
      <c r="D318" s="476" t="s">
        <v>965</v>
      </c>
      <c r="E318" s="476" t="s">
        <v>8</v>
      </c>
      <c r="F318" s="476" t="s">
        <v>9</v>
      </c>
      <c r="G318" s="475" t="s">
        <v>2013</v>
      </c>
      <c r="H318" s="516"/>
      <c r="I318" s="477" t="s">
        <v>11</v>
      </c>
      <c r="J318" s="476" t="s">
        <v>17</v>
      </c>
      <c r="K318" s="476" t="s">
        <v>18</v>
      </c>
      <c r="L318" s="184">
        <v>42940</v>
      </c>
      <c r="M318" s="184">
        <v>42940</v>
      </c>
      <c r="N318" s="480">
        <v>5342649.51</v>
      </c>
      <c r="O318" s="478" t="str">
        <f>IFERROR(VLOOKUP(A318,[1]Approval!A:C,3,FALSE),"")</f>
        <v>FIN Approval - Internal</v>
      </c>
      <c r="P318" s="184">
        <f>IFERROR(VLOOKUP(A318,[1]Approval!A:J,10,FALSE),"")</f>
        <v>42940</v>
      </c>
      <c r="R318" s="425">
        <f>2020-YEAR(Table227[[#This Row],[In-
Service
Date]])</f>
        <v>3</v>
      </c>
      <c r="S318" s="308">
        <f>+Table227[[#This Row],[Proj To Date
Actuals]]*1.02^R318</f>
        <v>5669662.4012080794</v>
      </c>
    </row>
    <row r="319" spans="1:19" x14ac:dyDescent="0.25">
      <c r="A319" s="476" t="s">
        <v>731</v>
      </c>
      <c r="B319" s="475" t="s">
        <v>3917</v>
      </c>
      <c r="C319" s="422" t="e">
        <f>VLOOKUP(B319,'Matter &amp; CI#'!$D$4:$E$595,2,FALSE)</f>
        <v>#N/A</v>
      </c>
      <c r="D319" s="476" t="s">
        <v>732</v>
      </c>
      <c r="E319" s="476" t="s">
        <v>10</v>
      </c>
      <c r="F319" s="476" t="s">
        <v>9</v>
      </c>
      <c r="G319" s="475" t="s">
        <v>2013</v>
      </c>
      <c r="H319" s="516"/>
      <c r="I319" s="477" t="s">
        <v>11</v>
      </c>
      <c r="J319" s="476" t="s">
        <v>248</v>
      </c>
      <c r="K319" s="476" t="s">
        <v>18</v>
      </c>
      <c r="L319" s="184">
        <v>42940</v>
      </c>
      <c r="M319" s="184">
        <v>42940</v>
      </c>
      <c r="N319" s="480">
        <v>-1824.75</v>
      </c>
      <c r="O319" s="478" t="str">
        <f>IFERROR(VLOOKUP(A319,[1]Approval!A:C,3,FALSE),"")</f>
        <v>FIN Approval - Internal</v>
      </c>
      <c r="P319" s="184">
        <f>IFERROR(VLOOKUP(A319,[1]Approval!A:J,10,FALSE),"")</f>
        <v>42940</v>
      </c>
      <c r="R319" s="425">
        <f>2020-YEAR(Table227[[#This Row],[In-
Service
Date]])</f>
        <v>3</v>
      </c>
      <c r="S319" s="308">
        <f>+Table227[[#This Row],[Proj To Date
Actuals]]*1.02^R319</f>
        <v>-1936.4392979999998</v>
      </c>
    </row>
    <row r="320" spans="1:19" x14ac:dyDescent="0.25">
      <c r="A320" s="476" t="s">
        <v>1214</v>
      </c>
      <c r="B320" s="475" t="s">
        <v>3918</v>
      </c>
      <c r="C320" s="422" t="e">
        <f>VLOOKUP(B320,'Matter &amp; CI#'!$D$4:$E$595,2,FALSE)</f>
        <v>#N/A</v>
      </c>
      <c r="D320" s="476" t="s">
        <v>1215</v>
      </c>
      <c r="E320" s="476" t="s">
        <v>10</v>
      </c>
      <c r="F320" s="476" t="s">
        <v>9</v>
      </c>
      <c r="G320" s="475" t="s">
        <v>2013</v>
      </c>
      <c r="H320" s="516"/>
      <c r="I320" s="477" t="s">
        <v>11</v>
      </c>
      <c r="J320" s="476" t="s">
        <v>17</v>
      </c>
      <c r="K320" s="476" t="s">
        <v>18</v>
      </c>
      <c r="L320" s="184">
        <v>42940</v>
      </c>
      <c r="M320" s="184">
        <v>42940</v>
      </c>
      <c r="N320" s="480">
        <v>251904.82</v>
      </c>
      <c r="O320" s="478" t="str">
        <f>IFERROR(VLOOKUP(A320,[1]Approval!A:C,3,FALSE),"")</f>
        <v>FIN Approval - Internal</v>
      </c>
      <c r="P320" s="184">
        <f>IFERROR(VLOOKUP(A320,[1]Approval!A:J,10,FALSE),"")</f>
        <v>42940</v>
      </c>
      <c r="R320" s="425">
        <f>2020-YEAR(Table227[[#This Row],[In-
Service
Date]])</f>
        <v>3</v>
      </c>
      <c r="S320" s="308">
        <f>+Table227[[#This Row],[Proj To Date
Actuals]]*1.02^R320</f>
        <v>267323.41022255999</v>
      </c>
    </row>
    <row r="321" spans="1:19" x14ac:dyDescent="0.25">
      <c r="A321" s="476" t="s">
        <v>724</v>
      </c>
      <c r="B321" s="475" t="s">
        <v>3919</v>
      </c>
      <c r="C321" s="422" t="e">
        <f>VLOOKUP(B321,'Matter &amp; CI#'!$D$4:$E$595,2,FALSE)</f>
        <v>#N/A</v>
      </c>
      <c r="D321" s="476" t="s">
        <v>725</v>
      </c>
      <c r="E321" s="476" t="s">
        <v>10</v>
      </c>
      <c r="F321" s="476" t="s">
        <v>9</v>
      </c>
      <c r="G321" s="475" t="s">
        <v>2013</v>
      </c>
      <c r="H321" s="516"/>
      <c r="I321" s="477" t="s">
        <v>11</v>
      </c>
      <c r="J321" s="476" t="s">
        <v>23</v>
      </c>
      <c r="K321" s="476" t="s">
        <v>18</v>
      </c>
      <c r="L321" s="184">
        <v>42940</v>
      </c>
      <c r="M321" s="184">
        <v>42940</v>
      </c>
      <c r="N321" s="480">
        <v>947592.74</v>
      </c>
      <c r="O321" s="478" t="str">
        <f>IFERROR(VLOOKUP(A321,[1]Approval!A:C,3,FALSE),"")</f>
        <v>FIN Approval - Internal</v>
      </c>
      <c r="P321" s="184">
        <f>IFERROR(VLOOKUP(A321,[1]Approval!A:J,10,FALSE),"")</f>
        <v>42940</v>
      </c>
      <c r="R321" s="425">
        <f>2020-YEAR(Table227[[#This Row],[In-
Service
Date]])</f>
        <v>3</v>
      </c>
      <c r="S321" s="308">
        <f>+Table227[[#This Row],[Proj To Date
Actuals]]*1.02^R321</f>
        <v>1005592.99642992</v>
      </c>
    </row>
    <row r="322" spans="1:19" x14ac:dyDescent="0.25">
      <c r="A322" s="476" t="s">
        <v>494</v>
      </c>
      <c r="B322" s="475" t="s">
        <v>4696</v>
      </c>
      <c r="C322" s="422" t="e">
        <f>VLOOKUP(B322,'Matter &amp; CI#'!$D$4:$E$595,2,FALSE)</f>
        <v>#N/A</v>
      </c>
      <c r="D322" s="476" t="s">
        <v>495</v>
      </c>
      <c r="E322" s="476" t="s">
        <v>8</v>
      </c>
      <c r="F322" s="476" t="s">
        <v>9</v>
      </c>
      <c r="G322" s="475" t="s">
        <v>2013</v>
      </c>
      <c r="H322" s="516"/>
      <c r="I322" s="477" t="s">
        <v>11</v>
      </c>
      <c r="J322" s="476" t="s">
        <v>182</v>
      </c>
      <c r="K322" s="476" t="s">
        <v>18</v>
      </c>
      <c r="L322" s="184">
        <v>42940</v>
      </c>
      <c r="M322" s="184">
        <v>42940</v>
      </c>
      <c r="N322" s="480">
        <v>10.41</v>
      </c>
      <c r="O322" s="478" t="str">
        <f>IFERROR(VLOOKUP(A322,[1]Approval!A:C,3,FALSE),"")</f>
        <v>FIN Approval - Internal</v>
      </c>
      <c r="P322" s="184">
        <f>IFERROR(VLOOKUP(A322,[1]Approval!A:J,10,FALSE),"")</f>
        <v>42940</v>
      </c>
      <c r="R322" s="425">
        <f>2020-YEAR(Table227[[#This Row],[In-
Service
Date]])</f>
        <v>3</v>
      </c>
      <c r="S322" s="308">
        <f>+Table227[[#This Row],[Proj To Date
Actuals]]*1.02^R322</f>
        <v>11.047175279999999</v>
      </c>
    </row>
    <row r="323" spans="1:19" x14ac:dyDescent="0.25">
      <c r="A323" s="476" t="s">
        <v>1348</v>
      </c>
      <c r="B323" s="475" t="s">
        <v>4381</v>
      </c>
      <c r="C323" s="422" t="e">
        <f>VLOOKUP(B323,'Matter &amp; CI#'!$D$4:$E$595,2,FALSE)</f>
        <v>#N/A</v>
      </c>
      <c r="D323" s="476" t="s">
        <v>1349</v>
      </c>
      <c r="E323" s="476" t="s">
        <v>228</v>
      </c>
      <c r="F323" s="476" t="s">
        <v>9</v>
      </c>
      <c r="G323" s="475" t="s">
        <v>2013</v>
      </c>
      <c r="H323" s="516"/>
      <c r="I323" s="477" t="s">
        <v>5</v>
      </c>
      <c r="J323" s="476" t="s">
        <v>6</v>
      </c>
      <c r="K323" s="476" t="s">
        <v>28</v>
      </c>
      <c r="L323" s="184">
        <v>42947</v>
      </c>
      <c r="N323" s="480">
        <v>29834.400000000001</v>
      </c>
      <c r="O323" s="478" t="str">
        <f>IFERROR(VLOOKUP(A323,[1]Approval!A:C,3,FALSE),"")</f>
        <v/>
      </c>
      <c r="P323" s="184" t="str">
        <f>IFERROR(VLOOKUP(A323,[1]Approval!A:J,10,FALSE),"")</f>
        <v/>
      </c>
      <c r="R323" s="425">
        <f>2020-YEAR(Table227[[#This Row],[In-
Service
Date]])</f>
        <v>3</v>
      </c>
      <c r="S323" s="308">
        <f>+Table227[[#This Row],[Proj To Date
Actuals]]*1.02^R323</f>
        <v>31660.503955199998</v>
      </c>
    </row>
    <row r="324" spans="1:19" x14ac:dyDescent="0.25">
      <c r="A324" s="476" t="s">
        <v>421</v>
      </c>
      <c r="B324" s="475" t="s">
        <v>4480</v>
      </c>
      <c r="C324" s="422" t="e">
        <f>VLOOKUP(B324,'Matter &amp; CI#'!$D$4:$E$595,2,FALSE)</f>
        <v>#N/A</v>
      </c>
      <c r="D324" s="476" t="s">
        <v>422</v>
      </c>
      <c r="E324" s="476" t="s">
        <v>10</v>
      </c>
      <c r="F324" s="476" t="s">
        <v>9</v>
      </c>
      <c r="G324" s="475" t="s">
        <v>2013</v>
      </c>
      <c r="H324" s="516"/>
      <c r="I324" s="477" t="s">
        <v>5</v>
      </c>
      <c r="J324" s="476" t="s">
        <v>14</v>
      </c>
      <c r="K324" s="476" t="s">
        <v>7</v>
      </c>
      <c r="L324" s="184">
        <v>42947</v>
      </c>
      <c r="M324" s="184">
        <v>43343</v>
      </c>
      <c r="N324" s="480">
        <v>53588.959999999999</v>
      </c>
      <c r="O324" s="478" t="str">
        <f>IFERROR(VLOOKUP(A324,[1]Approval!A:C,3,FALSE),"")</f>
        <v>FIN Approval - Internal</v>
      </c>
      <c r="P324" s="184">
        <f>IFERROR(VLOOKUP(A324,[1]Approval!A:J,10,FALSE),"")</f>
        <v>43280</v>
      </c>
      <c r="R324" s="425">
        <f>2020-YEAR(Table227[[#This Row],[In-
Service
Date]])</f>
        <v>3</v>
      </c>
      <c r="S324" s="308">
        <f>+Table227[[#This Row],[Proj To Date
Actuals]]*1.02^R324</f>
        <v>56869.033063679992</v>
      </c>
    </row>
    <row r="325" spans="1:19" x14ac:dyDescent="0.25">
      <c r="A325" s="476" t="s">
        <v>427</v>
      </c>
      <c r="B325" s="475" t="s">
        <v>4533</v>
      </c>
      <c r="C325" s="422" t="e">
        <f>VLOOKUP(B325,'Matter &amp; CI#'!$D$4:$E$595,2,FALSE)</f>
        <v>#N/A</v>
      </c>
      <c r="D325" s="476" t="s">
        <v>428</v>
      </c>
      <c r="E325" s="476" t="s">
        <v>10</v>
      </c>
      <c r="F325" s="476" t="s">
        <v>9</v>
      </c>
      <c r="G325" s="475" t="s">
        <v>2013</v>
      </c>
      <c r="H325" s="516"/>
      <c r="I325" s="477" t="s">
        <v>5</v>
      </c>
      <c r="J325" s="476" t="s">
        <v>14</v>
      </c>
      <c r="K325" s="476" t="s">
        <v>7</v>
      </c>
      <c r="L325" s="184">
        <v>42947</v>
      </c>
      <c r="M325" s="184">
        <v>43556</v>
      </c>
      <c r="N325" s="480">
        <v>129382.28</v>
      </c>
      <c r="O325" s="478" t="str">
        <f>IFERROR(VLOOKUP(A325,[1]Approval!A:C,3,FALSE),"")</f>
        <v>FIN Approval - Internal</v>
      </c>
      <c r="P325" s="184">
        <f>IFERROR(VLOOKUP(A325,[1]Approval!A:J,10,FALSE),"")</f>
        <v>43454</v>
      </c>
      <c r="R325" s="425">
        <f>2020-YEAR(Table227[[#This Row],[In-
Service
Date]])</f>
        <v>3</v>
      </c>
      <c r="S325" s="308">
        <f>+Table227[[#This Row],[Proj To Date
Actuals]]*1.02^R325</f>
        <v>137301.51059423998</v>
      </c>
    </row>
    <row r="326" spans="1:19" x14ac:dyDescent="0.25">
      <c r="A326" s="476" t="s">
        <v>1660</v>
      </c>
      <c r="B326" s="475" t="s">
        <v>4561</v>
      </c>
      <c r="C326" s="422" t="e">
        <f>VLOOKUP(B326,'Matter &amp; CI#'!$D$4:$E$595,2,FALSE)</f>
        <v>#N/A</v>
      </c>
      <c r="D326" s="476" t="s">
        <v>1661</v>
      </c>
      <c r="E326" s="476" t="s">
        <v>89</v>
      </c>
      <c r="F326" s="476" t="s">
        <v>9</v>
      </c>
      <c r="G326" s="475" t="s">
        <v>2013</v>
      </c>
      <c r="H326" s="516"/>
      <c r="I326" s="477" t="s">
        <v>5</v>
      </c>
      <c r="J326" s="476" t="s">
        <v>6</v>
      </c>
      <c r="K326" s="476" t="s">
        <v>7</v>
      </c>
      <c r="L326" s="184">
        <v>42947</v>
      </c>
      <c r="M326" s="184">
        <v>44044</v>
      </c>
      <c r="N326" s="480">
        <v>2055132.49</v>
      </c>
      <c r="O326" s="478" t="str">
        <f>IFERROR(VLOOKUP(A326,[1]Approval!A:C,3,FALSE),"")</f>
        <v>FIN Approval - Internal</v>
      </c>
      <c r="P326" s="184">
        <f>IFERROR(VLOOKUP(A326,[1]Approval!A:J,10,FALSE),"")</f>
        <v>43999</v>
      </c>
      <c r="R326" s="425">
        <f>2020-YEAR(Table227[[#This Row],[In-
Service
Date]])</f>
        <v>3</v>
      </c>
      <c r="S326" s="308">
        <f>+Table227[[#This Row],[Proj To Date
Actuals]]*1.02^R326</f>
        <v>2180923.0394479199</v>
      </c>
    </row>
    <row r="327" spans="1:19" x14ac:dyDescent="0.25">
      <c r="A327" s="476" t="s">
        <v>660</v>
      </c>
      <c r="B327" s="475" t="s">
        <v>4584</v>
      </c>
      <c r="C327" s="422" t="e">
        <f>VLOOKUP(B327,'Matter &amp; CI#'!$D$4:$E$595,2,FALSE)</f>
        <v>#N/A</v>
      </c>
      <c r="D327" s="476" t="s">
        <v>661</v>
      </c>
      <c r="E327" s="476" t="s">
        <v>10</v>
      </c>
      <c r="F327" s="476" t="s">
        <v>9</v>
      </c>
      <c r="G327" s="475" t="s">
        <v>2013</v>
      </c>
      <c r="H327" s="516"/>
      <c r="I327" s="477" t="s">
        <v>5</v>
      </c>
      <c r="J327" s="476" t="s">
        <v>6</v>
      </c>
      <c r="K327" s="476" t="s">
        <v>7</v>
      </c>
      <c r="L327" s="184">
        <v>42947</v>
      </c>
      <c r="M327" s="184">
        <v>43677</v>
      </c>
      <c r="N327" s="480">
        <v>486542.03</v>
      </c>
      <c r="O327" s="478" t="str">
        <f>IFERROR(VLOOKUP(A327,[1]Approval!A:C,3,FALSE),"")</f>
        <v>FIN Approval - Internal</v>
      </c>
      <c r="P327" s="184">
        <f>IFERROR(VLOOKUP(A327,[1]Approval!A:J,10,FALSE),"")</f>
        <v>43584</v>
      </c>
      <c r="R327" s="425">
        <f>2020-YEAR(Table227[[#This Row],[In-
Service
Date]])</f>
        <v>3</v>
      </c>
      <c r="S327" s="308">
        <f>+Table227[[#This Row],[Proj To Date
Actuals]]*1.02^R327</f>
        <v>516322.29457223997</v>
      </c>
    </row>
    <row r="328" spans="1:19" x14ac:dyDescent="0.25">
      <c r="A328" s="476" t="s">
        <v>1136</v>
      </c>
      <c r="B328" s="475" t="s">
        <v>4593</v>
      </c>
      <c r="C328" s="422" t="e">
        <f>VLOOKUP(B328,'Matter &amp; CI#'!$D$4:$E$595,2,FALSE)</f>
        <v>#N/A</v>
      </c>
      <c r="D328" s="476" t="s">
        <v>1137</v>
      </c>
      <c r="E328" s="476" t="s">
        <v>10</v>
      </c>
      <c r="F328" s="476" t="s">
        <v>9</v>
      </c>
      <c r="G328" s="475" t="s">
        <v>2013</v>
      </c>
      <c r="H328" s="516"/>
      <c r="I328" s="477" t="s">
        <v>5</v>
      </c>
      <c r="J328" s="476" t="s">
        <v>6</v>
      </c>
      <c r="K328" s="476" t="s">
        <v>7</v>
      </c>
      <c r="L328" s="184">
        <v>42947</v>
      </c>
      <c r="M328" s="184">
        <v>43586</v>
      </c>
      <c r="N328" s="480">
        <v>521501.35</v>
      </c>
      <c r="O328" s="478" t="str">
        <f>IFERROR(VLOOKUP(A328,[1]Approval!A:C,3,FALSE),"")</f>
        <v>FIN Approval - Internal</v>
      </c>
      <c r="P328" s="184">
        <f>IFERROR(VLOOKUP(A328,[1]Approval!A:J,10,FALSE),"")</f>
        <v>43507</v>
      </c>
      <c r="R328" s="425">
        <f>2020-YEAR(Table227[[#This Row],[In-
Service
Date]])</f>
        <v>3</v>
      </c>
      <c r="S328" s="308">
        <f>+Table227[[#This Row],[Proj To Date
Actuals]]*1.02^R328</f>
        <v>553421.40463079989</v>
      </c>
    </row>
    <row r="329" spans="1:19" x14ac:dyDescent="0.25">
      <c r="A329" s="476" t="s">
        <v>903</v>
      </c>
      <c r="B329" s="475" t="s">
        <v>4608</v>
      </c>
      <c r="C329" s="422" t="e">
        <f>VLOOKUP(B329,'Matter &amp; CI#'!$D$4:$E$595,2,FALSE)</f>
        <v>#N/A</v>
      </c>
      <c r="D329" s="476" t="s">
        <v>904</v>
      </c>
      <c r="E329" s="476" t="s">
        <v>10</v>
      </c>
      <c r="F329" s="476" t="s">
        <v>9</v>
      </c>
      <c r="G329" s="475" t="s">
        <v>2013</v>
      </c>
      <c r="H329" s="516"/>
      <c r="I329" s="477" t="s">
        <v>5</v>
      </c>
      <c r="J329" s="476" t="s">
        <v>14</v>
      </c>
      <c r="K329" s="476" t="s">
        <v>28</v>
      </c>
      <c r="L329" s="184">
        <v>42947</v>
      </c>
      <c r="N329" s="480">
        <v>52284.23</v>
      </c>
      <c r="O329" s="478" t="str">
        <f>IFERROR(VLOOKUP(A329,[1]Approval!A:C,3,FALSE),"")</f>
        <v>FIN Approval - Internal</v>
      </c>
      <c r="P329" s="184">
        <f>IFERROR(VLOOKUP(A329,[1]Approval!A:J,10,FALSE),"")</f>
        <v>43374</v>
      </c>
      <c r="R329" s="425">
        <f>2020-YEAR(Table227[[#This Row],[In-
Service
Date]])</f>
        <v>3</v>
      </c>
      <c r="S329" s="308">
        <f>+Table227[[#This Row],[Proj To Date
Actuals]]*1.02^R329</f>
        <v>55484.443149840001</v>
      </c>
    </row>
    <row r="330" spans="1:19" x14ac:dyDescent="0.25">
      <c r="A330" s="476" t="s">
        <v>1386</v>
      </c>
      <c r="B330" s="475" t="s">
        <v>4614</v>
      </c>
      <c r="C330" s="422" t="e">
        <f>VLOOKUP(B330,'Matter &amp; CI#'!$D$4:$E$595,2,FALSE)</f>
        <v>#N/A</v>
      </c>
      <c r="D330" s="476" t="s">
        <v>1387</v>
      </c>
      <c r="E330" s="476" t="s">
        <v>10</v>
      </c>
      <c r="F330" s="476" t="s">
        <v>9</v>
      </c>
      <c r="G330" s="475" t="s">
        <v>2013</v>
      </c>
      <c r="H330" s="516"/>
      <c r="I330" s="477" t="s">
        <v>5</v>
      </c>
      <c r="J330" s="476" t="s">
        <v>12</v>
      </c>
      <c r="K330" s="476" t="s">
        <v>7</v>
      </c>
      <c r="L330" s="184">
        <v>42947</v>
      </c>
      <c r="M330" s="184">
        <v>43738</v>
      </c>
      <c r="N330" s="480">
        <v>148636.76</v>
      </c>
      <c r="O330" s="478" t="str">
        <f>IFERROR(VLOOKUP(A330,[1]Approval!A:C,3,FALSE),"")</f>
        <v>FIN Approval - Internal</v>
      </c>
      <c r="P330" s="184">
        <f>IFERROR(VLOOKUP(A330,[1]Approval!A:J,10,FALSE),"")</f>
        <v>43677</v>
      </c>
      <c r="R330" s="425">
        <f>2020-YEAR(Table227[[#This Row],[In-
Service
Date]])</f>
        <v>3</v>
      </c>
      <c r="S330" s="308">
        <f>+Table227[[#This Row],[Proj To Date
Actuals]]*1.02^R330</f>
        <v>157734.51880608001</v>
      </c>
    </row>
    <row r="331" spans="1:19" x14ac:dyDescent="0.25">
      <c r="A331" s="476" t="s">
        <v>1933</v>
      </c>
      <c r="B331" s="475" t="s">
        <v>4617</v>
      </c>
      <c r="C331" s="422" t="e">
        <f>VLOOKUP(B331,'Matter &amp; CI#'!$D$4:$E$595,2,FALSE)</f>
        <v>#N/A</v>
      </c>
      <c r="D331" s="476" t="s">
        <v>1934</v>
      </c>
      <c r="E331" s="476" t="s">
        <v>10</v>
      </c>
      <c r="F331" s="476" t="s">
        <v>9</v>
      </c>
      <c r="G331" s="475" t="s">
        <v>2013</v>
      </c>
      <c r="H331" s="516"/>
      <c r="I331" s="477" t="s">
        <v>5</v>
      </c>
      <c r="J331" s="476" t="s">
        <v>12</v>
      </c>
      <c r="K331" s="476" t="s">
        <v>7</v>
      </c>
      <c r="L331" s="184">
        <v>42947</v>
      </c>
      <c r="M331" s="184">
        <v>43586</v>
      </c>
      <c r="N331" s="480">
        <v>92508.02</v>
      </c>
      <c r="O331" s="478" t="str">
        <f>IFERROR(VLOOKUP(A331,[1]Approval!A:C,3,FALSE),"")</f>
        <v>FIN Approval - Internal</v>
      </c>
      <c r="P331" s="184">
        <f>IFERROR(VLOOKUP(A331,[1]Approval!A:J,10,FALSE),"")</f>
        <v>43507</v>
      </c>
      <c r="R331" s="425">
        <f>2020-YEAR(Table227[[#This Row],[In-
Service
Date]])</f>
        <v>3</v>
      </c>
      <c r="S331" s="308">
        <f>+Table227[[#This Row],[Proj To Date
Actuals]]*1.02^R331</f>
        <v>98170.250888159993</v>
      </c>
    </row>
    <row r="332" spans="1:19" x14ac:dyDescent="0.25">
      <c r="A332" s="476" t="s">
        <v>1680</v>
      </c>
      <c r="B332" s="475" t="s">
        <v>4639</v>
      </c>
      <c r="C332" s="422" t="e">
        <f>VLOOKUP(B332,'Matter &amp; CI#'!$D$4:$E$595,2,FALSE)</f>
        <v>#N/A</v>
      </c>
      <c r="D332" s="476" t="s">
        <v>1681</v>
      </c>
      <c r="E332" s="476" t="s">
        <v>10</v>
      </c>
      <c r="F332" s="476" t="s">
        <v>9</v>
      </c>
      <c r="G332" s="475" t="s">
        <v>2013</v>
      </c>
      <c r="H332" s="516"/>
      <c r="I332" s="477" t="s">
        <v>5</v>
      </c>
      <c r="J332" s="476" t="s">
        <v>14</v>
      </c>
      <c r="K332" s="476" t="s">
        <v>7</v>
      </c>
      <c r="L332" s="184">
        <v>42947</v>
      </c>
      <c r="M332" s="184">
        <v>43830</v>
      </c>
      <c r="N332" s="480">
        <v>36050.199999999997</v>
      </c>
      <c r="O332" s="478" t="str">
        <f>IFERROR(VLOOKUP(A332,[1]Approval!A:C,3,FALSE),"")</f>
        <v>FIN Approval - Internal</v>
      </c>
      <c r="P332" s="184">
        <f>IFERROR(VLOOKUP(A332,[1]Approval!A:J,10,FALSE),"")</f>
        <v>43797</v>
      </c>
      <c r="R332" s="425">
        <f>2020-YEAR(Table227[[#This Row],[In-
Service
Date]])</f>
        <v>3</v>
      </c>
      <c r="S332" s="308">
        <f>+Table227[[#This Row],[Proj To Date
Actuals]]*1.02^R332</f>
        <v>38256.760641599991</v>
      </c>
    </row>
    <row r="333" spans="1:19" x14ac:dyDescent="0.25">
      <c r="A333" s="476" t="s">
        <v>1931</v>
      </c>
      <c r="B333" s="475" t="s">
        <v>4654</v>
      </c>
      <c r="C333" s="422" t="e">
        <f>VLOOKUP(B333,'Matter &amp; CI#'!$D$4:$E$595,2,FALSE)</f>
        <v>#N/A</v>
      </c>
      <c r="D333" s="476" t="s">
        <v>1932</v>
      </c>
      <c r="E333" s="476" t="s">
        <v>10</v>
      </c>
      <c r="F333" s="476" t="s">
        <v>9</v>
      </c>
      <c r="G333" s="475" t="s">
        <v>2013</v>
      </c>
      <c r="H333" s="516"/>
      <c r="I333" s="477" t="s">
        <v>5</v>
      </c>
      <c r="J333" s="476" t="s">
        <v>131</v>
      </c>
      <c r="K333" s="476" t="s">
        <v>7</v>
      </c>
      <c r="L333" s="184">
        <v>42947</v>
      </c>
      <c r="M333" s="184">
        <v>43586</v>
      </c>
      <c r="N333" s="480">
        <v>97950.92</v>
      </c>
      <c r="O333" s="478" t="str">
        <f>IFERROR(VLOOKUP(A333,[1]Approval!A:C,3,FALSE),"")</f>
        <v>FIN Approval - Internal</v>
      </c>
      <c r="P333" s="184">
        <f>IFERROR(VLOOKUP(A333,[1]Approval!A:J,10,FALSE),"")</f>
        <v>43553</v>
      </c>
      <c r="R333" s="425">
        <f>2020-YEAR(Table227[[#This Row],[In-
Service
Date]])</f>
        <v>3</v>
      </c>
      <c r="S333" s="308">
        <f>+Table227[[#This Row],[Proj To Date
Actuals]]*1.02^R333</f>
        <v>103946.29991135999</v>
      </c>
    </row>
    <row r="334" spans="1:19" x14ac:dyDescent="0.25">
      <c r="A334" s="476" t="s">
        <v>672</v>
      </c>
      <c r="B334" s="475" t="s">
        <v>672</v>
      </c>
      <c r="C334" s="422" t="e">
        <f>VLOOKUP(B334,'Matter &amp; CI#'!$D$4:$E$595,2,FALSE)</f>
        <v>#N/A</v>
      </c>
      <c r="D334" s="476" t="s">
        <v>673</v>
      </c>
      <c r="E334" s="476" t="s">
        <v>10</v>
      </c>
      <c r="F334" s="476" t="s">
        <v>9</v>
      </c>
      <c r="G334" s="475" t="s">
        <v>2013</v>
      </c>
      <c r="H334" s="516"/>
      <c r="I334" s="477" t="s">
        <v>5</v>
      </c>
      <c r="J334" s="476" t="s">
        <v>13</v>
      </c>
      <c r="K334" s="476" t="s">
        <v>28</v>
      </c>
      <c r="L334" s="184">
        <v>42947</v>
      </c>
      <c r="N334" s="480">
        <v>449550.31</v>
      </c>
      <c r="O334" s="478" t="str">
        <f>IFERROR(VLOOKUP(A334,[1]Approval!A:C,3,FALSE),"")</f>
        <v>FIN Approval - Internal</v>
      </c>
      <c r="P334" s="184">
        <f>IFERROR(VLOOKUP(A334,[1]Approval!A:J,10,FALSE),"")</f>
        <v>43993</v>
      </c>
      <c r="R334" s="425">
        <f>2020-YEAR(Table227[[#This Row],[In-
Service
Date]])</f>
        <v>3</v>
      </c>
      <c r="S334" s="308">
        <f>+Table227[[#This Row],[Proj To Date
Actuals]]*1.02^R334</f>
        <v>477066.38537447999</v>
      </c>
    </row>
    <row r="335" spans="1:19" x14ac:dyDescent="0.25">
      <c r="A335" s="476" t="s">
        <v>1678</v>
      </c>
      <c r="B335" s="475" t="s">
        <v>4585</v>
      </c>
      <c r="C335" s="422" t="e">
        <f>VLOOKUP(B335,'Matter &amp; CI#'!$D$4:$E$595,2,FALSE)</f>
        <v>#N/A</v>
      </c>
      <c r="D335" s="476" t="s">
        <v>1679</v>
      </c>
      <c r="E335" s="476" t="s">
        <v>10</v>
      </c>
      <c r="F335" s="476" t="s">
        <v>9</v>
      </c>
      <c r="G335" s="475" t="s">
        <v>2013</v>
      </c>
      <c r="H335" s="516"/>
      <c r="I335" s="477" t="s">
        <v>5</v>
      </c>
      <c r="J335" s="476" t="s">
        <v>6</v>
      </c>
      <c r="K335" s="476" t="s">
        <v>7</v>
      </c>
      <c r="L335" s="184">
        <v>42977</v>
      </c>
      <c r="M335" s="184">
        <v>43586</v>
      </c>
      <c r="N335" s="480">
        <v>75446.720000000001</v>
      </c>
      <c r="O335" s="478" t="str">
        <f>IFERROR(VLOOKUP(A335,[1]Approval!A:C,3,FALSE),"")</f>
        <v>FIN Approval - Internal</v>
      </c>
      <c r="P335" s="184">
        <f>IFERROR(VLOOKUP(A335,[1]Approval!A:J,10,FALSE),"")</f>
        <v>43769</v>
      </c>
      <c r="R335" s="425">
        <f>2020-YEAR(Table227[[#This Row],[In-
Service
Date]])</f>
        <v>3</v>
      </c>
      <c r="S335" s="308">
        <f>+Table227[[#This Row],[Proj To Date
Actuals]]*1.02^R335</f>
        <v>80064.662837759999</v>
      </c>
    </row>
    <row r="336" spans="1:19" x14ac:dyDescent="0.25">
      <c r="A336" s="476" t="s">
        <v>897</v>
      </c>
      <c r="B336" s="475" t="s">
        <v>4649</v>
      </c>
      <c r="C336" s="422" t="e">
        <f>VLOOKUP(B336,'Matter &amp; CI#'!$D$4:$E$595,2,FALSE)</f>
        <v>#N/A</v>
      </c>
      <c r="D336" s="476" t="s">
        <v>898</v>
      </c>
      <c r="E336" s="476" t="s">
        <v>10</v>
      </c>
      <c r="F336" s="476" t="s">
        <v>9</v>
      </c>
      <c r="G336" s="475" t="s">
        <v>2013</v>
      </c>
      <c r="H336" s="516"/>
      <c r="I336" s="477" t="s">
        <v>5</v>
      </c>
      <c r="J336" s="476" t="s">
        <v>40</v>
      </c>
      <c r="K336" s="476" t="s">
        <v>7</v>
      </c>
      <c r="L336" s="184">
        <v>42977</v>
      </c>
      <c r="M336" s="184">
        <v>43738</v>
      </c>
      <c r="N336" s="480">
        <v>49603.41</v>
      </c>
      <c r="O336" s="478" t="str">
        <f>IFERROR(VLOOKUP(A336,[1]Approval!A:C,3,FALSE),"")</f>
        <v>FIN Approval - Internal</v>
      </c>
      <c r="P336" s="184">
        <f>IFERROR(VLOOKUP(A336,[1]Approval!A:J,10,FALSE),"")</f>
        <v>43677</v>
      </c>
      <c r="R336" s="425">
        <f>2020-YEAR(Table227[[#This Row],[In-
Service
Date]])</f>
        <v>3</v>
      </c>
      <c r="S336" s="308">
        <f>+Table227[[#This Row],[Proj To Date
Actuals]]*1.02^R336</f>
        <v>52639.535519279998</v>
      </c>
    </row>
    <row r="337" spans="1:19" x14ac:dyDescent="0.25">
      <c r="A337" s="476" t="s">
        <v>1150</v>
      </c>
      <c r="B337" s="475" t="s">
        <v>4063</v>
      </c>
      <c r="C337" s="422" t="e">
        <f>VLOOKUP(B337,'Matter &amp; CI#'!$D$4:$E$595,2,FALSE)</f>
        <v>#N/A</v>
      </c>
      <c r="D337" s="476" t="s">
        <v>1151</v>
      </c>
      <c r="E337" s="476" t="s">
        <v>10</v>
      </c>
      <c r="F337" s="476" t="s">
        <v>9</v>
      </c>
      <c r="G337" s="475" t="s">
        <v>2013</v>
      </c>
      <c r="H337" s="516"/>
      <c r="I337" s="477" t="s">
        <v>5</v>
      </c>
      <c r="J337" s="476" t="s">
        <v>6</v>
      </c>
      <c r="K337" s="476" t="s">
        <v>28</v>
      </c>
      <c r="L337" s="184">
        <v>42978</v>
      </c>
      <c r="N337" s="480">
        <v>102464.38</v>
      </c>
      <c r="O337" s="478" t="str">
        <f>IFERROR(VLOOKUP(A337,[1]Approval!A:C,3,FALSE),"")</f>
        <v/>
      </c>
      <c r="P337" s="184" t="str">
        <f>IFERROR(VLOOKUP(A337,[1]Approval!A:J,10,FALSE),"")</f>
        <v/>
      </c>
      <c r="R337" s="425">
        <f>2020-YEAR(Table227[[#This Row],[In-
Service
Date]])</f>
        <v>3</v>
      </c>
      <c r="S337" s="308">
        <f>+Table227[[#This Row],[Proj To Date
Actuals]]*1.02^R337</f>
        <v>108736.01977104</v>
      </c>
    </row>
    <row r="338" spans="1:19" x14ac:dyDescent="0.25">
      <c r="A338" s="476" t="s">
        <v>1676</v>
      </c>
      <c r="B338" s="475" t="s">
        <v>4588</v>
      </c>
      <c r="C338" s="422" t="e">
        <f>VLOOKUP(B338,'Matter &amp; CI#'!$D$4:$E$595,2,FALSE)</f>
        <v>#N/A</v>
      </c>
      <c r="D338" s="476" t="s">
        <v>1677</v>
      </c>
      <c r="E338" s="476" t="s">
        <v>10</v>
      </c>
      <c r="F338" s="476" t="s">
        <v>9</v>
      </c>
      <c r="G338" s="475" t="s">
        <v>2013</v>
      </c>
      <c r="H338" s="516"/>
      <c r="I338" s="477" t="s">
        <v>5</v>
      </c>
      <c r="J338" s="476" t="s">
        <v>6</v>
      </c>
      <c r="K338" s="476" t="s">
        <v>7</v>
      </c>
      <c r="L338" s="184">
        <v>42978</v>
      </c>
      <c r="M338" s="184">
        <v>43862</v>
      </c>
      <c r="N338" s="480">
        <v>241817.56</v>
      </c>
      <c r="O338" s="478" t="str">
        <f>IFERROR(VLOOKUP(A338,[1]Approval!A:C,3,FALSE),"")</f>
        <v>FIN Approval - Internal</v>
      </c>
      <c r="P338" s="184">
        <f>IFERROR(VLOOKUP(A338,[1]Approval!A:J,10,FALSE),"")</f>
        <v>43761</v>
      </c>
      <c r="R338" s="425">
        <f>2020-YEAR(Table227[[#This Row],[In-
Service
Date]])</f>
        <v>3</v>
      </c>
      <c r="S338" s="308">
        <f>+Table227[[#This Row],[Proj To Date
Actuals]]*1.02^R338</f>
        <v>256618.72921247999</v>
      </c>
    </row>
    <row r="339" spans="1:19" x14ac:dyDescent="0.25">
      <c r="A339" s="476" t="s">
        <v>1686</v>
      </c>
      <c r="B339" s="475" t="s">
        <v>4657</v>
      </c>
      <c r="C339" s="422" t="e">
        <f>VLOOKUP(B339,'Matter &amp; CI#'!$D$4:$E$595,2,FALSE)</f>
        <v>#N/A</v>
      </c>
      <c r="D339" s="476" t="s">
        <v>1687</v>
      </c>
      <c r="E339" s="476" t="s">
        <v>10</v>
      </c>
      <c r="F339" s="476" t="s">
        <v>9</v>
      </c>
      <c r="G339" s="475" t="s">
        <v>2013</v>
      </c>
      <c r="H339" s="516"/>
      <c r="I339" s="477" t="s">
        <v>5</v>
      </c>
      <c r="J339" s="476" t="s">
        <v>14</v>
      </c>
      <c r="K339" s="476" t="s">
        <v>7</v>
      </c>
      <c r="L339" s="184">
        <v>43006</v>
      </c>
      <c r="M339" s="184">
        <v>43586</v>
      </c>
      <c r="N339" s="480">
        <v>79420.679999999993</v>
      </c>
      <c r="O339" s="478" t="str">
        <f>IFERROR(VLOOKUP(A339,[1]Approval!A:C,3,FALSE),"")</f>
        <v>FIN Approval - Internal</v>
      </c>
      <c r="P339" s="184">
        <f>IFERROR(VLOOKUP(A339,[1]Approval!A:J,10,FALSE),"")</f>
        <v>43553</v>
      </c>
      <c r="R339" s="425">
        <f>2020-YEAR(Table227[[#This Row],[In-
Service
Date]])</f>
        <v>3</v>
      </c>
      <c r="S339" s="308">
        <f>+Table227[[#This Row],[Proj To Date
Actuals]]*1.02^R339</f>
        <v>84281.860981439982</v>
      </c>
    </row>
    <row r="340" spans="1:19" x14ac:dyDescent="0.25">
      <c r="A340" s="476" t="s">
        <v>1156</v>
      </c>
      <c r="B340" s="475" t="s">
        <v>4672</v>
      </c>
      <c r="C340" s="422" t="e">
        <f>VLOOKUP(B340,'Matter &amp; CI#'!$D$4:$E$595,2,FALSE)</f>
        <v>#N/A</v>
      </c>
      <c r="D340" s="476" t="s">
        <v>1157</v>
      </c>
      <c r="E340" s="476" t="s">
        <v>10</v>
      </c>
      <c r="F340" s="476" t="s">
        <v>9</v>
      </c>
      <c r="G340" s="475" t="s">
        <v>2013</v>
      </c>
      <c r="H340" s="516"/>
      <c r="I340" s="477" t="s">
        <v>5</v>
      </c>
      <c r="J340" s="476" t="s">
        <v>14</v>
      </c>
      <c r="K340" s="476" t="s">
        <v>7</v>
      </c>
      <c r="L340" s="184">
        <v>43007</v>
      </c>
      <c r="M340" s="184">
        <v>43891</v>
      </c>
      <c r="N340" s="480">
        <v>51637.51</v>
      </c>
      <c r="O340" s="478" t="str">
        <f>IFERROR(VLOOKUP(A340,[1]Approval!A:C,3,FALSE),"")</f>
        <v>FIN Approval - Internal</v>
      </c>
      <c r="P340" s="184">
        <f>IFERROR(VLOOKUP(A340,[1]Approval!A:J,10,FALSE),"")</f>
        <v>43507</v>
      </c>
      <c r="R340" s="425">
        <f>2020-YEAR(Table227[[#This Row],[In-
Service
Date]])</f>
        <v>3</v>
      </c>
      <c r="S340" s="308">
        <f>+Table227[[#This Row],[Proj To Date
Actuals]]*1.02^R340</f>
        <v>54798.138712079999</v>
      </c>
    </row>
    <row r="341" spans="1:19" x14ac:dyDescent="0.25">
      <c r="A341" s="476" t="s">
        <v>423</v>
      </c>
      <c r="B341" s="475" t="s">
        <v>4537</v>
      </c>
      <c r="C341" s="422" t="e">
        <f>VLOOKUP(B341,'Matter &amp; CI#'!$D$4:$E$595,2,FALSE)</f>
        <v>#N/A</v>
      </c>
      <c r="D341" s="476" t="s">
        <v>424</v>
      </c>
      <c r="E341" s="476" t="s">
        <v>10</v>
      </c>
      <c r="F341" s="476" t="s">
        <v>9</v>
      </c>
      <c r="G341" s="475" t="s">
        <v>2013</v>
      </c>
      <c r="H341" s="516"/>
      <c r="I341" s="477" t="s">
        <v>5</v>
      </c>
      <c r="J341" s="476" t="s">
        <v>14</v>
      </c>
      <c r="K341" s="476" t="s">
        <v>7</v>
      </c>
      <c r="L341" s="184">
        <v>43008</v>
      </c>
      <c r="M341" s="184">
        <v>43586</v>
      </c>
      <c r="N341" s="480">
        <v>130982.76</v>
      </c>
      <c r="O341" s="478" t="str">
        <f>IFERROR(VLOOKUP(A341,[1]Approval!A:C,3,FALSE),"")</f>
        <v>FIN Approval - Internal</v>
      </c>
      <c r="P341" s="184">
        <f>IFERROR(VLOOKUP(A341,[1]Approval!A:J,10,FALSE),"")</f>
        <v>43553</v>
      </c>
      <c r="R341" s="425">
        <f>2020-YEAR(Table227[[#This Row],[In-
Service
Date]])</f>
        <v>3</v>
      </c>
      <c r="S341" s="308">
        <f>+Table227[[#This Row],[Proj To Date
Actuals]]*1.02^R341</f>
        <v>138999.95277407998</v>
      </c>
    </row>
    <row r="342" spans="1:19" x14ac:dyDescent="0.25">
      <c r="A342" s="476" t="s">
        <v>891</v>
      </c>
      <c r="B342" s="475" t="s">
        <v>4631</v>
      </c>
      <c r="C342" s="422" t="e">
        <f>VLOOKUP(B342,'Matter &amp; CI#'!$D$4:$E$595,2,FALSE)</f>
        <v>#N/A</v>
      </c>
      <c r="D342" s="476" t="s">
        <v>892</v>
      </c>
      <c r="E342" s="476" t="s">
        <v>10</v>
      </c>
      <c r="F342" s="476" t="s">
        <v>9</v>
      </c>
      <c r="G342" s="475" t="s">
        <v>2013</v>
      </c>
      <c r="H342" s="516"/>
      <c r="I342" s="477" t="s">
        <v>5</v>
      </c>
      <c r="J342" s="476" t="s">
        <v>14</v>
      </c>
      <c r="K342" s="476" t="s">
        <v>7</v>
      </c>
      <c r="L342" s="184">
        <v>43008</v>
      </c>
      <c r="M342" s="184">
        <v>43524</v>
      </c>
      <c r="N342" s="480">
        <v>66327.69</v>
      </c>
      <c r="O342" s="478" t="str">
        <f>IFERROR(VLOOKUP(A342,[1]Approval!A:C,3,FALSE),"")</f>
        <v>FIN Approval - Internal</v>
      </c>
      <c r="P342" s="184">
        <f>IFERROR(VLOOKUP(A342,[1]Approval!A:J,10,FALSE),"")</f>
        <v>43374</v>
      </c>
      <c r="R342" s="425">
        <f>2020-YEAR(Table227[[#This Row],[In-
Service
Date]])</f>
        <v>3</v>
      </c>
      <c r="S342" s="308">
        <f>+Table227[[#This Row],[Proj To Date
Actuals]]*1.02^R342</f>
        <v>70387.475249519994</v>
      </c>
    </row>
    <row r="343" spans="1:19" x14ac:dyDescent="0.25">
      <c r="A343" s="476" t="s">
        <v>455</v>
      </c>
      <c r="B343" s="475" t="s">
        <v>4687</v>
      </c>
      <c r="C343" s="422" t="e">
        <f>VLOOKUP(B343,'Matter &amp; CI#'!$D$4:$E$595,2,FALSE)</f>
        <v>#N/A</v>
      </c>
      <c r="D343" s="476" t="s">
        <v>456</v>
      </c>
      <c r="E343" s="476" t="s">
        <v>10</v>
      </c>
      <c r="F343" s="476" t="s">
        <v>9</v>
      </c>
      <c r="G343" s="475" t="s">
        <v>2013</v>
      </c>
      <c r="H343" s="516"/>
      <c r="I343" s="477" t="s">
        <v>5</v>
      </c>
      <c r="J343" s="476" t="s">
        <v>43</v>
      </c>
      <c r="K343" s="476" t="s">
        <v>7</v>
      </c>
      <c r="L343" s="184">
        <v>43008</v>
      </c>
      <c r="M343" s="184">
        <v>44136</v>
      </c>
      <c r="N343" s="480">
        <v>277797.59999999998</v>
      </c>
      <c r="O343" s="478" t="str">
        <f>IFERROR(VLOOKUP(A343,[1]Approval!A:C,3,FALSE),"")</f>
        <v>FIN Approval - Internal</v>
      </c>
      <c r="P343" s="184">
        <f>IFERROR(VLOOKUP(A343,[1]Approval!A:J,10,FALSE),"")</f>
        <v>43999</v>
      </c>
      <c r="R343" s="425">
        <f>2020-YEAR(Table227[[#This Row],[In-
Service
Date]])</f>
        <v>3</v>
      </c>
      <c r="S343" s="308">
        <f>+Table227[[#This Row],[Proj To Date
Actuals]]*1.02^R343</f>
        <v>294801.03550079995</v>
      </c>
    </row>
    <row r="344" spans="1:19" x14ac:dyDescent="0.25">
      <c r="A344" s="476" t="s">
        <v>1406</v>
      </c>
      <c r="B344" s="475" t="s">
        <v>4632</v>
      </c>
      <c r="C344" s="422" t="e">
        <f>VLOOKUP(B344,'Matter &amp; CI#'!$D$4:$E$595,2,FALSE)</f>
        <v>#N/A</v>
      </c>
      <c r="D344" s="476" t="s">
        <v>1407</v>
      </c>
      <c r="E344" s="476" t="s">
        <v>10</v>
      </c>
      <c r="F344" s="476" t="s">
        <v>9</v>
      </c>
      <c r="G344" s="475" t="s">
        <v>2013</v>
      </c>
      <c r="H344" s="516"/>
      <c r="I344" s="477" t="s">
        <v>5</v>
      </c>
      <c r="J344" s="476" t="s">
        <v>6</v>
      </c>
      <c r="K344" s="476" t="s">
        <v>28</v>
      </c>
      <c r="L344" s="184">
        <v>43039</v>
      </c>
      <c r="N344" s="480">
        <v>978189.36</v>
      </c>
      <c r="O344" s="478" t="str">
        <f>IFERROR(VLOOKUP(A344,[1]Approval!A:C,3,FALSE),"")</f>
        <v/>
      </c>
      <c r="P344" s="184" t="str">
        <f>IFERROR(VLOOKUP(A344,[1]Approval!A:J,10,FALSE),"")</f>
        <v/>
      </c>
      <c r="R344" s="425">
        <f>2020-YEAR(Table227[[#This Row],[In-
Service
Date]])</f>
        <v>3</v>
      </c>
      <c r="S344" s="308">
        <f>+Table227[[#This Row],[Proj To Date
Actuals]]*1.02^R344</f>
        <v>1038062.3743468799</v>
      </c>
    </row>
    <row r="345" spans="1:19" x14ac:dyDescent="0.25">
      <c r="A345" s="476" t="s">
        <v>913</v>
      </c>
      <c r="B345" s="475" t="s">
        <v>4669</v>
      </c>
      <c r="C345" s="422" t="e">
        <f>VLOOKUP(B345,'Matter &amp; CI#'!$D$4:$E$595,2,FALSE)</f>
        <v>#N/A</v>
      </c>
      <c r="D345" s="476" t="s">
        <v>914</v>
      </c>
      <c r="E345" s="476" t="s">
        <v>10</v>
      </c>
      <c r="F345" s="476" t="s">
        <v>9</v>
      </c>
      <c r="G345" s="475" t="s">
        <v>2013</v>
      </c>
      <c r="H345" s="516"/>
      <c r="I345" s="477" t="s">
        <v>5</v>
      </c>
      <c r="J345" s="476" t="s">
        <v>14</v>
      </c>
      <c r="K345" s="476" t="s">
        <v>7</v>
      </c>
      <c r="L345" s="184">
        <v>43039</v>
      </c>
      <c r="M345" s="184">
        <v>43891</v>
      </c>
      <c r="N345" s="480">
        <v>15714.39</v>
      </c>
      <c r="O345" s="478" t="str">
        <f>IFERROR(VLOOKUP(A345,[1]Approval!A:C,3,FALSE),"")</f>
        <v>FIN Approval - Internal</v>
      </c>
      <c r="P345" s="184">
        <f>IFERROR(VLOOKUP(A345,[1]Approval!A:J,10,FALSE),"")</f>
        <v>43507</v>
      </c>
      <c r="R345" s="425">
        <f>2020-YEAR(Table227[[#This Row],[In-
Service
Date]])</f>
        <v>3</v>
      </c>
      <c r="S345" s="308">
        <f>+Table227[[#This Row],[Proj To Date
Actuals]]*1.02^R345</f>
        <v>16676.236383119998</v>
      </c>
    </row>
    <row r="346" spans="1:19" x14ac:dyDescent="0.25">
      <c r="A346" s="476" t="s">
        <v>893</v>
      </c>
      <c r="B346" s="475" t="s">
        <v>4636</v>
      </c>
      <c r="C346" s="422" t="e">
        <f>VLOOKUP(B346,'Matter &amp; CI#'!$D$4:$E$595,2,FALSE)</f>
        <v>#N/A</v>
      </c>
      <c r="D346" s="476" t="s">
        <v>894</v>
      </c>
      <c r="E346" s="476" t="s">
        <v>10</v>
      </c>
      <c r="F346" s="476" t="s">
        <v>9</v>
      </c>
      <c r="G346" s="475" t="s">
        <v>2013</v>
      </c>
      <c r="H346" s="516"/>
      <c r="I346" s="477" t="s">
        <v>5</v>
      </c>
      <c r="J346" s="476" t="s">
        <v>14</v>
      </c>
      <c r="K346" s="476" t="s">
        <v>7</v>
      </c>
      <c r="L346" s="184">
        <v>43040</v>
      </c>
      <c r="M346" s="184">
        <v>43586</v>
      </c>
      <c r="N346" s="480">
        <v>163101.66</v>
      </c>
      <c r="O346" s="478" t="str">
        <f>IFERROR(VLOOKUP(A346,[1]Approval!A:C,3,FALSE),"")</f>
        <v>FIN Approval - Internal</v>
      </c>
      <c r="P346" s="184">
        <f>IFERROR(VLOOKUP(A346,[1]Approval!A:J,10,FALSE),"")</f>
        <v>43507</v>
      </c>
      <c r="R346" s="425">
        <f>2020-YEAR(Table227[[#This Row],[In-
Service
Date]])</f>
        <v>3</v>
      </c>
      <c r="S346" s="308">
        <f>+Table227[[#This Row],[Proj To Date
Actuals]]*1.02^R346</f>
        <v>173084.78640528</v>
      </c>
    </row>
    <row r="347" spans="1:19" x14ac:dyDescent="0.25">
      <c r="A347" s="476" t="s">
        <v>650</v>
      </c>
      <c r="B347" s="475" t="s">
        <v>4592</v>
      </c>
      <c r="C347" s="422" t="e">
        <f>VLOOKUP(B347,'Matter &amp; CI#'!$D$4:$E$595,2,FALSE)</f>
        <v>#N/A</v>
      </c>
      <c r="D347" s="476" t="s">
        <v>651</v>
      </c>
      <c r="E347" s="476" t="s">
        <v>10</v>
      </c>
      <c r="F347" s="476" t="s">
        <v>9</v>
      </c>
      <c r="G347" s="475" t="s">
        <v>2013</v>
      </c>
      <c r="H347" s="516"/>
      <c r="I347" s="477" t="s">
        <v>5</v>
      </c>
      <c r="J347" s="476" t="s">
        <v>6</v>
      </c>
      <c r="K347" s="476" t="s">
        <v>28</v>
      </c>
      <c r="L347" s="184">
        <v>43069</v>
      </c>
      <c r="N347" s="480">
        <v>245225.66</v>
      </c>
      <c r="O347" s="478" t="str">
        <f>IFERROR(VLOOKUP(A347,[1]Approval!A:C,3,FALSE),"")</f>
        <v/>
      </c>
      <c r="P347" s="184" t="str">
        <f>IFERROR(VLOOKUP(A347,[1]Approval!A:J,10,FALSE),"")</f>
        <v/>
      </c>
      <c r="R347" s="425">
        <f>2020-YEAR(Table227[[#This Row],[In-
Service
Date]])</f>
        <v>3</v>
      </c>
      <c r="S347" s="308">
        <f>+Table227[[#This Row],[Proj To Date
Actuals]]*1.02^R347</f>
        <v>260235.43219728</v>
      </c>
    </row>
    <row r="348" spans="1:19" x14ac:dyDescent="0.25">
      <c r="A348" s="476" t="s">
        <v>1393</v>
      </c>
      <c r="B348" s="475" t="s">
        <v>4603</v>
      </c>
      <c r="C348" s="422" t="e">
        <f>VLOOKUP(B348,'Matter &amp; CI#'!$D$4:$E$595,2,FALSE)</f>
        <v>#N/A</v>
      </c>
      <c r="D348" s="476" t="s">
        <v>1394</v>
      </c>
      <c r="E348" s="476" t="s">
        <v>10</v>
      </c>
      <c r="F348" s="476" t="s">
        <v>9</v>
      </c>
      <c r="G348" s="475" t="s">
        <v>2013</v>
      </c>
      <c r="H348" s="516"/>
      <c r="I348" s="477" t="s">
        <v>5</v>
      </c>
      <c r="J348" s="476" t="s">
        <v>6</v>
      </c>
      <c r="K348" s="476" t="s">
        <v>7</v>
      </c>
      <c r="L348" s="184">
        <v>43069</v>
      </c>
      <c r="M348" s="184">
        <v>44136</v>
      </c>
      <c r="N348" s="480">
        <v>345726.92</v>
      </c>
      <c r="O348" s="478" t="str">
        <f>IFERROR(VLOOKUP(A348,[1]Approval!A:C,3,FALSE),"")</f>
        <v>FIN Approval - Internal</v>
      </c>
      <c r="P348" s="184">
        <f>IFERROR(VLOOKUP(A348,[1]Approval!A:J,10,FALSE),"")</f>
        <v>44055</v>
      </c>
      <c r="R348" s="425">
        <f>2020-YEAR(Table227[[#This Row],[In-
Service
Date]])</f>
        <v>3</v>
      </c>
      <c r="S348" s="308">
        <f>+Table227[[#This Row],[Proj To Date
Actuals]]*1.02^R348</f>
        <v>366888.17331935995</v>
      </c>
    </row>
    <row r="349" spans="1:19" x14ac:dyDescent="0.25">
      <c r="A349" s="476" t="s">
        <v>885</v>
      </c>
      <c r="B349" s="475" t="s">
        <v>4618</v>
      </c>
      <c r="C349" s="422" t="e">
        <f>VLOOKUP(B349,'Matter &amp; CI#'!$D$4:$E$595,2,FALSE)</f>
        <v>#N/A</v>
      </c>
      <c r="D349" s="476" t="s">
        <v>886</v>
      </c>
      <c r="E349" s="476" t="s">
        <v>10</v>
      </c>
      <c r="F349" s="476" t="s">
        <v>9</v>
      </c>
      <c r="G349" s="475" t="s">
        <v>2013</v>
      </c>
      <c r="H349" s="516"/>
      <c r="I349" s="477" t="s">
        <v>5</v>
      </c>
      <c r="J349" s="476" t="s">
        <v>14</v>
      </c>
      <c r="K349" s="476" t="s">
        <v>7</v>
      </c>
      <c r="L349" s="184">
        <v>43069</v>
      </c>
      <c r="M349" s="184">
        <v>43586</v>
      </c>
      <c r="N349" s="480">
        <v>200247.5</v>
      </c>
      <c r="O349" s="478" t="str">
        <f>IFERROR(VLOOKUP(A349,[1]Approval!A:C,3,FALSE),"")</f>
        <v>FIN Approval - Internal</v>
      </c>
      <c r="P349" s="184">
        <f>IFERROR(VLOOKUP(A349,[1]Approval!A:J,10,FALSE),"")</f>
        <v>43507</v>
      </c>
      <c r="R349" s="425">
        <f>2020-YEAR(Table227[[#This Row],[In-
Service
Date]])</f>
        <v>3</v>
      </c>
      <c r="S349" s="308">
        <f>+Table227[[#This Row],[Proj To Date
Actuals]]*1.02^R349</f>
        <v>212504.24897999997</v>
      </c>
    </row>
    <row r="350" spans="1:19" x14ac:dyDescent="0.25">
      <c r="A350" s="476" t="s">
        <v>198</v>
      </c>
      <c r="B350" s="475" t="s">
        <v>4668</v>
      </c>
      <c r="C350" s="422" t="e">
        <f>VLOOKUP(B350,'Matter &amp; CI#'!$D$4:$E$595,2,FALSE)</f>
        <v>#N/A</v>
      </c>
      <c r="D350" s="476" t="s">
        <v>199</v>
      </c>
      <c r="E350" s="476" t="s">
        <v>10</v>
      </c>
      <c r="F350" s="476" t="s">
        <v>9</v>
      </c>
      <c r="G350" s="475" t="s">
        <v>2013</v>
      </c>
      <c r="H350" s="516"/>
      <c r="I350" s="477" t="s">
        <v>5</v>
      </c>
      <c r="J350" s="476" t="s">
        <v>131</v>
      </c>
      <c r="K350" s="476" t="s">
        <v>7</v>
      </c>
      <c r="L350" s="184">
        <v>43069</v>
      </c>
      <c r="M350" s="184">
        <v>43738</v>
      </c>
      <c r="N350" s="480">
        <v>61113.33</v>
      </c>
      <c r="O350" s="478" t="str">
        <f>IFERROR(VLOOKUP(A350,[1]Approval!A:C,3,FALSE),"")</f>
        <v>FIN Approval - Internal</v>
      </c>
      <c r="P350" s="184">
        <f>IFERROR(VLOOKUP(A350,[1]Approval!A:J,10,FALSE),"")</f>
        <v>43677</v>
      </c>
      <c r="R350" s="425">
        <f>2020-YEAR(Table227[[#This Row],[In-
Service
Date]])</f>
        <v>3</v>
      </c>
      <c r="S350" s="308">
        <f>+Table227[[#This Row],[Proj To Date
Actuals]]*1.02^R350</f>
        <v>64853.954702639996</v>
      </c>
    </row>
    <row r="351" spans="1:19" x14ac:dyDescent="0.25">
      <c r="A351" s="476" t="s">
        <v>1168</v>
      </c>
      <c r="B351" s="475" t="s">
        <v>1168</v>
      </c>
      <c r="C351" s="422" t="e">
        <f>VLOOKUP(B351,'Matter &amp; CI#'!$D$4:$E$595,2,FALSE)</f>
        <v>#N/A</v>
      </c>
      <c r="D351" s="476" t="s">
        <v>1169</v>
      </c>
      <c r="E351" s="476" t="s">
        <v>10</v>
      </c>
      <c r="F351" s="476" t="s">
        <v>9</v>
      </c>
      <c r="G351" s="475" t="s">
        <v>2013</v>
      </c>
      <c r="H351" s="516"/>
      <c r="I351" s="477" t="s">
        <v>5</v>
      </c>
      <c r="J351" s="476" t="s">
        <v>182</v>
      </c>
      <c r="K351" s="476" t="s">
        <v>7</v>
      </c>
      <c r="L351" s="184">
        <v>43094</v>
      </c>
      <c r="M351" s="184">
        <v>43738</v>
      </c>
      <c r="N351" s="480">
        <v>1801670.62</v>
      </c>
      <c r="O351" s="478" t="str">
        <f>IFERROR(VLOOKUP(A351,[1]Approval!A:C,3,FALSE),"")</f>
        <v>FIN Approval - Internal</v>
      </c>
      <c r="P351" s="184">
        <f>IFERROR(VLOOKUP(A351,[1]Approval!A:J,10,FALSE),"")</f>
        <v>43677</v>
      </c>
      <c r="R351" s="425">
        <f>2020-YEAR(Table227[[#This Row],[In-
Service
Date]])</f>
        <v>3</v>
      </c>
      <c r="S351" s="308">
        <f>+Table227[[#This Row],[Proj To Date
Actuals]]*1.02^R351</f>
        <v>1911947.2753089599</v>
      </c>
    </row>
    <row r="352" spans="1:19" x14ac:dyDescent="0.25">
      <c r="A352" s="476" t="s">
        <v>437</v>
      </c>
      <c r="B352" s="475" t="s">
        <v>4582</v>
      </c>
      <c r="C352" s="422" t="e">
        <f>VLOOKUP(B352,'Matter &amp; CI#'!$D$4:$E$595,2,FALSE)</f>
        <v>#N/A</v>
      </c>
      <c r="D352" s="476" t="s">
        <v>438</v>
      </c>
      <c r="E352" s="476" t="s">
        <v>10</v>
      </c>
      <c r="F352" s="476" t="s">
        <v>9</v>
      </c>
      <c r="G352" s="475" t="s">
        <v>2013</v>
      </c>
      <c r="H352" s="516"/>
      <c r="I352" s="477" t="s">
        <v>5</v>
      </c>
      <c r="J352" s="476" t="s">
        <v>6</v>
      </c>
      <c r="K352" s="476" t="s">
        <v>7</v>
      </c>
      <c r="L352" s="184">
        <v>43098</v>
      </c>
      <c r="M352" s="184">
        <v>44044</v>
      </c>
      <c r="N352" s="480">
        <v>774528.1</v>
      </c>
      <c r="O352" s="478" t="str">
        <f>IFERROR(VLOOKUP(A352,[1]Approval!A:C,3,FALSE),"")</f>
        <v>FIN Approval - Internal</v>
      </c>
      <c r="P352" s="184">
        <f>IFERROR(VLOOKUP(A352,[1]Approval!A:J,10,FALSE),"")</f>
        <v>43999</v>
      </c>
      <c r="R352" s="425">
        <f>2020-YEAR(Table227[[#This Row],[In-
Service
Date]])</f>
        <v>3</v>
      </c>
      <c r="S352" s="308">
        <f>+Table227[[#This Row],[Proj To Date
Actuals]]*1.02^R352</f>
        <v>821935.4159447999</v>
      </c>
    </row>
    <row r="353" spans="1:19" x14ac:dyDescent="0.25">
      <c r="A353" s="476" t="s">
        <v>1672</v>
      </c>
      <c r="B353" s="475" t="s">
        <v>4586</v>
      </c>
      <c r="C353" s="422" t="e">
        <f>VLOOKUP(B353,'Matter &amp; CI#'!$D$4:$E$595,2,FALSE)</f>
        <v>#N/A</v>
      </c>
      <c r="D353" s="476" t="s">
        <v>1673</v>
      </c>
      <c r="E353" s="476" t="s">
        <v>10</v>
      </c>
      <c r="F353" s="476" t="s">
        <v>9</v>
      </c>
      <c r="G353" s="475" t="s">
        <v>2013</v>
      </c>
      <c r="H353" s="516"/>
      <c r="I353" s="477" t="s">
        <v>5</v>
      </c>
      <c r="J353" s="476" t="s">
        <v>6</v>
      </c>
      <c r="K353" s="476" t="s">
        <v>7</v>
      </c>
      <c r="L353" s="184">
        <v>43098</v>
      </c>
      <c r="M353" s="184">
        <v>43830</v>
      </c>
      <c r="N353" s="480">
        <v>453401.55</v>
      </c>
      <c r="O353" s="478" t="str">
        <f>IFERROR(VLOOKUP(A353,[1]Approval!A:C,3,FALSE),"")</f>
        <v>FIN Approval - Internal</v>
      </c>
      <c r="P353" s="184">
        <f>IFERROR(VLOOKUP(A353,[1]Approval!A:J,10,FALSE),"")</f>
        <v>43797</v>
      </c>
      <c r="R353" s="425">
        <f>2020-YEAR(Table227[[#This Row],[In-
Service
Date]])</f>
        <v>3</v>
      </c>
      <c r="S353" s="308">
        <f>+Table227[[#This Row],[Proj To Date
Actuals]]*1.02^R353</f>
        <v>481153.35207239998</v>
      </c>
    </row>
    <row r="354" spans="1:19" x14ac:dyDescent="0.25">
      <c r="A354" s="476" t="s">
        <v>168</v>
      </c>
      <c r="B354" s="475" t="s">
        <v>4559</v>
      </c>
      <c r="C354" s="422" t="e">
        <f>VLOOKUP(B354,'Matter &amp; CI#'!$D$4:$E$595,2,FALSE)</f>
        <v>#N/A</v>
      </c>
      <c r="D354" s="476" t="s">
        <v>169</v>
      </c>
      <c r="E354" s="476" t="s">
        <v>10</v>
      </c>
      <c r="F354" s="476" t="s">
        <v>9</v>
      </c>
      <c r="G354" s="475" t="s">
        <v>2013</v>
      </c>
      <c r="H354" s="516"/>
      <c r="I354" s="477" t="s">
        <v>5</v>
      </c>
      <c r="J354" s="476" t="s">
        <v>6</v>
      </c>
      <c r="K354" s="476" t="s">
        <v>28</v>
      </c>
      <c r="L354" s="184">
        <v>43100</v>
      </c>
      <c r="N354" s="480">
        <v>581560.68999999994</v>
      </c>
      <c r="O354" s="478" t="str">
        <f>IFERROR(VLOOKUP(A354,[1]Approval!A:C,3,FALSE),"")</f>
        <v>FIN Approval - Internal</v>
      </c>
      <c r="P354" s="184">
        <f>IFERROR(VLOOKUP(A354,[1]Approval!A:J,10,FALSE),"")</f>
        <v>43857</v>
      </c>
      <c r="R354" s="425">
        <f>2020-YEAR(Table227[[#This Row],[In-
Service
Date]])</f>
        <v>3</v>
      </c>
      <c r="S354" s="308">
        <f>+Table227[[#This Row],[Proj To Date
Actuals]]*1.02^R354</f>
        <v>617156.8567135199</v>
      </c>
    </row>
    <row r="355" spans="1:19" x14ac:dyDescent="0.25">
      <c r="A355" s="476" t="s">
        <v>1142</v>
      </c>
      <c r="B355" s="475" t="s">
        <v>4633</v>
      </c>
      <c r="C355" s="422" t="e">
        <f>VLOOKUP(B355,'Matter &amp; CI#'!$D$4:$E$595,2,FALSE)</f>
        <v>#N/A</v>
      </c>
      <c r="D355" s="476" t="s">
        <v>1143</v>
      </c>
      <c r="E355" s="476" t="s">
        <v>10</v>
      </c>
      <c r="F355" s="476" t="s">
        <v>9</v>
      </c>
      <c r="G355" s="475" t="s">
        <v>2013</v>
      </c>
      <c r="H355" s="516"/>
      <c r="I355" s="477" t="s">
        <v>5</v>
      </c>
      <c r="J355" s="476" t="s">
        <v>12</v>
      </c>
      <c r="K355" s="476" t="s">
        <v>7</v>
      </c>
      <c r="L355" s="184">
        <v>43100</v>
      </c>
      <c r="M355" s="184">
        <v>43586</v>
      </c>
      <c r="N355" s="480">
        <v>30067.57</v>
      </c>
      <c r="O355" s="478" t="str">
        <f>IFERROR(VLOOKUP(A355,[1]Approval!A:C,3,FALSE),"")</f>
        <v>FIN Approval - Internal</v>
      </c>
      <c r="P355" s="184">
        <f>IFERROR(VLOOKUP(A355,[1]Approval!A:J,10,FALSE),"")</f>
        <v>43507</v>
      </c>
      <c r="R355" s="425">
        <f>2020-YEAR(Table227[[#This Row],[In-
Service
Date]])</f>
        <v>3</v>
      </c>
      <c r="S355" s="308">
        <f>+Table227[[#This Row],[Proj To Date
Actuals]]*1.02^R355</f>
        <v>31907.945824559996</v>
      </c>
    </row>
    <row r="356" spans="1:19" x14ac:dyDescent="0.25">
      <c r="A356" s="476" t="s">
        <v>899</v>
      </c>
      <c r="B356" s="475" t="s">
        <v>4648</v>
      </c>
      <c r="C356" s="422" t="e">
        <f>VLOOKUP(B356,'Matter &amp; CI#'!$D$4:$E$595,2,FALSE)</f>
        <v>#N/A</v>
      </c>
      <c r="D356" s="476" t="s">
        <v>900</v>
      </c>
      <c r="E356" s="476" t="s">
        <v>10</v>
      </c>
      <c r="F356" s="476" t="s">
        <v>9</v>
      </c>
      <c r="G356" s="475" t="s">
        <v>2013</v>
      </c>
      <c r="H356" s="516"/>
      <c r="I356" s="477" t="s">
        <v>5</v>
      </c>
      <c r="J356" s="476" t="s">
        <v>12</v>
      </c>
      <c r="K356" s="476" t="s">
        <v>7</v>
      </c>
      <c r="L356" s="184">
        <v>43100</v>
      </c>
      <c r="M356" s="184">
        <v>43738</v>
      </c>
      <c r="N356" s="480">
        <v>211454.1</v>
      </c>
      <c r="O356" s="478" t="str">
        <f>IFERROR(VLOOKUP(A356,[1]Approval!A:C,3,FALSE),"")</f>
        <v>FIN Approval - Internal</v>
      </c>
      <c r="P356" s="184">
        <f>IFERROR(VLOOKUP(A356,[1]Approval!A:J,10,FALSE),"")</f>
        <v>43677</v>
      </c>
      <c r="R356" s="425">
        <f>2020-YEAR(Table227[[#This Row],[In-
Service
Date]])</f>
        <v>3</v>
      </c>
      <c r="S356" s="308">
        <f>+Table227[[#This Row],[Proj To Date
Actuals]]*1.02^R356</f>
        <v>224396.7825528</v>
      </c>
    </row>
    <row r="357" spans="1:19" x14ac:dyDescent="0.25">
      <c r="A357" s="476" t="s">
        <v>1412</v>
      </c>
      <c r="B357" s="475" t="s">
        <v>4670</v>
      </c>
      <c r="C357" s="422" t="e">
        <f>VLOOKUP(B357,'Matter &amp; CI#'!$D$4:$E$595,2,FALSE)</f>
        <v>#N/A</v>
      </c>
      <c r="D357" s="476" t="s">
        <v>1413</v>
      </c>
      <c r="E357" s="476" t="s">
        <v>10</v>
      </c>
      <c r="F357" s="476" t="s">
        <v>9</v>
      </c>
      <c r="G357" s="475" t="s">
        <v>2013</v>
      </c>
      <c r="H357" s="516"/>
      <c r="I357" s="477" t="s">
        <v>5</v>
      </c>
      <c r="J357" s="476" t="s">
        <v>131</v>
      </c>
      <c r="K357" s="476" t="s">
        <v>7</v>
      </c>
      <c r="L357" s="184">
        <v>43100</v>
      </c>
      <c r="M357" s="184">
        <v>43891</v>
      </c>
      <c r="N357" s="480">
        <v>30895.25</v>
      </c>
      <c r="O357" s="478" t="str">
        <f>IFERROR(VLOOKUP(A357,[1]Approval!A:C,3,FALSE),"")</f>
        <v>FIN Approval - Internal</v>
      </c>
      <c r="P357" s="184">
        <f>IFERROR(VLOOKUP(A357,[1]Approval!A:J,10,FALSE),"")</f>
        <v>43677</v>
      </c>
      <c r="R357" s="425">
        <f>2020-YEAR(Table227[[#This Row],[In-
Service
Date]])</f>
        <v>3</v>
      </c>
      <c r="S357" s="308">
        <f>+Table227[[#This Row],[Proj To Date
Actuals]]*1.02^R357</f>
        <v>32786.286461999996</v>
      </c>
    </row>
    <row r="358" spans="1:19" x14ac:dyDescent="0.25">
      <c r="A358" s="476" t="s">
        <v>1949</v>
      </c>
      <c r="B358" s="475" t="s">
        <v>4673</v>
      </c>
      <c r="C358" s="422" t="e">
        <f>VLOOKUP(B358,'Matter &amp; CI#'!$D$4:$E$595,2,FALSE)</f>
        <v>#N/A</v>
      </c>
      <c r="D358" s="476" t="s">
        <v>1950</v>
      </c>
      <c r="E358" s="476" t="s">
        <v>10</v>
      </c>
      <c r="F358" s="476" t="s">
        <v>9</v>
      </c>
      <c r="G358" s="475" t="s">
        <v>2013</v>
      </c>
      <c r="H358" s="516"/>
      <c r="I358" s="477" t="s">
        <v>5</v>
      </c>
      <c r="J358" s="476" t="s">
        <v>14</v>
      </c>
      <c r="K358" s="476" t="s">
        <v>7</v>
      </c>
      <c r="L358" s="184">
        <v>43100</v>
      </c>
      <c r="M358" s="184">
        <v>43586</v>
      </c>
      <c r="N358" s="480">
        <v>64082.12</v>
      </c>
      <c r="O358" s="478" t="str">
        <f>IFERROR(VLOOKUP(A358,[1]Approval!A:C,3,FALSE),"")</f>
        <v>FIN Approval - Internal</v>
      </c>
      <c r="P358" s="184">
        <f>IFERROR(VLOOKUP(A358,[1]Approval!A:J,10,FALSE),"")</f>
        <v>43507</v>
      </c>
      <c r="R358" s="425">
        <f>2020-YEAR(Table227[[#This Row],[In-
Service
Date]])</f>
        <v>3</v>
      </c>
      <c r="S358" s="308">
        <f>+Table227[[#This Row],[Proj To Date
Actuals]]*1.02^R358</f>
        <v>68004.458400959993</v>
      </c>
    </row>
    <row r="359" spans="1:19" x14ac:dyDescent="0.25">
      <c r="A359" s="476" t="s">
        <v>1971</v>
      </c>
      <c r="B359" s="475" t="s">
        <v>1971</v>
      </c>
      <c r="C359" s="422" t="e">
        <f>VLOOKUP(B359,'Matter &amp; CI#'!$D$4:$E$595,2,FALSE)</f>
        <v>#N/A</v>
      </c>
      <c r="D359" s="476" t="s">
        <v>1972</v>
      </c>
      <c r="E359" s="476" t="s">
        <v>10</v>
      </c>
      <c r="F359" s="476" t="s">
        <v>9</v>
      </c>
      <c r="G359" s="475" t="s">
        <v>2013</v>
      </c>
      <c r="H359" s="516"/>
      <c r="I359" s="477" t="s">
        <v>5</v>
      </c>
      <c r="J359" s="476" t="s">
        <v>6</v>
      </c>
      <c r="K359" s="476" t="s">
        <v>7</v>
      </c>
      <c r="L359" s="184">
        <v>43100</v>
      </c>
      <c r="M359" s="184">
        <v>44136</v>
      </c>
      <c r="N359" s="480">
        <v>81199.63</v>
      </c>
      <c r="O359" s="478" t="str">
        <f>IFERROR(VLOOKUP(A359,[1]Approval!A:C,3,FALSE),"")</f>
        <v>FIN Approval - Internal</v>
      </c>
      <c r="P359" s="184">
        <f>IFERROR(VLOOKUP(A359,[1]Approval!A:J,10,FALSE),"")</f>
        <v>43993</v>
      </c>
      <c r="R359" s="425">
        <f>2020-YEAR(Table227[[#This Row],[In-
Service
Date]])</f>
        <v>3</v>
      </c>
      <c r="S359" s="308">
        <f>+Table227[[#This Row],[Proj To Date
Actuals]]*1.02^R359</f>
        <v>86169.696953039995</v>
      </c>
    </row>
    <row r="360" spans="1:19" x14ac:dyDescent="0.25">
      <c r="A360" s="476" t="s">
        <v>921</v>
      </c>
      <c r="B360" s="475" t="s">
        <v>921</v>
      </c>
      <c r="C360" s="422" t="e">
        <f>VLOOKUP(B360,'Matter &amp; CI#'!$D$4:$E$595,2,FALSE)</f>
        <v>#N/A</v>
      </c>
      <c r="D360" s="476" t="s">
        <v>922</v>
      </c>
      <c r="E360" s="476" t="s">
        <v>10</v>
      </c>
      <c r="F360" s="476" t="s">
        <v>9</v>
      </c>
      <c r="G360" s="475" t="s">
        <v>2013</v>
      </c>
      <c r="H360" s="516"/>
      <c r="I360" s="477" t="s">
        <v>5</v>
      </c>
      <c r="J360" s="476" t="s">
        <v>40</v>
      </c>
      <c r="K360" s="476" t="s">
        <v>7</v>
      </c>
      <c r="L360" s="184">
        <v>43100</v>
      </c>
      <c r="M360" s="184">
        <v>43524</v>
      </c>
      <c r="N360" s="480">
        <v>20378.689999999999</v>
      </c>
      <c r="O360" s="478" t="str">
        <f>IFERROR(VLOOKUP(A360,[1]Approval!A:C,3,FALSE),"")</f>
        <v>FIN Approval - Internal</v>
      </c>
      <c r="P360" s="184">
        <f>IFERROR(VLOOKUP(A360,[1]Approval!A:J,10,FALSE),"")</f>
        <v>43374</v>
      </c>
      <c r="R360" s="425">
        <f>2020-YEAR(Table227[[#This Row],[In-
Service
Date]])</f>
        <v>3</v>
      </c>
      <c r="S360" s="308">
        <f>+Table227[[#This Row],[Proj To Date
Actuals]]*1.02^R360</f>
        <v>21626.028857519996</v>
      </c>
    </row>
    <row r="361" spans="1:19" x14ac:dyDescent="0.25">
      <c r="A361" s="476" t="s">
        <v>1160</v>
      </c>
      <c r="B361" s="475" t="s">
        <v>1160</v>
      </c>
      <c r="C361" s="422" t="e">
        <f>VLOOKUP(B361,'Matter &amp; CI#'!$D$4:$E$595,2,FALSE)</f>
        <v>#N/A</v>
      </c>
      <c r="D361" s="476" t="s">
        <v>1161</v>
      </c>
      <c r="E361" s="476" t="s">
        <v>10</v>
      </c>
      <c r="F361" s="476" t="s">
        <v>9</v>
      </c>
      <c r="G361" s="475" t="s">
        <v>2013</v>
      </c>
      <c r="H361" s="516"/>
      <c r="I361" s="477" t="s">
        <v>5</v>
      </c>
      <c r="J361" s="476" t="s">
        <v>40</v>
      </c>
      <c r="K361" s="476" t="s">
        <v>7</v>
      </c>
      <c r="L361" s="184">
        <v>43100</v>
      </c>
      <c r="M361" s="184">
        <v>43738</v>
      </c>
      <c r="N361" s="480">
        <v>55631</v>
      </c>
      <c r="O361" s="478" t="str">
        <f>IFERROR(VLOOKUP(A361,[1]Approval!A:C,3,FALSE),"")</f>
        <v>FIN Approval - Internal</v>
      </c>
      <c r="P361" s="184">
        <f>IFERROR(VLOOKUP(A361,[1]Approval!A:J,10,FALSE),"")</f>
        <v>43677</v>
      </c>
      <c r="R361" s="425">
        <f>2020-YEAR(Table227[[#This Row],[In-
Service
Date]])</f>
        <v>3</v>
      </c>
      <c r="S361" s="308">
        <f>+Table227[[#This Row],[Proj To Date
Actuals]]*1.02^R361</f>
        <v>59036.062247999995</v>
      </c>
    </row>
    <row r="362" spans="1:19" x14ac:dyDescent="0.25">
      <c r="A362" s="476" t="s">
        <v>1965</v>
      </c>
      <c r="B362" s="475" t="s">
        <v>1965</v>
      </c>
      <c r="C362" s="422" t="e">
        <f>VLOOKUP(B362,'Matter &amp; CI#'!$D$4:$E$595,2,FALSE)</f>
        <v>#N/A</v>
      </c>
      <c r="D362" s="476" t="s">
        <v>1966</v>
      </c>
      <c r="E362" s="476" t="s">
        <v>10</v>
      </c>
      <c r="F362" s="476" t="s">
        <v>9</v>
      </c>
      <c r="G362" s="475" t="s">
        <v>2013</v>
      </c>
      <c r="H362" s="516"/>
      <c r="I362" s="477" t="s">
        <v>5</v>
      </c>
      <c r="J362" s="476" t="s">
        <v>182</v>
      </c>
      <c r="K362" s="476" t="s">
        <v>28</v>
      </c>
      <c r="L362" s="184">
        <v>43104</v>
      </c>
      <c r="N362" s="480">
        <v>2628839.0699999998</v>
      </c>
      <c r="O362" s="478" t="str">
        <f>IFERROR(VLOOKUP(A362,[1]Approval!A:C,3,FALSE),"")</f>
        <v>FIN Approval - Internal</v>
      </c>
      <c r="P362" s="184">
        <f>IFERROR(VLOOKUP(A362,[1]Approval!A:J,10,FALSE),"")</f>
        <v>43677</v>
      </c>
      <c r="R362" s="425">
        <f>2020-YEAR(Table227[[#This Row],[In-
Service
Date]])</f>
        <v>2</v>
      </c>
      <c r="S362" s="308">
        <f>+Table227[[#This Row],[Proj To Date
Actuals]]*1.02^R362</f>
        <v>2735044.1684279996</v>
      </c>
    </row>
    <row r="363" spans="1:19" x14ac:dyDescent="0.25">
      <c r="A363" s="476" t="s">
        <v>1648</v>
      </c>
      <c r="B363" s="475" t="s">
        <v>4428</v>
      </c>
      <c r="C363" s="422" t="e">
        <f>VLOOKUP(B363,'Matter &amp; CI#'!$D$4:$E$595,2,FALSE)</f>
        <v>#N/A</v>
      </c>
      <c r="D363" s="476" t="s">
        <v>1649</v>
      </c>
      <c r="E363" s="476" t="s">
        <v>33</v>
      </c>
      <c r="F363" s="476" t="s">
        <v>9</v>
      </c>
      <c r="G363" s="475" t="s">
        <v>2013</v>
      </c>
      <c r="H363" s="516"/>
      <c r="I363" s="477" t="s">
        <v>5</v>
      </c>
      <c r="J363" s="476" t="s">
        <v>6</v>
      </c>
      <c r="K363" s="476" t="s">
        <v>7</v>
      </c>
      <c r="L363" s="184">
        <v>43131</v>
      </c>
      <c r="M363" s="184">
        <v>44044</v>
      </c>
      <c r="N363" s="480">
        <v>418033.97</v>
      </c>
      <c r="O363" s="478" t="str">
        <f>IFERROR(VLOOKUP(A363,[1]Approval!A:C,3,FALSE),"")</f>
        <v>FIN Approval - Internal</v>
      </c>
      <c r="P363" s="184">
        <f>IFERROR(VLOOKUP(A363,[1]Approval!A:J,10,FALSE),"")</f>
        <v>43999</v>
      </c>
      <c r="R363" s="425">
        <f>2020-YEAR(Table227[[#This Row],[In-
Service
Date]])</f>
        <v>2</v>
      </c>
      <c r="S363" s="308">
        <f>+Table227[[#This Row],[Proj To Date
Actuals]]*1.02^R363</f>
        <v>434922.54238799994</v>
      </c>
    </row>
    <row r="364" spans="1:19" x14ac:dyDescent="0.25">
      <c r="A364" s="476" t="s">
        <v>1694</v>
      </c>
      <c r="B364" s="475" t="s">
        <v>4574</v>
      </c>
      <c r="C364" s="422" t="e">
        <f>VLOOKUP(B364,'Matter &amp; CI#'!$D$4:$E$595,2,FALSE)</f>
        <v>#N/A</v>
      </c>
      <c r="D364" s="476" t="s">
        <v>1695</v>
      </c>
      <c r="E364" s="476" t="s">
        <v>10</v>
      </c>
      <c r="F364" s="476" t="s">
        <v>9</v>
      </c>
      <c r="G364" s="475" t="s">
        <v>2013</v>
      </c>
      <c r="H364" s="516"/>
      <c r="I364" s="477" t="s">
        <v>5</v>
      </c>
      <c r="J364" s="476" t="s">
        <v>6</v>
      </c>
      <c r="K364" s="476" t="s">
        <v>7</v>
      </c>
      <c r="L364" s="184">
        <v>43131</v>
      </c>
      <c r="M364" s="184">
        <v>44136</v>
      </c>
      <c r="N364" s="480">
        <v>525501.43000000005</v>
      </c>
      <c r="O364" s="478" t="str">
        <f>IFERROR(VLOOKUP(A364,[1]Approval!A:C,3,FALSE),"")</f>
        <v>FIN Approval - Internal</v>
      </c>
      <c r="P364" s="184">
        <f>IFERROR(VLOOKUP(A364,[1]Approval!A:J,10,FALSE),"")</f>
        <v>43999</v>
      </c>
      <c r="R364" s="425">
        <f>2020-YEAR(Table227[[#This Row],[In-
Service
Date]])</f>
        <v>2</v>
      </c>
      <c r="S364" s="308">
        <f>+Table227[[#This Row],[Proj To Date
Actuals]]*1.02^R364</f>
        <v>546731.68777200009</v>
      </c>
    </row>
    <row r="365" spans="1:19" x14ac:dyDescent="0.25">
      <c r="A365" s="476" t="s">
        <v>1684</v>
      </c>
      <c r="B365" s="475" t="s">
        <v>4599</v>
      </c>
      <c r="C365" s="422" t="e">
        <f>VLOOKUP(B365,'Matter &amp; CI#'!$D$4:$E$595,2,FALSE)</f>
        <v>#N/A</v>
      </c>
      <c r="D365" s="476" t="s">
        <v>1685</v>
      </c>
      <c r="E365" s="476" t="s">
        <v>10</v>
      </c>
      <c r="F365" s="476" t="s">
        <v>9</v>
      </c>
      <c r="G365" s="475" t="s">
        <v>2013</v>
      </c>
      <c r="H365" s="516"/>
      <c r="I365" s="477" t="s">
        <v>5</v>
      </c>
      <c r="J365" s="476" t="s">
        <v>6</v>
      </c>
      <c r="K365" s="476" t="s">
        <v>7</v>
      </c>
      <c r="L365" s="184">
        <v>43131</v>
      </c>
      <c r="M365" s="184">
        <v>43586</v>
      </c>
      <c r="N365" s="480">
        <v>24027.89</v>
      </c>
      <c r="O365" s="478" t="str">
        <f>IFERROR(VLOOKUP(A365,[1]Approval!A:C,3,FALSE),"")</f>
        <v>FIN Approval - Internal</v>
      </c>
      <c r="P365" s="184">
        <f>IFERROR(VLOOKUP(A365,[1]Approval!A:J,10,FALSE),"")</f>
        <v>43507</v>
      </c>
      <c r="R365" s="425">
        <f>2020-YEAR(Table227[[#This Row],[In-
Service
Date]])</f>
        <v>2</v>
      </c>
      <c r="S365" s="308">
        <f>+Table227[[#This Row],[Proj To Date
Actuals]]*1.02^R365</f>
        <v>24998.616755999999</v>
      </c>
    </row>
    <row r="366" spans="1:19" x14ac:dyDescent="0.25">
      <c r="A366" s="476" t="s">
        <v>668</v>
      </c>
      <c r="B366" s="475" t="s">
        <v>668</v>
      </c>
      <c r="C366" s="422" t="e">
        <f>VLOOKUP(B366,'Matter &amp; CI#'!$D$4:$E$595,2,FALSE)</f>
        <v>#N/A</v>
      </c>
      <c r="D366" s="476" t="s">
        <v>669</v>
      </c>
      <c r="E366" s="476" t="s">
        <v>10</v>
      </c>
      <c r="F366" s="476" t="s">
        <v>9</v>
      </c>
      <c r="G366" s="475" t="s">
        <v>2013</v>
      </c>
      <c r="H366" s="516"/>
      <c r="I366" s="477" t="s">
        <v>5</v>
      </c>
      <c r="J366" s="476" t="s">
        <v>12</v>
      </c>
      <c r="K366" s="476" t="s">
        <v>28</v>
      </c>
      <c r="L366" s="184">
        <v>43131</v>
      </c>
      <c r="N366" s="480">
        <v>301959.18</v>
      </c>
      <c r="O366" s="478" t="str">
        <f>IFERROR(VLOOKUP(A366,[1]Approval!A:C,3,FALSE),"")</f>
        <v>FIN Approval - Internal</v>
      </c>
      <c r="P366" s="184">
        <f>IFERROR(VLOOKUP(A366,[1]Approval!A:J,10,FALSE),"")</f>
        <v>43507</v>
      </c>
      <c r="R366" s="425">
        <f>2020-YEAR(Table227[[#This Row],[In-
Service
Date]])</f>
        <v>2</v>
      </c>
      <c r="S366" s="308">
        <f>+Table227[[#This Row],[Proj To Date
Actuals]]*1.02^R366</f>
        <v>314158.33087199996</v>
      </c>
    </row>
    <row r="367" spans="1:19" x14ac:dyDescent="0.25">
      <c r="A367" s="476" t="s">
        <v>210</v>
      </c>
      <c r="B367" s="475" t="s">
        <v>210</v>
      </c>
      <c r="C367" s="422" t="e">
        <f>VLOOKUP(B367,'Matter &amp; CI#'!$D$4:$E$595,2,FALSE)</f>
        <v>#N/A</v>
      </c>
      <c r="D367" s="476" t="s">
        <v>211</v>
      </c>
      <c r="E367" s="476" t="s">
        <v>89</v>
      </c>
      <c r="F367" s="476" t="s">
        <v>9</v>
      </c>
      <c r="G367" s="475" t="s">
        <v>2013</v>
      </c>
      <c r="H367" s="516"/>
      <c r="I367" s="477" t="s">
        <v>5</v>
      </c>
      <c r="J367" s="476" t="s">
        <v>6</v>
      </c>
      <c r="K367" s="476" t="s">
        <v>28</v>
      </c>
      <c r="L367" s="184">
        <v>43132</v>
      </c>
      <c r="N367" s="480">
        <v>10288858.359999999</v>
      </c>
      <c r="O367" s="478" t="str">
        <f>IFERROR(VLOOKUP(A367,[1]Approval!A:C,3,FALSE),"")</f>
        <v>FIN Approval - Internal</v>
      </c>
      <c r="P367" s="184">
        <f>IFERROR(VLOOKUP(A367,[1]Approval!A:J,10,FALSE),"")</f>
        <v>44084</v>
      </c>
      <c r="R367" s="425">
        <f>2020-YEAR(Table227[[#This Row],[In-
Service
Date]])</f>
        <v>2</v>
      </c>
      <c r="S367" s="308">
        <f>+Table227[[#This Row],[Proj To Date
Actuals]]*1.02^R367</f>
        <v>10704528.237744</v>
      </c>
    </row>
    <row r="368" spans="1:19" x14ac:dyDescent="0.25">
      <c r="A368" s="476" t="s">
        <v>1398</v>
      </c>
      <c r="B368" s="475" t="s">
        <v>4587</v>
      </c>
      <c r="C368" s="422" t="e">
        <f>VLOOKUP(B368,'Matter &amp; CI#'!$D$4:$E$595,2,FALSE)</f>
        <v>#N/A</v>
      </c>
      <c r="D368" s="476" t="s">
        <v>1399</v>
      </c>
      <c r="E368" s="476" t="s">
        <v>10</v>
      </c>
      <c r="F368" s="476" t="s">
        <v>9</v>
      </c>
      <c r="G368" s="475" t="s">
        <v>2013</v>
      </c>
      <c r="H368" s="516"/>
      <c r="I368" s="477" t="s">
        <v>5</v>
      </c>
      <c r="J368" s="476" t="s">
        <v>6</v>
      </c>
      <c r="K368" s="476" t="s">
        <v>7</v>
      </c>
      <c r="L368" s="184">
        <v>43133</v>
      </c>
      <c r="M368" s="184">
        <v>43952</v>
      </c>
      <c r="N368" s="480">
        <v>417925.99</v>
      </c>
      <c r="O368" s="478" t="str">
        <f>IFERROR(VLOOKUP(A368,[1]Approval!A:C,3,FALSE),"")</f>
        <v>FIN Approval - Internal</v>
      </c>
      <c r="P368" s="184">
        <f>IFERROR(VLOOKUP(A368,[1]Approval!A:J,10,FALSE),"")</f>
        <v>43892</v>
      </c>
      <c r="R368" s="425">
        <f>2020-YEAR(Table227[[#This Row],[In-
Service
Date]])</f>
        <v>2</v>
      </c>
      <c r="S368" s="308">
        <f>+Table227[[#This Row],[Proj To Date
Actuals]]*1.02^R368</f>
        <v>434810.19999599998</v>
      </c>
    </row>
    <row r="369" spans="1:19" x14ac:dyDescent="0.25">
      <c r="A369" s="476" t="s">
        <v>1596</v>
      </c>
      <c r="B369" s="475" t="s">
        <v>4395</v>
      </c>
      <c r="C369" s="422" t="e">
        <f>VLOOKUP(B369,'Matter &amp; CI#'!$D$4:$E$595,2,FALSE)</f>
        <v>#N/A</v>
      </c>
      <c r="D369" s="476" t="s">
        <v>1597</v>
      </c>
      <c r="E369" s="476" t="s">
        <v>10</v>
      </c>
      <c r="F369" s="476" t="s">
        <v>9</v>
      </c>
      <c r="G369" s="475" t="s">
        <v>2013</v>
      </c>
      <c r="H369" s="516"/>
      <c r="I369" s="477" t="s">
        <v>5</v>
      </c>
      <c r="J369" s="476" t="s">
        <v>12</v>
      </c>
      <c r="K369" s="476" t="s">
        <v>7</v>
      </c>
      <c r="L369" s="184">
        <v>43159</v>
      </c>
      <c r="M369" s="184">
        <v>43738</v>
      </c>
      <c r="N369" s="480">
        <v>215017.09</v>
      </c>
      <c r="O369" s="478" t="str">
        <f>IFERROR(VLOOKUP(A369,[1]Approval!A:C,3,FALSE),"")</f>
        <v>FIN Approval - Internal</v>
      </c>
      <c r="P369" s="184">
        <f>IFERROR(VLOOKUP(A369,[1]Approval!A:J,10,FALSE),"")</f>
        <v>43677</v>
      </c>
      <c r="R369" s="425">
        <f>2020-YEAR(Table227[[#This Row],[In-
Service
Date]])</f>
        <v>2</v>
      </c>
      <c r="S369" s="308">
        <f>+Table227[[#This Row],[Proj To Date
Actuals]]*1.02^R369</f>
        <v>223703.780436</v>
      </c>
    </row>
    <row r="370" spans="1:19" x14ac:dyDescent="0.25">
      <c r="A370" s="476" t="s">
        <v>447</v>
      </c>
      <c r="B370" s="475" t="s">
        <v>4446</v>
      </c>
      <c r="C370" s="422" t="e">
        <f>VLOOKUP(B370,'Matter &amp; CI#'!$D$4:$E$595,2,FALSE)</f>
        <v>#N/A</v>
      </c>
      <c r="D370" s="476" t="s">
        <v>448</v>
      </c>
      <c r="E370" s="476" t="s">
        <v>10</v>
      </c>
      <c r="F370" s="476" t="s">
        <v>9</v>
      </c>
      <c r="G370" s="475" t="s">
        <v>2013</v>
      </c>
      <c r="H370" s="516"/>
      <c r="I370" s="477" t="s">
        <v>5</v>
      </c>
      <c r="J370" s="476" t="s">
        <v>6</v>
      </c>
      <c r="K370" s="476" t="s">
        <v>7</v>
      </c>
      <c r="L370" s="184">
        <v>43159</v>
      </c>
      <c r="M370" s="184">
        <v>44136</v>
      </c>
      <c r="N370" s="480">
        <v>360035.61</v>
      </c>
      <c r="O370" s="478" t="str">
        <f>IFERROR(VLOOKUP(A370,[1]Approval!A:C,3,FALSE),"")</f>
        <v>FIN Approval - Internal</v>
      </c>
      <c r="P370" s="184">
        <f>IFERROR(VLOOKUP(A370,[1]Approval!A:J,10,FALSE),"")</f>
        <v>43999</v>
      </c>
      <c r="R370" s="425">
        <f>2020-YEAR(Table227[[#This Row],[In-
Service
Date]])</f>
        <v>2</v>
      </c>
      <c r="S370" s="308">
        <f>+Table227[[#This Row],[Proj To Date
Actuals]]*1.02^R370</f>
        <v>374581.04864399997</v>
      </c>
    </row>
    <row r="371" spans="1:19" x14ac:dyDescent="0.25">
      <c r="A371" s="476" t="s">
        <v>909</v>
      </c>
      <c r="B371" s="475" t="s">
        <v>4660</v>
      </c>
      <c r="C371" s="422" t="e">
        <f>VLOOKUP(B371,'Matter &amp; CI#'!$D$4:$E$595,2,FALSE)</f>
        <v>#N/A</v>
      </c>
      <c r="D371" s="476" t="s">
        <v>910</v>
      </c>
      <c r="E371" s="476" t="s">
        <v>10</v>
      </c>
      <c r="F371" s="476" t="s">
        <v>9</v>
      </c>
      <c r="G371" s="475" t="s">
        <v>2013</v>
      </c>
      <c r="H371" s="516"/>
      <c r="I371" s="477" t="s">
        <v>5</v>
      </c>
      <c r="J371" s="476" t="s">
        <v>14</v>
      </c>
      <c r="K371" s="476" t="s">
        <v>28</v>
      </c>
      <c r="L371" s="184">
        <v>43159</v>
      </c>
      <c r="N371" s="480">
        <v>57834</v>
      </c>
      <c r="O371" s="478" t="str">
        <f>IFERROR(VLOOKUP(A371,[1]Approval!A:C,3,FALSE),"")</f>
        <v>FIN Approval - Internal</v>
      </c>
      <c r="P371" s="184">
        <f>IFERROR(VLOOKUP(A371,[1]Approval!A:J,10,FALSE),"")</f>
        <v>43584</v>
      </c>
      <c r="R371" s="425">
        <f>2020-YEAR(Table227[[#This Row],[In-
Service
Date]])</f>
        <v>2</v>
      </c>
      <c r="S371" s="308">
        <f>+Table227[[#This Row],[Proj To Date
Actuals]]*1.02^R371</f>
        <v>60170.493600000002</v>
      </c>
    </row>
    <row r="372" spans="1:19" x14ac:dyDescent="0.25">
      <c r="A372" s="476" t="s">
        <v>915</v>
      </c>
      <c r="B372" s="475" t="s">
        <v>4684</v>
      </c>
      <c r="C372" s="422" t="e">
        <f>VLOOKUP(B372,'Matter &amp; CI#'!$D$4:$E$595,2,FALSE)</f>
        <v>#N/A</v>
      </c>
      <c r="D372" s="476" t="s">
        <v>916</v>
      </c>
      <c r="E372" s="476" t="s">
        <v>10</v>
      </c>
      <c r="F372" s="476" t="s">
        <v>9</v>
      </c>
      <c r="G372" s="475" t="s">
        <v>2013</v>
      </c>
      <c r="H372" s="516"/>
      <c r="I372" s="477" t="s">
        <v>5</v>
      </c>
      <c r="J372" s="476" t="s">
        <v>14</v>
      </c>
      <c r="K372" s="476" t="s">
        <v>7</v>
      </c>
      <c r="L372" s="184">
        <v>43159</v>
      </c>
      <c r="M372" s="184">
        <v>43952</v>
      </c>
      <c r="N372" s="480">
        <v>199911.22</v>
      </c>
      <c r="O372" s="478" t="str">
        <f>IFERROR(VLOOKUP(A372,[1]Approval!A:C,3,FALSE),"")</f>
        <v>FIN Approval - Internal</v>
      </c>
      <c r="P372" s="184">
        <f>IFERROR(VLOOKUP(A372,[1]Approval!A:J,10,FALSE),"")</f>
        <v>43892</v>
      </c>
      <c r="R372" s="425">
        <f>2020-YEAR(Table227[[#This Row],[In-
Service
Date]])</f>
        <v>2</v>
      </c>
      <c r="S372" s="308">
        <f>+Table227[[#This Row],[Proj To Date
Actuals]]*1.02^R372</f>
        <v>207987.63328800001</v>
      </c>
    </row>
    <row r="373" spans="1:19" x14ac:dyDescent="0.25">
      <c r="A373" s="476" t="s">
        <v>1698</v>
      </c>
      <c r="B373" s="475" t="s">
        <v>4686</v>
      </c>
      <c r="C373" s="422" t="e">
        <f>VLOOKUP(B373,'Matter &amp; CI#'!$D$4:$E$595,2,FALSE)</f>
        <v>#N/A</v>
      </c>
      <c r="D373" s="476" t="s">
        <v>1699</v>
      </c>
      <c r="E373" s="476" t="s">
        <v>10</v>
      </c>
      <c r="F373" s="476" t="s">
        <v>9</v>
      </c>
      <c r="G373" s="475" t="s">
        <v>2013</v>
      </c>
      <c r="H373" s="516"/>
      <c r="I373" s="477" t="s">
        <v>5</v>
      </c>
      <c r="J373" s="476" t="s">
        <v>14</v>
      </c>
      <c r="K373" s="476" t="s">
        <v>7</v>
      </c>
      <c r="L373" s="184">
        <v>43159</v>
      </c>
      <c r="M373" s="184">
        <v>43952</v>
      </c>
      <c r="N373" s="480">
        <v>68246.95</v>
      </c>
      <c r="O373" s="478" t="str">
        <f>IFERROR(VLOOKUP(A373,[1]Approval!A:C,3,FALSE),"")</f>
        <v>FIN Approval - Internal</v>
      </c>
      <c r="P373" s="184">
        <f>IFERROR(VLOOKUP(A373,[1]Approval!A:J,10,FALSE),"")</f>
        <v>43892</v>
      </c>
      <c r="R373" s="425">
        <f>2020-YEAR(Table227[[#This Row],[In-
Service
Date]])</f>
        <v>2</v>
      </c>
      <c r="S373" s="308">
        <f>+Table227[[#This Row],[Proj To Date
Actuals]]*1.02^R373</f>
        <v>71004.126779999991</v>
      </c>
    </row>
    <row r="374" spans="1:19" x14ac:dyDescent="0.25">
      <c r="A374" s="476" t="s">
        <v>670</v>
      </c>
      <c r="B374" s="475" t="s">
        <v>670</v>
      </c>
      <c r="C374" s="422" t="e">
        <f>VLOOKUP(B374,'Matter &amp; CI#'!$D$4:$E$595,2,FALSE)</f>
        <v>#N/A</v>
      </c>
      <c r="D374" s="476" t="s">
        <v>671</v>
      </c>
      <c r="E374" s="476" t="s">
        <v>10</v>
      </c>
      <c r="F374" s="476" t="s">
        <v>9</v>
      </c>
      <c r="G374" s="475" t="s">
        <v>2013</v>
      </c>
      <c r="H374" s="516"/>
      <c r="I374" s="477" t="s">
        <v>5</v>
      </c>
      <c r="J374" s="476" t="s">
        <v>6</v>
      </c>
      <c r="K374" s="476" t="s">
        <v>28</v>
      </c>
      <c r="L374" s="184">
        <v>43159</v>
      </c>
      <c r="N374" s="480">
        <v>1571162.75</v>
      </c>
      <c r="O374" s="478" t="str">
        <f>IFERROR(VLOOKUP(A374,[1]Approval!A:C,3,FALSE),"")</f>
        <v/>
      </c>
      <c r="P374" s="184" t="str">
        <f>IFERROR(VLOOKUP(A374,[1]Approval!A:J,10,FALSE),"")</f>
        <v/>
      </c>
      <c r="R374" s="425">
        <f>2020-YEAR(Table227[[#This Row],[In-
Service
Date]])</f>
        <v>2</v>
      </c>
      <c r="S374" s="308">
        <f>+Table227[[#This Row],[Proj To Date
Actuals]]*1.02^R374</f>
        <v>1634637.7250999999</v>
      </c>
    </row>
    <row r="375" spans="1:19" x14ac:dyDescent="0.25">
      <c r="A375" s="476" t="s">
        <v>206</v>
      </c>
      <c r="B375" s="475" t="s">
        <v>206</v>
      </c>
      <c r="C375" s="422" t="e">
        <f>VLOOKUP(B375,'Matter &amp; CI#'!$D$4:$E$595,2,FALSE)</f>
        <v>#N/A</v>
      </c>
      <c r="D375" s="476" t="s">
        <v>207</v>
      </c>
      <c r="E375" s="476" t="s">
        <v>10</v>
      </c>
      <c r="F375" s="476" t="s">
        <v>9</v>
      </c>
      <c r="G375" s="475" t="s">
        <v>2013</v>
      </c>
      <c r="H375" s="516"/>
      <c r="I375" s="477" t="s">
        <v>5</v>
      </c>
      <c r="J375" s="476" t="s">
        <v>14</v>
      </c>
      <c r="K375" s="476" t="s">
        <v>28</v>
      </c>
      <c r="L375" s="184">
        <v>43159</v>
      </c>
      <c r="N375" s="480">
        <v>105241.68</v>
      </c>
      <c r="O375" s="478" t="str">
        <f>IFERROR(VLOOKUP(A375,[1]Approval!A:C,3,FALSE),"")</f>
        <v>FIN Approval - Internal</v>
      </c>
      <c r="P375" s="184">
        <f>IFERROR(VLOOKUP(A375,[1]Approval!A:J,10,FALSE),"")</f>
        <v>43999</v>
      </c>
      <c r="R375" s="425">
        <f>2020-YEAR(Table227[[#This Row],[In-
Service
Date]])</f>
        <v>2</v>
      </c>
      <c r="S375" s="308">
        <f>+Table227[[#This Row],[Proj To Date
Actuals]]*1.02^R375</f>
        <v>109493.44387199999</v>
      </c>
    </row>
    <row r="376" spans="1:19" x14ac:dyDescent="0.25">
      <c r="A376" s="476" t="s">
        <v>1973</v>
      </c>
      <c r="B376" s="475" t="s">
        <v>1973</v>
      </c>
      <c r="C376" s="422" t="e">
        <f>VLOOKUP(B376,'Matter &amp; CI#'!$D$4:$E$595,2,FALSE)</f>
        <v>#N/A</v>
      </c>
      <c r="D376" s="476" t="s">
        <v>1974</v>
      </c>
      <c r="E376" s="476" t="s">
        <v>10</v>
      </c>
      <c r="F376" s="476" t="s">
        <v>9</v>
      </c>
      <c r="G376" s="475" t="s">
        <v>2013</v>
      </c>
      <c r="H376" s="516"/>
      <c r="I376" s="477" t="s">
        <v>5</v>
      </c>
      <c r="J376" s="476" t="s">
        <v>182</v>
      </c>
      <c r="K376" s="476" t="s">
        <v>7</v>
      </c>
      <c r="L376" s="184">
        <v>43172</v>
      </c>
      <c r="M376" s="184">
        <v>44136</v>
      </c>
      <c r="N376" s="481">
        <v>2965868.89</v>
      </c>
      <c r="O376" s="478" t="str">
        <f>IFERROR(VLOOKUP(A376,[1]Approval!A:C,3,FALSE),"")</f>
        <v>FIN Approval - Internal</v>
      </c>
      <c r="P376" s="184">
        <f>IFERROR(VLOOKUP(A376,[1]Approval!A:J,10,FALSE),"")</f>
        <v>43993</v>
      </c>
      <c r="R376" s="425">
        <f>2020-YEAR(Table227[[#This Row],[In-
Service
Date]])</f>
        <v>2</v>
      </c>
      <c r="S376" s="308">
        <f>+Table227[[#This Row],[Proj To Date
Actuals]]*1.02^R376</f>
        <v>3085689.993156</v>
      </c>
    </row>
    <row r="377" spans="1:19" x14ac:dyDescent="0.25">
      <c r="A377" s="476" t="s">
        <v>833</v>
      </c>
      <c r="B377" s="475" t="s">
        <v>4297</v>
      </c>
      <c r="C377" s="422" t="e">
        <f>VLOOKUP(B377,'Matter &amp; CI#'!$D$4:$E$595,2,FALSE)</f>
        <v>#N/A</v>
      </c>
      <c r="D377" s="476" t="s">
        <v>834</v>
      </c>
      <c r="E377" s="476" t="s">
        <v>10</v>
      </c>
      <c r="F377" s="476" t="s">
        <v>9</v>
      </c>
      <c r="G377" s="475" t="s">
        <v>2013</v>
      </c>
      <c r="H377" s="516"/>
      <c r="I377" s="477" t="s">
        <v>5</v>
      </c>
      <c r="J377" s="476" t="s">
        <v>131</v>
      </c>
      <c r="K377" s="476" t="s">
        <v>7</v>
      </c>
      <c r="L377" s="184">
        <v>43190</v>
      </c>
      <c r="M377" s="184">
        <v>43677</v>
      </c>
      <c r="N377" s="480">
        <v>69487.47</v>
      </c>
      <c r="O377" s="478" t="str">
        <f>IFERROR(VLOOKUP(A377,[1]Approval!A:C,3,FALSE),"")</f>
        <v>FIN Approval - Internal</v>
      </c>
      <c r="P377" s="184">
        <f>IFERROR(VLOOKUP(A377,[1]Approval!A:J,10,FALSE),"")</f>
        <v>43584</v>
      </c>
      <c r="R377" s="425">
        <f>2020-YEAR(Table227[[#This Row],[In-
Service
Date]])</f>
        <v>2</v>
      </c>
      <c r="S377" s="308">
        <f>+Table227[[#This Row],[Proj To Date
Actuals]]*1.02^R377</f>
        <v>72294.763787999997</v>
      </c>
    </row>
    <row r="378" spans="1:19" x14ac:dyDescent="0.25">
      <c r="A378" s="476" t="s">
        <v>178</v>
      </c>
      <c r="B378" s="475" t="s">
        <v>4628</v>
      </c>
      <c r="C378" s="422" t="e">
        <f>VLOOKUP(B378,'Matter &amp; CI#'!$D$4:$E$595,2,FALSE)</f>
        <v>#N/A</v>
      </c>
      <c r="D378" s="476" t="s">
        <v>179</v>
      </c>
      <c r="E378" s="476" t="s">
        <v>10</v>
      </c>
      <c r="F378" s="476" t="s">
        <v>9</v>
      </c>
      <c r="G378" s="475" t="s">
        <v>2013</v>
      </c>
      <c r="H378" s="516"/>
      <c r="I378" s="477" t="s">
        <v>5</v>
      </c>
      <c r="J378" s="476" t="s">
        <v>14</v>
      </c>
      <c r="K378" s="476" t="s">
        <v>7</v>
      </c>
      <c r="L378" s="184">
        <v>43190</v>
      </c>
      <c r="M378" s="184">
        <v>43556</v>
      </c>
      <c r="N378" s="480">
        <v>329735.27</v>
      </c>
      <c r="O378" s="478" t="str">
        <f>IFERROR(VLOOKUP(A378,[1]Approval!A:C,3,FALSE),"")</f>
        <v>FIN Approval - Internal</v>
      </c>
      <c r="P378" s="184">
        <f>IFERROR(VLOOKUP(A378,[1]Approval!A:J,10,FALSE),"")</f>
        <v>43452</v>
      </c>
      <c r="R378" s="425">
        <f>2020-YEAR(Table227[[#This Row],[In-
Service
Date]])</f>
        <v>2</v>
      </c>
      <c r="S378" s="308">
        <f>+Table227[[#This Row],[Proj To Date
Actuals]]*1.02^R378</f>
        <v>343056.57490800001</v>
      </c>
    </row>
    <row r="379" spans="1:19" x14ac:dyDescent="0.25">
      <c r="A379" s="476" t="s">
        <v>176</v>
      </c>
      <c r="B379" s="475" t="s">
        <v>4635</v>
      </c>
      <c r="C379" s="422" t="e">
        <f>VLOOKUP(B379,'Matter &amp; CI#'!$D$4:$E$595,2,FALSE)</f>
        <v>#N/A</v>
      </c>
      <c r="D379" s="476" t="s">
        <v>177</v>
      </c>
      <c r="E379" s="476" t="s">
        <v>10</v>
      </c>
      <c r="F379" s="476" t="s">
        <v>9</v>
      </c>
      <c r="G379" s="475" t="s">
        <v>2013</v>
      </c>
      <c r="H379" s="516"/>
      <c r="I379" s="477" t="s">
        <v>5</v>
      </c>
      <c r="J379" s="476" t="s">
        <v>14</v>
      </c>
      <c r="K379" s="476" t="s">
        <v>7</v>
      </c>
      <c r="L379" s="184">
        <v>43190</v>
      </c>
      <c r="M379" s="184">
        <v>43556</v>
      </c>
      <c r="N379" s="480">
        <v>140274.10999999999</v>
      </c>
      <c r="O379" s="478" t="str">
        <f>IFERROR(VLOOKUP(A379,[1]Approval!A:C,3,FALSE),"")</f>
        <v>FIN Approval - Internal</v>
      </c>
      <c r="P379" s="184">
        <f>IFERROR(VLOOKUP(A379,[1]Approval!A:J,10,FALSE),"")</f>
        <v>43452</v>
      </c>
      <c r="R379" s="425">
        <f>2020-YEAR(Table227[[#This Row],[In-
Service
Date]])</f>
        <v>2</v>
      </c>
      <c r="S379" s="308">
        <f>+Table227[[#This Row],[Proj To Date
Actuals]]*1.02^R379</f>
        <v>145941.18404399999</v>
      </c>
    </row>
    <row r="380" spans="1:19" x14ac:dyDescent="0.25">
      <c r="A380" s="476" t="s">
        <v>202</v>
      </c>
      <c r="B380" s="475" t="s">
        <v>4667</v>
      </c>
      <c r="C380" s="422" t="e">
        <f>VLOOKUP(B380,'Matter &amp; CI#'!$D$4:$E$595,2,FALSE)</f>
        <v>#N/A</v>
      </c>
      <c r="D380" s="476" t="s">
        <v>203</v>
      </c>
      <c r="E380" s="476" t="s">
        <v>10</v>
      </c>
      <c r="F380" s="476" t="s">
        <v>9</v>
      </c>
      <c r="G380" s="475" t="s">
        <v>2013</v>
      </c>
      <c r="H380" s="516"/>
      <c r="I380" s="477" t="s">
        <v>5</v>
      </c>
      <c r="J380" s="476" t="s">
        <v>14</v>
      </c>
      <c r="K380" s="476" t="s">
        <v>7</v>
      </c>
      <c r="L380" s="184">
        <v>43190</v>
      </c>
      <c r="M380" s="184">
        <v>43952</v>
      </c>
      <c r="N380" s="480">
        <v>362054.11</v>
      </c>
      <c r="O380" s="478" t="str">
        <f>IFERROR(VLOOKUP(A380,[1]Approval!A:C,3,FALSE),"")</f>
        <v>FIN Approval - Internal</v>
      </c>
      <c r="P380" s="184">
        <f>IFERROR(VLOOKUP(A380,[1]Approval!A:J,10,FALSE),"")</f>
        <v>43892</v>
      </c>
      <c r="R380" s="425">
        <f>2020-YEAR(Table227[[#This Row],[In-
Service
Date]])</f>
        <v>2</v>
      </c>
      <c r="S380" s="308">
        <f>+Table227[[#This Row],[Proj To Date
Actuals]]*1.02^R380</f>
        <v>376681.09604400001</v>
      </c>
    </row>
    <row r="381" spans="1:19" x14ac:dyDescent="0.25">
      <c r="A381" s="476" t="s">
        <v>901</v>
      </c>
      <c r="B381" s="475" t="s">
        <v>4675</v>
      </c>
      <c r="C381" s="422" t="e">
        <f>VLOOKUP(B381,'Matter &amp; CI#'!$D$4:$E$595,2,FALSE)</f>
        <v>#N/A</v>
      </c>
      <c r="D381" s="476" t="s">
        <v>902</v>
      </c>
      <c r="E381" s="476" t="s">
        <v>10</v>
      </c>
      <c r="F381" s="476" t="s">
        <v>9</v>
      </c>
      <c r="G381" s="475" t="s">
        <v>2013</v>
      </c>
      <c r="H381" s="516"/>
      <c r="I381" s="477" t="s">
        <v>5</v>
      </c>
      <c r="J381" s="476" t="s">
        <v>131</v>
      </c>
      <c r="K381" s="476" t="s">
        <v>7</v>
      </c>
      <c r="L381" s="184">
        <v>43190</v>
      </c>
      <c r="M381" s="184">
        <v>43891</v>
      </c>
      <c r="N381" s="480">
        <v>33404.080000000002</v>
      </c>
      <c r="O381" s="478" t="str">
        <f>IFERROR(VLOOKUP(A381,[1]Approval!A:C,3,FALSE),"")</f>
        <v>FIN Approval - Internal</v>
      </c>
      <c r="P381" s="184">
        <f>IFERROR(VLOOKUP(A381,[1]Approval!A:J,10,FALSE),"")</f>
        <v>43677</v>
      </c>
      <c r="R381" s="425">
        <f>2020-YEAR(Table227[[#This Row],[In-
Service
Date]])</f>
        <v>2</v>
      </c>
      <c r="S381" s="308">
        <f>+Table227[[#This Row],[Proj To Date
Actuals]]*1.02^R381</f>
        <v>34753.604832000005</v>
      </c>
    </row>
    <row r="382" spans="1:19" x14ac:dyDescent="0.25">
      <c r="A382" s="476" t="s">
        <v>1943</v>
      </c>
      <c r="B382" s="475" t="s">
        <v>4677</v>
      </c>
      <c r="C382" s="422" t="e">
        <f>VLOOKUP(B382,'Matter &amp; CI#'!$D$4:$E$595,2,FALSE)</f>
        <v>#N/A</v>
      </c>
      <c r="D382" s="476" t="s">
        <v>1944</v>
      </c>
      <c r="E382" s="476" t="s">
        <v>10</v>
      </c>
      <c r="F382" s="476" t="s">
        <v>9</v>
      </c>
      <c r="G382" s="475" t="s">
        <v>2013</v>
      </c>
      <c r="H382" s="516"/>
      <c r="I382" s="477" t="s">
        <v>5</v>
      </c>
      <c r="J382" s="476" t="s">
        <v>14</v>
      </c>
      <c r="K382" s="476" t="s">
        <v>7</v>
      </c>
      <c r="L382" s="184">
        <v>43190</v>
      </c>
      <c r="M382" s="184">
        <v>43891</v>
      </c>
      <c r="N382" s="480">
        <v>3196.12</v>
      </c>
      <c r="O382" s="478" t="str">
        <f>IFERROR(VLOOKUP(A382,[1]Approval!A:C,3,FALSE),"")</f>
        <v>FIN Approval - Internal</v>
      </c>
      <c r="P382" s="184">
        <f>IFERROR(VLOOKUP(A382,[1]Approval!A:J,10,FALSE),"")</f>
        <v>43677</v>
      </c>
      <c r="R382" s="425">
        <f>2020-YEAR(Table227[[#This Row],[In-
Service
Date]])</f>
        <v>2</v>
      </c>
      <c r="S382" s="308">
        <f>+Table227[[#This Row],[Proj To Date
Actuals]]*1.02^R382</f>
        <v>3325.2432479999998</v>
      </c>
    </row>
    <row r="383" spans="1:19" x14ac:dyDescent="0.25">
      <c r="A383" s="476" t="s">
        <v>461</v>
      </c>
      <c r="B383" s="475" t="s">
        <v>461</v>
      </c>
      <c r="C383" s="422" t="e">
        <f>VLOOKUP(B383,'Matter &amp; CI#'!$D$4:$E$595,2,FALSE)</f>
        <v>#N/A</v>
      </c>
      <c r="D383" s="476" t="s">
        <v>462</v>
      </c>
      <c r="E383" s="476" t="s">
        <v>10</v>
      </c>
      <c r="F383" s="476" t="s">
        <v>9</v>
      </c>
      <c r="G383" s="475" t="s">
        <v>2013</v>
      </c>
      <c r="H383" s="516"/>
      <c r="I383" s="477" t="s">
        <v>5</v>
      </c>
      <c r="J383" s="476" t="s">
        <v>6</v>
      </c>
      <c r="K383" s="476" t="s">
        <v>7</v>
      </c>
      <c r="L383" s="184">
        <v>43190</v>
      </c>
      <c r="M383" s="184">
        <v>44136</v>
      </c>
      <c r="N383" s="480">
        <v>225245.18</v>
      </c>
      <c r="O383" s="478" t="str">
        <f>IFERROR(VLOOKUP(A383,[1]Approval!A:C,3,FALSE),"")</f>
        <v>FIN Approval - Internal</v>
      </c>
      <c r="P383" s="184">
        <f>IFERROR(VLOOKUP(A383,[1]Approval!A:J,10,FALSE),"")</f>
        <v>43993</v>
      </c>
      <c r="R383" s="425">
        <f>2020-YEAR(Table227[[#This Row],[In-
Service
Date]])</f>
        <v>2</v>
      </c>
      <c r="S383" s="308">
        <f>+Table227[[#This Row],[Proj To Date
Actuals]]*1.02^R383</f>
        <v>234345.085272</v>
      </c>
    </row>
    <row r="384" spans="1:19" x14ac:dyDescent="0.25">
      <c r="A384" s="476" t="s">
        <v>1951</v>
      </c>
      <c r="B384" s="475" t="s">
        <v>1951</v>
      </c>
      <c r="C384" s="422" t="e">
        <f>VLOOKUP(B384,'Matter &amp; CI#'!$D$4:$E$595,2,FALSE)</f>
        <v>#N/A</v>
      </c>
      <c r="D384" s="476" t="s">
        <v>1952</v>
      </c>
      <c r="E384" s="476" t="s">
        <v>10</v>
      </c>
      <c r="F384" s="476" t="s">
        <v>9</v>
      </c>
      <c r="G384" s="475" t="s">
        <v>2013</v>
      </c>
      <c r="H384" s="516"/>
      <c r="I384" s="477" t="s">
        <v>5</v>
      </c>
      <c r="J384" s="476" t="s">
        <v>14</v>
      </c>
      <c r="K384" s="476" t="s">
        <v>28</v>
      </c>
      <c r="L384" s="184">
        <v>43190</v>
      </c>
      <c r="N384" s="480">
        <v>548983.28</v>
      </c>
      <c r="O384" s="478" t="str">
        <f>IFERROR(VLOOKUP(A384,[1]Approval!A:C,3,FALSE),"")</f>
        <v/>
      </c>
      <c r="P384" s="184" t="str">
        <f>IFERROR(VLOOKUP(A384,[1]Approval!A:J,10,FALSE),"")</f>
        <v/>
      </c>
      <c r="R384" s="425">
        <f>2020-YEAR(Table227[[#This Row],[In-
Service
Date]])</f>
        <v>2</v>
      </c>
      <c r="S384" s="308">
        <f>+Table227[[#This Row],[Proj To Date
Actuals]]*1.02^R384</f>
        <v>571162.20451199997</v>
      </c>
    </row>
    <row r="385" spans="1:19" x14ac:dyDescent="0.25">
      <c r="A385" s="476" t="s">
        <v>1670</v>
      </c>
      <c r="B385" s="475" t="s">
        <v>4619</v>
      </c>
      <c r="C385" s="422" t="e">
        <f>VLOOKUP(B385,'Matter &amp; CI#'!$D$4:$E$595,2,FALSE)</f>
        <v>#N/A</v>
      </c>
      <c r="D385" s="476" t="s">
        <v>1671</v>
      </c>
      <c r="E385" s="476" t="s">
        <v>10</v>
      </c>
      <c r="F385" s="476" t="s">
        <v>9</v>
      </c>
      <c r="G385" s="475" t="s">
        <v>2013</v>
      </c>
      <c r="H385" s="516"/>
      <c r="I385" s="477" t="s">
        <v>5</v>
      </c>
      <c r="J385" s="476" t="s">
        <v>14</v>
      </c>
      <c r="K385" s="476" t="s">
        <v>7</v>
      </c>
      <c r="L385" s="184">
        <v>43220</v>
      </c>
      <c r="M385" s="184">
        <v>43738</v>
      </c>
      <c r="N385" s="480">
        <v>127588.01</v>
      </c>
      <c r="O385" s="478" t="str">
        <f>IFERROR(VLOOKUP(A385,[1]Approval!A:C,3,FALSE),"")</f>
        <v>FIN Approval - Internal</v>
      </c>
      <c r="P385" s="184">
        <f>IFERROR(VLOOKUP(A385,[1]Approval!A:J,10,FALSE),"")</f>
        <v>43677</v>
      </c>
      <c r="R385" s="425">
        <f>2020-YEAR(Table227[[#This Row],[In-
Service
Date]])</f>
        <v>2</v>
      </c>
      <c r="S385" s="308">
        <f>+Table227[[#This Row],[Proj To Date
Actuals]]*1.02^R385</f>
        <v>132742.565604</v>
      </c>
    </row>
    <row r="386" spans="1:19" x14ac:dyDescent="0.25">
      <c r="A386" s="476" t="s">
        <v>1408</v>
      </c>
      <c r="B386" s="475" t="s">
        <v>4663</v>
      </c>
      <c r="C386" s="422" t="e">
        <f>VLOOKUP(B386,'Matter &amp; CI#'!$D$4:$E$595,2,FALSE)</f>
        <v>#N/A</v>
      </c>
      <c r="D386" s="476" t="s">
        <v>1409</v>
      </c>
      <c r="E386" s="476" t="s">
        <v>10</v>
      </c>
      <c r="F386" s="476" t="s">
        <v>9</v>
      </c>
      <c r="G386" s="475" t="s">
        <v>2013</v>
      </c>
      <c r="H386" s="516"/>
      <c r="I386" s="477" t="s">
        <v>5</v>
      </c>
      <c r="J386" s="476" t="s">
        <v>43</v>
      </c>
      <c r="K386" s="476" t="s">
        <v>28</v>
      </c>
      <c r="L386" s="184">
        <v>43220</v>
      </c>
      <c r="N386" s="480">
        <v>399871.03</v>
      </c>
      <c r="O386" s="478" t="str">
        <f>IFERROR(VLOOKUP(A386,[1]Approval!A:C,3,FALSE),"")</f>
        <v>FIN Approval - Internal</v>
      </c>
      <c r="P386" s="184">
        <f>IFERROR(VLOOKUP(A386,[1]Approval!A:J,10,FALSE),"")</f>
        <v>44105</v>
      </c>
      <c r="R386" s="425">
        <f>2020-YEAR(Table227[[#This Row],[In-
Service
Date]])</f>
        <v>2</v>
      </c>
      <c r="S386" s="308">
        <f>+Table227[[#This Row],[Proj To Date
Actuals]]*1.02^R386</f>
        <v>416025.81961200002</v>
      </c>
    </row>
    <row r="387" spans="1:19" x14ac:dyDescent="0.25">
      <c r="A387" s="476" t="s">
        <v>680</v>
      </c>
      <c r="B387" s="475" t="s">
        <v>680</v>
      </c>
      <c r="C387" s="422" t="e">
        <f>VLOOKUP(B387,'Matter &amp; CI#'!$D$4:$E$595,2,FALSE)</f>
        <v>#N/A</v>
      </c>
      <c r="D387" s="476" t="s">
        <v>681</v>
      </c>
      <c r="E387" s="476" t="s">
        <v>10</v>
      </c>
      <c r="F387" s="476" t="s">
        <v>9</v>
      </c>
      <c r="G387" s="475" t="s">
        <v>2013</v>
      </c>
      <c r="H387" s="516"/>
      <c r="I387" s="477" t="s">
        <v>5</v>
      </c>
      <c r="J387" s="476" t="s">
        <v>14</v>
      </c>
      <c r="K387" s="476" t="s">
        <v>28</v>
      </c>
      <c r="L387" s="184">
        <v>43220</v>
      </c>
      <c r="N387" s="480">
        <v>69343.44</v>
      </c>
      <c r="O387" s="478" t="str">
        <f>IFERROR(VLOOKUP(A387,[1]Approval!A:C,3,FALSE),"")</f>
        <v>FIN Approval - Internal</v>
      </c>
      <c r="P387" s="184">
        <f>IFERROR(VLOOKUP(A387,[1]Approval!A:J,10,FALSE),"")</f>
        <v>43993</v>
      </c>
      <c r="R387" s="425">
        <f>2020-YEAR(Table227[[#This Row],[In-
Service
Date]])</f>
        <v>2</v>
      </c>
      <c r="S387" s="308">
        <f>+Table227[[#This Row],[Proj To Date
Actuals]]*1.02^R387</f>
        <v>72144.914976</v>
      </c>
    </row>
    <row r="388" spans="1:19" x14ac:dyDescent="0.25">
      <c r="A388" s="476" t="s">
        <v>1700</v>
      </c>
      <c r="B388" s="475" t="s">
        <v>1700</v>
      </c>
      <c r="C388" s="422" t="e">
        <f>VLOOKUP(B388,'Matter &amp; CI#'!$D$4:$E$595,2,FALSE)</f>
        <v>#N/A</v>
      </c>
      <c r="D388" s="476" t="s">
        <v>1701</v>
      </c>
      <c r="E388" s="476" t="s">
        <v>10</v>
      </c>
      <c r="F388" s="476" t="s">
        <v>9</v>
      </c>
      <c r="G388" s="475" t="s">
        <v>2013</v>
      </c>
      <c r="H388" s="516"/>
      <c r="I388" s="477" t="s">
        <v>5</v>
      </c>
      <c r="J388" s="476" t="s">
        <v>14</v>
      </c>
      <c r="K388" s="476" t="s">
        <v>28</v>
      </c>
      <c r="L388" s="184">
        <v>43220</v>
      </c>
      <c r="N388" s="480">
        <v>107814.79</v>
      </c>
      <c r="O388" s="478" t="str">
        <f>IFERROR(VLOOKUP(A388,[1]Approval!A:C,3,FALSE),"")</f>
        <v>FIN Approval - Internal</v>
      </c>
      <c r="P388" s="184">
        <f>IFERROR(VLOOKUP(A388,[1]Approval!A:J,10,FALSE),"")</f>
        <v>43999</v>
      </c>
      <c r="R388" s="425">
        <f>2020-YEAR(Table227[[#This Row],[In-
Service
Date]])</f>
        <v>2</v>
      </c>
      <c r="S388" s="308">
        <f>+Table227[[#This Row],[Proj To Date
Actuals]]*1.02^R388</f>
        <v>112170.507516</v>
      </c>
    </row>
    <row r="389" spans="1:19" x14ac:dyDescent="0.25">
      <c r="A389" s="476" t="s">
        <v>1923</v>
      </c>
      <c r="B389" s="475" t="s">
        <v>4627</v>
      </c>
      <c r="C389" s="422" t="e">
        <f>VLOOKUP(B389,'Matter &amp; CI#'!$D$4:$E$595,2,FALSE)</f>
        <v>#N/A</v>
      </c>
      <c r="D389" s="476" t="s">
        <v>1924</v>
      </c>
      <c r="E389" s="476" t="s">
        <v>10</v>
      </c>
      <c r="F389" s="476" t="s">
        <v>9</v>
      </c>
      <c r="G389" s="475" t="s">
        <v>2013</v>
      </c>
      <c r="H389" s="516"/>
      <c r="I389" s="477" t="s">
        <v>5</v>
      </c>
      <c r="J389" s="476" t="s">
        <v>14</v>
      </c>
      <c r="K389" s="476" t="s">
        <v>7</v>
      </c>
      <c r="L389" s="184">
        <v>43251</v>
      </c>
      <c r="M389" s="184">
        <v>43891</v>
      </c>
      <c r="N389" s="480">
        <v>127155.29</v>
      </c>
      <c r="O389" s="478" t="str">
        <f>IFERROR(VLOOKUP(A389,[1]Approval!A:C,3,FALSE),"")</f>
        <v>FIN Approval - Internal</v>
      </c>
      <c r="P389" s="184">
        <f>IFERROR(VLOOKUP(A389,[1]Approval!A:J,10,FALSE),"")</f>
        <v>43817</v>
      </c>
      <c r="R389" s="425">
        <f>2020-YEAR(Table227[[#This Row],[In-
Service
Date]])</f>
        <v>2</v>
      </c>
      <c r="S389" s="308">
        <f>+Table227[[#This Row],[Proj To Date
Actuals]]*1.02^R389</f>
        <v>132292.36371599999</v>
      </c>
    </row>
    <row r="390" spans="1:19" x14ac:dyDescent="0.25">
      <c r="A390" s="476" t="s">
        <v>453</v>
      </c>
      <c r="B390" s="475" t="s">
        <v>4658</v>
      </c>
      <c r="C390" s="422" t="e">
        <f>VLOOKUP(B390,'Matter &amp; CI#'!$D$4:$E$595,2,FALSE)</f>
        <v>#N/A</v>
      </c>
      <c r="D390" s="476" t="s">
        <v>454</v>
      </c>
      <c r="E390" s="476" t="s">
        <v>10</v>
      </c>
      <c r="F390" s="476" t="s">
        <v>9</v>
      </c>
      <c r="G390" s="475" t="s">
        <v>2013</v>
      </c>
      <c r="H390" s="516"/>
      <c r="I390" s="477" t="s">
        <v>5</v>
      </c>
      <c r="J390" s="476" t="s">
        <v>14</v>
      </c>
      <c r="K390" s="476" t="s">
        <v>7</v>
      </c>
      <c r="L390" s="184">
        <v>43251</v>
      </c>
      <c r="M390" s="184">
        <v>44044</v>
      </c>
      <c r="N390" s="480">
        <v>356613.06</v>
      </c>
      <c r="O390" s="478" t="str">
        <f>IFERROR(VLOOKUP(A390,[1]Approval!A:C,3,FALSE),"")</f>
        <v>FIN Approval - Internal</v>
      </c>
      <c r="P390" s="184">
        <f>IFERROR(VLOOKUP(A390,[1]Approval!A:J,10,FALSE),"")</f>
        <v>43857</v>
      </c>
      <c r="R390" s="425">
        <f>2020-YEAR(Table227[[#This Row],[In-
Service
Date]])</f>
        <v>2</v>
      </c>
      <c r="S390" s="308">
        <f>+Table227[[#This Row],[Proj To Date
Actuals]]*1.02^R390</f>
        <v>371020.22762399999</v>
      </c>
    </row>
    <row r="391" spans="1:19" x14ac:dyDescent="0.25">
      <c r="A391" s="476" t="s">
        <v>1162</v>
      </c>
      <c r="B391" s="475" t="s">
        <v>1162</v>
      </c>
      <c r="C391" s="422" t="e">
        <f>VLOOKUP(B391,'Matter &amp; CI#'!$D$4:$E$595,2,FALSE)</f>
        <v>#N/A</v>
      </c>
      <c r="D391" s="476" t="s">
        <v>1163</v>
      </c>
      <c r="E391" s="476" t="s">
        <v>10</v>
      </c>
      <c r="F391" s="476" t="s">
        <v>9</v>
      </c>
      <c r="G391" s="475" t="s">
        <v>2013</v>
      </c>
      <c r="H391" s="516"/>
      <c r="I391" s="477" t="s">
        <v>5</v>
      </c>
      <c r="J391" s="476" t="s">
        <v>131</v>
      </c>
      <c r="K391" s="476" t="s">
        <v>7</v>
      </c>
      <c r="L391" s="184">
        <v>43251</v>
      </c>
      <c r="M391" s="184">
        <v>43738</v>
      </c>
      <c r="N391" s="480">
        <v>58063.360000000001</v>
      </c>
      <c r="O391" s="478" t="str">
        <f>IFERROR(VLOOKUP(A391,[1]Approval!A:C,3,FALSE),"")</f>
        <v>FIN Approval - Internal</v>
      </c>
      <c r="P391" s="184">
        <f>IFERROR(VLOOKUP(A391,[1]Approval!A:J,10,FALSE),"")</f>
        <v>43677</v>
      </c>
      <c r="R391" s="425">
        <f>2020-YEAR(Table227[[#This Row],[In-
Service
Date]])</f>
        <v>2</v>
      </c>
      <c r="S391" s="308">
        <f>+Table227[[#This Row],[Proj To Date
Actuals]]*1.02^R391</f>
        <v>60409.119744000003</v>
      </c>
    </row>
    <row r="392" spans="1:19" x14ac:dyDescent="0.25">
      <c r="A392" s="476" t="s">
        <v>212</v>
      </c>
      <c r="B392" s="475" t="s">
        <v>212</v>
      </c>
      <c r="C392" s="422" t="e">
        <f>VLOOKUP(B392,'Matter &amp; CI#'!$D$4:$E$595,2,FALSE)</f>
        <v>#N/A</v>
      </c>
      <c r="D392" s="476" t="s">
        <v>213</v>
      </c>
      <c r="E392" s="476" t="s">
        <v>10</v>
      </c>
      <c r="F392" s="476" t="s">
        <v>9</v>
      </c>
      <c r="G392" s="475" t="s">
        <v>2013</v>
      </c>
      <c r="H392" s="516"/>
      <c r="I392" s="477" t="s">
        <v>5</v>
      </c>
      <c r="J392" s="476" t="s">
        <v>6</v>
      </c>
      <c r="K392" s="476" t="s">
        <v>28</v>
      </c>
      <c r="L392" s="184">
        <v>43251</v>
      </c>
      <c r="N392" s="481">
        <v>388517.35</v>
      </c>
      <c r="O392" s="478" t="str">
        <f>IFERROR(VLOOKUP(A392,[1]Approval!A:C,3,FALSE),"")</f>
        <v>FIN Approval - Internal</v>
      </c>
      <c r="P392" s="184">
        <f>IFERROR(VLOOKUP(A392,[1]Approval!A:J,10,FALSE),"")</f>
        <v>44151</v>
      </c>
      <c r="R392" s="425">
        <f>2020-YEAR(Table227[[#This Row],[In-
Service
Date]])</f>
        <v>2</v>
      </c>
      <c r="S392" s="308">
        <f>+Table227[[#This Row],[Proj To Date
Actuals]]*1.02^R392</f>
        <v>404213.45093999995</v>
      </c>
    </row>
    <row r="393" spans="1:19" x14ac:dyDescent="0.25">
      <c r="A393" s="476" t="s">
        <v>682</v>
      </c>
      <c r="B393" s="475" t="s">
        <v>682</v>
      </c>
      <c r="C393" s="422" t="e">
        <f>VLOOKUP(B393,'Matter &amp; CI#'!$D$4:$E$595,2,FALSE)</f>
        <v>#N/A</v>
      </c>
      <c r="D393" s="476" t="s">
        <v>683</v>
      </c>
      <c r="E393" s="476" t="s">
        <v>10</v>
      </c>
      <c r="F393" s="476" t="s">
        <v>9</v>
      </c>
      <c r="G393" s="475" t="s">
        <v>2013</v>
      </c>
      <c r="H393" s="516"/>
      <c r="I393" s="477" t="s">
        <v>5</v>
      </c>
      <c r="J393" s="476" t="s">
        <v>14</v>
      </c>
      <c r="K393" s="476" t="s">
        <v>28</v>
      </c>
      <c r="L393" s="184">
        <v>43251</v>
      </c>
      <c r="N393" s="480">
        <v>217076.17</v>
      </c>
      <c r="O393" s="478" t="str">
        <f>IFERROR(VLOOKUP(A393,[1]Approval!A:C,3,FALSE),"")</f>
        <v>FIN Approval - Internal</v>
      </c>
      <c r="P393" s="184">
        <f>IFERROR(VLOOKUP(A393,[1]Approval!A:J,10,FALSE),"")</f>
        <v>43906</v>
      </c>
      <c r="R393" s="425">
        <f>2020-YEAR(Table227[[#This Row],[In-
Service
Date]])</f>
        <v>2</v>
      </c>
      <c r="S393" s="308">
        <f>+Table227[[#This Row],[Proj To Date
Actuals]]*1.02^R393</f>
        <v>225846.04726800002</v>
      </c>
    </row>
    <row r="394" spans="1:19" x14ac:dyDescent="0.25">
      <c r="A394" s="476" t="s">
        <v>214</v>
      </c>
      <c r="B394" s="475" t="s">
        <v>214</v>
      </c>
      <c r="C394" s="422" t="e">
        <f>VLOOKUP(B394,'Matter &amp; CI#'!$D$4:$E$595,2,FALSE)</f>
        <v>#N/A</v>
      </c>
      <c r="D394" s="476" t="s">
        <v>215</v>
      </c>
      <c r="E394" s="476" t="s">
        <v>10</v>
      </c>
      <c r="F394" s="476" t="s">
        <v>9</v>
      </c>
      <c r="G394" s="475" t="s">
        <v>2013</v>
      </c>
      <c r="H394" s="516"/>
      <c r="I394" s="477" t="s">
        <v>5</v>
      </c>
      <c r="J394" s="476" t="s">
        <v>12</v>
      </c>
      <c r="K394" s="476" t="s">
        <v>28</v>
      </c>
      <c r="L394" s="184">
        <v>43251</v>
      </c>
      <c r="N394" s="481">
        <v>78044.61</v>
      </c>
      <c r="O394" s="478" t="str">
        <f>IFERROR(VLOOKUP(A394,[1]Approval!A:C,3,FALSE),"")</f>
        <v>FIN Approval - Internal</v>
      </c>
      <c r="P394" s="184">
        <f>IFERROR(VLOOKUP(A394,[1]Approval!A:J,10,FALSE),"")</f>
        <v>44105</v>
      </c>
      <c r="R394" s="425">
        <f>2020-YEAR(Table227[[#This Row],[In-
Service
Date]])</f>
        <v>2</v>
      </c>
      <c r="S394" s="308">
        <f>+Table227[[#This Row],[Proj To Date
Actuals]]*1.02^R394</f>
        <v>81197.612244000004</v>
      </c>
    </row>
    <row r="395" spans="1:19" x14ac:dyDescent="0.25">
      <c r="A395" s="476" t="s">
        <v>1376</v>
      </c>
      <c r="B395" s="475" t="s">
        <v>4450</v>
      </c>
      <c r="C395" s="422" t="e">
        <f>VLOOKUP(B395,'Matter &amp; CI#'!$D$4:$E$595,2,FALSE)</f>
        <v>#N/A</v>
      </c>
      <c r="D395" s="476" t="s">
        <v>1377</v>
      </c>
      <c r="E395" s="476" t="s">
        <v>10</v>
      </c>
      <c r="F395" s="476" t="s">
        <v>9</v>
      </c>
      <c r="G395" s="475" t="s">
        <v>2013</v>
      </c>
      <c r="H395" s="516"/>
      <c r="I395" s="477" t="s">
        <v>5</v>
      </c>
      <c r="J395" s="476" t="s">
        <v>6</v>
      </c>
      <c r="K395" s="476" t="s">
        <v>7</v>
      </c>
      <c r="L395" s="184">
        <v>43281</v>
      </c>
      <c r="M395" s="184">
        <v>43862</v>
      </c>
      <c r="N395" s="480">
        <v>97955.5</v>
      </c>
      <c r="O395" s="478" t="str">
        <f>IFERROR(VLOOKUP(A395,[1]Approval!A:C,3,FALSE),"")</f>
        <v>FIN Approval - Internal</v>
      </c>
      <c r="P395" s="184">
        <f>IFERROR(VLOOKUP(A395,[1]Approval!A:J,10,FALSE),"")</f>
        <v>43817</v>
      </c>
      <c r="R395" s="425">
        <f>2020-YEAR(Table227[[#This Row],[In-
Service
Date]])</f>
        <v>2</v>
      </c>
      <c r="S395" s="308">
        <f>+Table227[[#This Row],[Proj To Date
Actuals]]*1.02^R395</f>
        <v>101912.9022</v>
      </c>
    </row>
    <row r="396" spans="1:19" x14ac:dyDescent="0.25">
      <c r="A396" s="476" t="s">
        <v>907</v>
      </c>
      <c r="B396" s="475" t="s">
        <v>4659</v>
      </c>
      <c r="C396" s="422" t="e">
        <f>VLOOKUP(B396,'Matter &amp; CI#'!$D$4:$E$595,2,FALSE)</f>
        <v>#N/A</v>
      </c>
      <c r="D396" s="476" t="s">
        <v>908</v>
      </c>
      <c r="E396" s="476" t="s">
        <v>10</v>
      </c>
      <c r="F396" s="476" t="s">
        <v>9</v>
      </c>
      <c r="G396" s="475" t="s">
        <v>2013</v>
      </c>
      <c r="H396" s="516"/>
      <c r="I396" s="477" t="s">
        <v>5</v>
      </c>
      <c r="J396" s="476" t="s">
        <v>14</v>
      </c>
      <c r="K396" s="476" t="s">
        <v>28</v>
      </c>
      <c r="L396" s="184">
        <v>43281</v>
      </c>
      <c r="N396" s="480">
        <v>246198.37</v>
      </c>
      <c r="O396" s="478" t="str">
        <f>IFERROR(VLOOKUP(A396,[1]Approval!A:C,3,FALSE),"")</f>
        <v>FIN Approval - Internal</v>
      </c>
      <c r="P396" s="184">
        <f>IFERROR(VLOOKUP(A396,[1]Approval!A:J,10,FALSE),"")</f>
        <v>43892</v>
      </c>
      <c r="R396" s="425">
        <f>2020-YEAR(Table227[[#This Row],[In-
Service
Date]])</f>
        <v>2</v>
      </c>
      <c r="S396" s="308">
        <f>+Table227[[#This Row],[Proj To Date
Actuals]]*1.02^R396</f>
        <v>256144.78414800001</v>
      </c>
    </row>
    <row r="397" spans="1:19" x14ac:dyDescent="0.25">
      <c r="A397" s="476" t="s">
        <v>1708</v>
      </c>
      <c r="B397" s="475" t="s">
        <v>1708</v>
      </c>
      <c r="C397" s="422" t="e">
        <f>VLOOKUP(B397,'Matter &amp; CI#'!$D$4:$E$595,2,FALSE)</f>
        <v>#N/A</v>
      </c>
      <c r="D397" s="476" t="s">
        <v>1709</v>
      </c>
      <c r="E397" s="476" t="s">
        <v>10</v>
      </c>
      <c r="F397" s="476" t="s">
        <v>9</v>
      </c>
      <c r="G397" s="475" t="s">
        <v>2013</v>
      </c>
      <c r="H397" s="516"/>
      <c r="I397" s="477" t="s">
        <v>5</v>
      </c>
      <c r="J397" s="476" t="s">
        <v>43</v>
      </c>
      <c r="K397" s="476" t="s">
        <v>28</v>
      </c>
      <c r="L397" s="184">
        <v>43281</v>
      </c>
      <c r="N397" s="480">
        <v>167711.04999999999</v>
      </c>
      <c r="O397" s="478" t="str">
        <f>IFERROR(VLOOKUP(A397,[1]Approval!A:C,3,FALSE),"")</f>
        <v>FIN Approval - Internal</v>
      </c>
      <c r="P397" s="184">
        <f>IFERROR(VLOOKUP(A397,[1]Approval!A:J,10,FALSE),"")</f>
        <v>44105</v>
      </c>
      <c r="R397" s="425">
        <f>2020-YEAR(Table227[[#This Row],[In-
Service
Date]])</f>
        <v>2</v>
      </c>
      <c r="S397" s="308">
        <f>+Table227[[#This Row],[Proj To Date
Actuals]]*1.02^R397</f>
        <v>174486.57642</v>
      </c>
    </row>
    <row r="398" spans="1:19" x14ac:dyDescent="0.25">
      <c r="A398" s="476" t="s">
        <v>1380</v>
      </c>
      <c r="B398" s="475" t="s">
        <v>4540</v>
      </c>
      <c r="C398" s="422" t="e">
        <f>VLOOKUP(B398,'Matter &amp; CI#'!$D$4:$E$595,2,FALSE)</f>
        <v>#N/A</v>
      </c>
      <c r="D398" s="476" t="s">
        <v>1381</v>
      </c>
      <c r="E398" s="476" t="s">
        <v>10</v>
      </c>
      <c r="F398" s="476" t="s">
        <v>9</v>
      </c>
      <c r="G398" s="475" t="s">
        <v>2013</v>
      </c>
      <c r="H398" s="516"/>
      <c r="I398" s="477" t="s">
        <v>5</v>
      </c>
      <c r="J398" s="476" t="s">
        <v>14</v>
      </c>
      <c r="K398" s="476" t="s">
        <v>7</v>
      </c>
      <c r="L398" s="184">
        <v>43312</v>
      </c>
      <c r="M398" s="184">
        <v>43891</v>
      </c>
      <c r="N398" s="480">
        <v>128757.75</v>
      </c>
      <c r="O398" s="478" t="str">
        <f>IFERROR(VLOOKUP(A398,[1]Approval!A:C,3,FALSE),"")</f>
        <v>FIN Approval - Internal</v>
      </c>
      <c r="P398" s="184">
        <f>IFERROR(VLOOKUP(A398,[1]Approval!A:J,10,FALSE),"")</f>
        <v>43817</v>
      </c>
      <c r="R398" s="425">
        <f>2020-YEAR(Table227[[#This Row],[In-
Service
Date]])</f>
        <v>2</v>
      </c>
      <c r="S398" s="308">
        <f>+Table227[[#This Row],[Proj To Date
Actuals]]*1.02^R398</f>
        <v>133959.5631</v>
      </c>
    </row>
    <row r="399" spans="1:19" x14ac:dyDescent="0.25">
      <c r="A399" s="476" t="s">
        <v>933</v>
      </c>
      <c r="B399" s="475" t="s">
        <v>933</v>
      </c>
      <c r="C399" s="422" t="e">
        <f>VLOOKUP(B399,'Matter &amp; CI#'!$D$4:$E$595,2,FALSE)</f>
        <v>#N/A</v>
      </c>
      <c r="D399" s="476" t="s">
        <v>934</v>
      </c>
      <c r="E399" s="476" t="s">
        <v>10</v>
      </c>
      <c r="F399" s="476" t="s">
        <v>9</v>
      </c>
      <c r="G399" s="475" t="s">
        <v>2013</v>
      </c>
      <c r="H399" s="516"/>
      <c r="I399" s="477" t="s">
        <v>5</v>
      </c>
      <c r="J399" s="476" t="s">
        <v>12</v>
      </c>
      <c r="K399" s="476" t="s">
        <v>28</v>
      </c>
      <c r="L399" s="184">
        <v>43312</v>
      </c>
      <c r="N399" s="480">
        <v>150938.59</v>
      </c>
      <c r="O399" s="478" t="str">
        <f>IFERROR(VLOOKUP(A399,[1]Approval!A:C,3,FALSE),"")</f>
        <v>FIN Approval - Internal</v>
      </c>
      <c r="P399" s="184">
        <f>IFERROR(VLOOKUP(A399,[1]Approval!A:J,10,FALSE),"")</f>
        <v>44126</v>
      </c>
      <c r="R399" s="425">
        <f>2020-YEAR(Table227[[#This Row],[In-
Service
Date]])</f>
        <v>2</v>
      </c>
      <c r="S399" s="308">
        <f>+Table227[[#This Row],[Proj To Date
Actuals]]*1.02^R399</f>
        <v>157036.509036</v>
      </c>
    </row>
    <row r="400" spans="1:19" x14ac:dyDescent="0.25">
      <c r="A400" s="476" t="s">
        <v>1967</v>
      </c>
      <c r="B400" s="475" t="s">
        <v>1967</v>
      </c>
      <c r="C400" s="422" t="e">
        <f>VLOOKUP(B400,'Matter &amp; CI#'!$D$4:$E$595,2,FALSE)</f>
        <v>#N/A</v>
      </c>
      <c r="D400" s="476" t="s">
        <v>1968</v>
      </c>
      <c r="E400" s="476" t="s">
        <v>10</v>
      </c>
      <c r="F400" s="476" t="s">
        <v>9</v>
      </c>
      <c r="G400" s="475" t="s">
        <v>2013</v>
      </c>
      <c r="H400" s="516"/>
      <c r="I400" s="477" t="s">
        <v>5</v>
      </c>
      <c r="J400" s="476" t="s">
        <v>6</v>
      </c>
      <c r="K400" s="476" t="s">
        <v>28</v>
      </c>
      <c r="L400" s="184">
        <v>43312</v>
      </c>
      <c r="N400" s="481">
        <v>263144.90000000002</v>
      </c>
      <c r="O400" s="478" t="str">
        <f>IFERROR(VLOOKUP(A400,[1]Approval!A:C,3,FALSE),"")</f>
        <v>FIN Approval - Internal</v>
      </c>
      <c r="P400" s="184">
        <f>IFERROR(VLOOKUP(A400,[1]Approval!A:J,10,FALSE),"")</f>
        <v>44151</v>
      </c>
      <c r="R400" s="425">
        <f>2020-YEAR(Table227[[#This Row],[In-
Service
Date]])</f>
        <v>2</v>
      </c>
      <c r="S400" s="308">
        <f>+Table227[[#This Row],[Proj To Date
Actuals]]*1.02^R400</f>
        <v>273775.95396000001</v>
      </c>
    </row>
    <row r="401" spans="1:19" x14ac:dyDescent="0.25">
      <c r="A401" s="476" t="s">
        <v>1426</v>
      </c>
      <c r="B401" s="475" t="s">
        <v>1426</v>
      </c>
      <c r="C401" s="422" t="e">
        <f>VLOOKUP(B401,'Matter &amp; CI#'!$D$4:$E$595,2,FALSE)</f>
        <v>#N/A</v>
      </c>
      <c r="D401" s="476" t="s">
        <v>1427</v>
      </c>
      <c r="E401" s="476" t="s">
        <v>10</v>
      </c>
      <c r="F401" s="476" t="s">
        <v>9</v>
      </c>
      <c r="G401" s="475" t="s">
        <v>2013</v>
      </c>
      <c r="H401" s="516"/>
      <c r="I401" s="477" t="s">
        <v>5</v>
      </c>
      <c r="J401" s="476" t="s">
        <v>6</v>
      </c>
      <c r="K401" s="476" t="s">
        <v>7</v>
      </c>
      <c r="L401" s="184">
        <v>43312</v>
      </c>
      <c r="M401" s="184">
        <v>44136</v>
      </c>
      <c r="N401" s="480">
        <v>213179.35</v>
      </c>
      <c r="O401" s="478" t="str">
        <f>IFERROR(VLOOKUP(A401,[1]Approval!A:C,3,FALSE),"")</f>
        <v>FIN Approval - Internal</v>
      </c>
      <c r="P401" s="184">
        <f>IFERROR(VLOOKUP(A401,[1]Approval!A:J,10,FALSE),"")</f>
        <v>44055</v>
      </c>
      <c r="R401" s="425">
        <f>2020-YEAR(Table227[[#This Row],[In-
Service
Date]])</f>
        <v>2</v>
      </c>
      <c r="S401" s="308">
        <f>+Table227[[#This Row],[Proj To Date
Actuals]]*1.02^R401</f>
        <v>221791.79574</v>
      </c>
    </row>
    <row r="402" spans="1:19" x14ac:dyDescent="0.25">
      <c r="A402" s="476" t="s">
        <v>1424</v>
      </c>
      <c r="B402" s="475" t="s">
        <v>1424</v>
      </c>
      <c r="C402" s="422" t="e">
        <f>VLOOKUP(B402,'Matter &amp; CI#'!$D$4:$E$595,2,FALSE)</f>
        <v>#N/A</v>
      </c>
      <c r="D402" s="476" t="s">
        <v>1425</v>
      </c>
      <c r="E402" s="476" t="s">
        <v>10</v>
      </c>
      <c r="F402" s="476" t="s">
        <v>9</v>
      </c>
      <c r="G402" s="475" t="s">
        <v>2013</v>
      </c>
      <c r="H402" s="516"/>
      <c r="I402" s="477" t="s">
        <v>5</v>
      </c>
      <c r="J402" s="476" t="s">
        <v>43</v>
      </c>
      <c r="K402" s="476" t="s">
        <v>28</v>
      </c>
      <c r="L402" s="184">
        <v>43312</v>
      </c>
      <c r="N402" s="481">
        <v>264937.87</v>
      </c>
      <c r="O402" s="478" t="str">
        <f>IFERROR(VLOOKUP(A402,[1]Approval!A:C,3,FALSE),"")</f>
        <v>FIN Approval - Internal</v>
      </c>
      <c r="P402" s="184">
        <f>IFERROR(VLOOKUP(A402,[1]Approval!A:J,10,FALSE),"")</f>
        <v>44151</v>
      </c>
      <c r="R402" s="425">
        <f>2020-YEAR(Table227[[#This Row],[In-
Service
Date]])</f>
        <v>2</v>
      </c>
      <c r="S402" s="308">
        <f>+Table227[[#This Row],[Proj To Date
Actuals]]*1.02^R402</f>
        <v>275641.359948</v>
      </c>
    </row>
    <row r="403" spans="1:19" x14ac:dyDescent="0.25">
      <c r="A403" s="476" t="s">
        <v>1702</v>
      </c>
      <c r="B403" s="475" t="s">
        <v>1702</v>
      </c>
      <c r="C403" s="422" t="e">
        <f>VLOOKUP(B403,'Matter &amp; CI#'!$D$4:$E$595,2,FALSE)</f>
        <v>#N/A</v>
      </c>
      <c r="D403" s="476" t="s">
        <v>1703</v>
      </c>
      <c r="E403" s="476" t="s">
        <v>10</v>
      </c>
      <c r="F403" s="476" t="s">
        <v>9</v>
      </c>
      <c r="G403" s="475" t="s">
        <v>2013</v>
      </c>
      <c r="H403" s="516"/>
      <c r="I403" s="477" t="s">
        <v>5</v>
      </c>
      <c r="J403" s="476" t="s">
        <v>14</v>
      </c>
      <c r="K403" s="476" t="s">
        <v>28</v>
      </c>
      <c r="L403" s="184">
        <v>43312</v>
      </c>
      <c r="N403" s="481">
        <v>86159.46</v>
      </c>
      <c r="O403" s="478" t="str">
        <f>IFERROR(VLOOKUP(A403,[1]Approval!A:C,3,FALSE),"")</f>
        <v/>
      </c>
      <c r="P403" s="184" t="str">
        <f>IFERROR(VLOOKUP(A403,[1]Approval!A:J,10,FALSE),"")</f>
        <v/>
      </c>
      <c r="R403" s="425">
        <f>2020-YEAR(Table227[[#This Row],[In-
Service
Date]])</f>
        <v>2</v>
      </c>
      <c r="S403" s="308">
        <f>+Table227[[#This Row],[Proj To Date
Actuals]]*1.02^R403</f>
        <v>89640.302184</v>
      </c>
    </row>
    <row r="404" spans="1:19" x14ac:dyDescent="0.25">
      <c r="A404" s="476" t="s">
        <v>1710</v>
      </c>
      <c r="B404" s="475" t="s">
        <v>1710</v>
      </c>
      <c r="C404" s="422" t="e">
        <f>VLOOKUP(B404,'Matter &amp; CI#'!$D$4:$E$595,2,FALSE)</f>
        <v>#N/A</v>
      </c>
      <c r="D404" s="476" t="s">
        <v>1711</v>
      </c>
      <c r="E404" s="476" t="s">
        <v>10</v>
      </c>
      <c r="F404" s="476" t="s">
        <v>9</v>
      </c>
      <c r="G404" s="475" t="s">
        <v>2013</v>
      </c>
      <c r="H404" s="516"/>
      <c r="I404" s="477" t="s">
        <v>5</v>
      </c>
      <c r="J404" s="476" t="s">
        <v>12</v>
      </c>
      <c r="K404" s="476" t="s">
        <v>7</v>
      </c>
      <c r="L404" s="184">
        <v>43312</v>
      </c>
      <c r="M404" s="184">
        <v>44136</v>
      </c>
      <c r="N404" s="480">
        <v>72664.78</v>
      </c>
      <c r="O404" s="478" t="str">
        <f>IFERROR(VLOOKUP(A404,[1]Approval!A:C,3,FALSE),"")</f>
        <v>FIN Approval - Internal</v>
      </c>
      <c r="P404" s="184">
        <f>IFERROR(VLOOKUP(A404,[1]Approval!A:J,10,FALSE),"")</f>
        <v>44055</v>
      </c>
      <c r="R404" s="425">
        <f>2020-YEAR(Table227[[#This Row],[In-
Service
Date]])</f>
        <v>2</v>
      </c>
      <c r="S404" s="308">
        <f>+Table227[[#This Row],[Proj To Date
Actuals]]*1.02^R404</f>
        <v>75600.437112</v>
      </c>
    </row>
    <row r="405" spans="1:19" x14ac:dyDescent="0.25">
      <c r="A405" s="476" t="s">
        <v>1428</v>
      </c>
      <c r="B405" s="475" t="s">
        <v>1428</v>
      </c>
      <c r="C405" s="422" t="e">
        <f>VLOOKUP(B405,'Matter &amp; CI#'!$D$4:$E$595,2,FALSE)</f>
        <v>#N/A</v>
      </c>
      <c r="D405" s="476" t="s">
        <v>1429</v>
      </c>
      <c r="E405" s="476" t="s">
        <v>10</v>
      </c>
      <c r="F405" s="476" t="s">
        <v>9</v>
      </c>
      <c r="G405" s="475" t="s">
        <v>2013</v>
      </c>
      <c r="H405" s="516"/>
      <c r="I405" s="477" t="s">
        <v>5</v>
      </c>
      <c r="J405" s="476" t="s">
        <v>131</v>
      </c>
      <c r="K405" s="476" t="s">
        <v>7</v>
      </c>
      <c r="L405" s="184">
        <v>43312</v>
      </c>
      <c r="M405" s="184">
        <v>43952</v>
      </c>
      <c r="N405" s="480">
        <v>170424.55</v>
      </c>
      <c r="O405" s="478" t="str">
        <f>IFERROR(VLOOKUP(A405,[1]Approval!A:C,3,FALSE),"")</f>
        <v>FIN Approval - Internal</v>
      </c>
      <c r="P405" s="184">
        <f>IFERROR(VLOOKUP(A405,[1]Approval!A:J,10,FALSE),"")</f>
        <v>43867</v>
      </c>
      <c r="R405" s="425">
        <f>2020-YEAR(Table227[[#This Row],[In-
Service
Date]])</f>
        <v>2</v>
      </c>
      <c r="S405" s="308">
        <f>+Table227[[#This Row],[Proj To Date
Actuals]]*1.02^R405</f>
        <v>177309.70181999999</v>
      </c>
    </row>
    <row r="406" spans="1:19" x14ac:dyDescent="0.25">
      <c r="A406" s="476" t="s">
        <v>1178</v>
      </c>
      <c r="B406" s="475" t="s">
        <v>1178</v>
      </c>
      <c r="C406" s="422" t="e">
        <f>VLOOKUP(B406,'Matter &amp; CI#'!$D$4:$E$595,2,FALSE)</f>
        <v>#N/A</v>
      </c>
      <c r="D406" s="476" t="s">
        <v>1179</v>
      </c>
      <c r="E406" s="476" t="s">
        <v>10</v>
      </c>
      <c r="F406" s="476" t="s">
        <v>9</v>
      </c>
      <c r="G406" s="475" t="s">
        <v>2013</v>
      </c>
      <c r="H406" s="516"/>
      <c r="I406" s="477" t="s">
        <v>5</v>
      </c>
      <c r="J406" s="476" t="s">
        <v>43</v>
      </c>
      <c r="K406" s="476" t="s">
        <v>28</v>
      </c>
      <c r="L406" s="184">
        <v>43312</v>
      </c>
      <c r="N406" s="480">
        <v>78085.33</v>
      </c>
      <c r="O406" s="478" t="str">
        <f>IFERROR(VLOOKUP(A406,[1]Approval!A:C,3,FALSE),"")</f>
        <v>FIN Approval - Internal</v>
      </c>
      <c r="P406" s="184">
        <f>IFERROR(VLOOKUP(A406,[1]Approval!A:J,10,FALSE),"")</f>
        <v>44126</v>
      </c>
      <c r="R406" s="425">
        <f>2020-YEAR(Table227[[#This Row],[In-
Service
Date]])</f>
        <v>2</v>
      </c>
      <c r="S406" s="308">
        <f>+Table227[[#This Row],[Proj To Date
Actuals]]*1.02^R406</f>
        <v>81239.977331999995</v>
      </c>
    </row>
    <row r="407" spans="1:19" x14ac:dyDescent="0.25">
      <c r="A407" s="476" t="s">
        <v>1174</v>
      </c>
      <c r="B407" s="475" t="s">
        <v>1174</v>
      </c>
      <c r="C407" s="422" t="e">
        <f>VLOOKUP(B407,'Matter &amp; CI#'!$D$4:$E$595,2,FALSE)</f>
        <v>#N/A</v>
      </c>
      <c r="D407" s="476" t="s">
        <v>1175</v>
      </c>
      <c r="E407" s="476" t="s">
        <v>10</v>
      </c>
      <c r="F407" s="476" t="s">
        <v>9</v>
      </c>
      <c r="G407" s="475" t="s">
        <v>2013</v>
      </c>
      <c r="H407" s="516"/>
      <c r="I407" s="477" t="s">
        <v>5</v>
      </c>
      <c r="J407" s="476" t="s">
        <v>6</v>
      </c>
      <c r="K407" s="476" t="s">
        <v>7</v>
      </c>
      <c r="L407" s="184">
        <v>43343</v>
      </c>
      <c r="M407" s="184">
        <v>44136</v>
      </c>
      <c r="N407" s="480">
        <v>388997.98</v>
      </c>
      <c r="O407" s="478" t="str">
        <f>IFERROR(VLOOKUP(A407,[1]Approval!A:C,3,FALSE),"")</f>
        <v>FIN Approval - Internal</v>
      </c>
      <c r="P407" s="184">
        <f>IFERROR(VLOOKUP(A407,[1]Approval!A:J,10,FALSE),"")</f>
        <v>43999</v>
      </c>
      <c r="R407" s="425">
        <f>2020-YEAR(Table227[[#This Row],[In-
Service
Date]])</f>
        <v>2</v>
      </c>
      <c r="S407" s="308">
        <f>+Table227[[#This Row],[Proj To Date
Actuals]]*1.02^R407</f>
        <v>404713.49839199998</v>
      </c>
    </row>
    <row r="408" spans="1:19" x14ac:dyDescent="0.25">
      <c r="A408" s="476" t="s">
        <v>662</v>
      </c>
      <c r="B408" s="475" t="s">
        <v>4650</v>
      </c>
      <c r="C408" s="422" t="e">
        <f>VLOOKUP(B408,'Matter &amp; CI#'!$D$4:$E$595,2,FALSE)</f>
        <v>#N/A</v>
      </c>
      <c r="D408" s="476" t="s">
        <v>663</v>
      </c>
      <c r="E408" s="476" t="s">
        <v>10</v>
      </c>
      <c r="F408" s="476" t="s">
        <v>9</v>
      </c>
      <c r="G408" s="475" t="s">
        <v>2013</v>
      </c>
      <c r="H408" s="516"/>
      <c r="I408" s="477" t="s">
        <v>5</v>
      </c>
      <c r="J408" s="476" t="s">
        <v>12</v>
      </c>
      <c r="K408" s="476" t="s">
        <v>28</v>
      </c>
      <c r="L408" s="184">
        <v>43343</v>
      </c>
      <c r="N408" s="480">
        <v>247095.27</v>
      </c>
      <c r="O408" s="478" t="str">
        <f>IFERROR(VLOOKUP(A408,[1]Approval!A:C,3,FALSE),"")</f>
        <v/>
      </c>
      <c r="P408" s="184" t="str">
        <f>IFERROR(VLOOKUP(A408,[1]Approval!A:J,10,FALSE),"")</f>
        <v/>
      </c>
      <c r="R408" s="425">
        <f>2020-YEAR(Table227[[#This Row],[In-
Service
Date]])</f>
        <v>2</v>
      </c>
      <c r="S408" s="308">
        <f>+Table227[[#This Row],[Proj To Date
Actuals]]*1.02^R408</f>
        <v>257077.91890799999</v>
      </c>
    </row>
    <row r="409" spans="1:19" x14ac:dyDescent="0.25">
      <c r="A409" s="476" t="s">
        <v>1158</v>
      </c>
      <c r="B409" s="475" t="s">
        <v>4664</v>
      </c>
      <c r="C409" s="422" t="e">
        <f>VLOOKUP(B409,'Matter &amp; CI#'!$D$4:$E$595,2,FALSE)</f>
        <v>#N/A</v>
      </c>
      <c r="D409" s="476" t="s">
        <v>1159</v>
      </c>
      <c r="E409" s="476" t="s">
        <v>10</v>
      </c>
      <c r="F409" s="476" t="s">
        <v>9</v>
      </c>
      <c r="G409" s="475" t="s">
        <v>2013</v>
      </c>
      <c r="H409" s="516"/>
      <c r="I409" s="477" t="s">
        <v>5</v>
      </c>
      <c r="J409" s="476" t="s">
        <v>14</v>
      </c>
      <c r="K409" s="476" t="s">
        <v>28</v>
      </c>
      <c r="L409" s="184">
        <v>43343</v>
      </c>
      <c r="N409" s="480">
        <v>47890.71</v>
      </c>
      <c r="O409" s="478" t="str">
        <f>IFERROR(VLOOKUP(A409,[1]Approval!A:C,3,FALSE),"")</f>
        <v/>
      </c>
      <c r="P409" s="184" t="str">
        <f>IFERROR(VLOOKUP(A409,[1]Approval!A:J,10,FALSE),"")</f>
        <v/>
      </c>
      <c r="R409" s="425">
        <f>2020-YEAR(Table227[[#This Row],[In-
Service
Date]])</f>
        <v>2</v>
      </c>
      <c r="S409" s="308">
        <f>+Table227[[#This Row],[Proj To Date
Actuals]]*1.02^R409</f>
        <v>49825.494683999998</v>
      </c>
    </row>
    <row r="410" spans="1:19" x14ac:dyDescent="0.25">
      <c r="A410" s="476" t="s">
        <v>1154</v>
      </c>
      <c r="B410" s="475" t="s">
        <v>4666</v>
      </c>
      <c r="C410" s="422" t="e">
        <f>VLOOKUP(B410,'Matter &amp; CI#'!$D$4:$E$595,2,FALSE)</f>
        <v>#N/A</v>
      </c>
      <c r="D410" s="476" t="s">
        <v>1155</v>
      </c>
      <c r="E410" s="476" t="s">
        <v>10</v>
      </c>
      <c r="F410" s="476" t="s">
        <v>9</v>
      </c>
      <c r="G410" s="475" t="s">
        <v>2013</v>
      </c>
      <c r="H410" s="516"/>
      <c r="I410" s="477" t="s">
        <v>5</v>
      </c>
      <c r="J410" s="476" t="s">
        <v>14</v>
      </c>
      <c r="K410" s="476" t="s">
        <v>7</v>
      </c>
      <c r="L410" s="184">
        <v>43343</v>
      </c>
      <c r="M410" s="184">
        <v>43891</v>
      </c>
      <c r="N410" s="480">
        <v>285357.21000000002</v>
      </c>
      <c r="O410" s="478" t="str">
        <f>IFERROR(VLOOKUP(A410,[1]Approval!A:C,3,FALSE),"")</f>
        <v>FIN Approval - Internal</v>
      </c>
      <c r="P410" s="184">
        <f>IFERROR(VLOOKUP(A410,[1]Approval!A:J,10,FALSE),"")</f>
        <v>43817</v>
      </c>
      <c r="R410" s="425">
        <f>2020-YEAR(Table227[[#This Row],[In-
Service
Date]])</f>
        <v>2</v>
      </c>
      <c r="S410" s="308">
        <f>+Table227[[#This Row],[Proj To Date
Actuals]]*1.02^R410</f>
        <v>296885.64128400001</v>
      </c>
    </row>
    <row r="411" spans="1:19" x14ac:dyDescent="0.25">
      <c r="A411" s="476" t="s">
        <v>1420</v>
      </c>
      <c r="B411" s="475" t="s">
        <v>1420</v>
      </c>
      <c r="C411" s="422" t="e">
        <f>VLOOKUP(B411,'Matter &amp; CI#'!$D$4:$E$595,2,FALSE)</f>
        <v>#N/A</v>
      </c>
      <c r="D411" s="476" t="s">
        <v>1421</v>
      </c>
      <c r="E411" s="476" t="s">
        <v>10</v>
      </c>
      <c r="F411" s="476" t="s">
        <v>9</v>
      </c>
      <c r="G411" s="475" t="s">
        <v>2013</v>
      </c>
      <c r="H411" s="516"/>
      <c r="I411" s="477" t="s">
        <v>5</v>
      </c>
      <c r="J411" s="476" t="s">
        <v>6</v>
      </c>
      <c r="K411" s="476" t="s">
        <v>7</v>
      </c>
      <c r="L411" s="184">
        <v>43343</v>
      </c>
      <c r="M411" s="184">
        <v>43891</v>
      </c>
      <c r="N411" s="480">
        <v>540983.74</v>
      </c>
      <c r="O411" s="478" t="str">
        <f>IFERROR(VLOOKUP(A411,[1]Approval!A:C,3,FALSE),"")</f>
        <v>FIN Approval - Internal</v>
      </c>
      <c r="P411" s="184">
        <f>IFERROR(VLOOKUP(A411,[1]Approval!A:J,10,FALSE),"")</f>
        <v>43817</v>
      </c>
      <c r="R411" s="425">
        <f>2020-YEAR(Table227[[#This Row],[In-
Service
Date]])</f>
        <v>2</v>
      </c>
      <c r="S411" s="308">
        <f>+Table227[[#This Row],[Proj To Date
Actuals]]*1.02^R411</f>
        <v>562839.48309600004</v>
      </c>
    </row>
    <row r="412" spans="1:19" x14ac:dyDescent="0.25">
      <c r="A412" s="476" t="s">
        <v>935</v>
      </c>
      <c r="B412" s="475" t="s">
        <v>935</v>
      </c>
      <c r="C412" s="422" t="e">
        <f>VLOOKUP(B412,'Matter &amp; CI#'!$D$4:$E$595,2,FALSE)</f>
        <v>#N/A</v>
      </c>
      <c r="D412" s="476" t="s">
        <v>936</v>
      </c>
      <c r="E412" s="476" t="s">
        <v>10</v>
      </c>
      <c r="F412" s="476" t="s">
        <v>9</v>
      </c>
      <c r="G412" s="475" t="s">
        <v>2013</v>
      </c>
      <c r="H412" s="516"/>
      <c r="I412" s="477" t="s">
        <v>5</v>
      </c>
      <c r="J412" s="476" t="s">
        <v>12</v>
      </c>
      <c r="K412" s="476" t="s">
        <v>28</v>
      </c>
      <c r="L412" s="184">
        <v>43343</v>
      </c>
      <c r="N412" s="480">
        <v>55701.68</v>
      </c>
      <c r="O412" s="478" t="str">
        <f>IFERROR(VLOOKUP(A412,[1]Approval!A:C,3,FALSE),"")</f>
        <v>FIN Approval - Internal</v>
      </c>
      <c r="P412" s="184">
        <f>IFERROR(VLOOKUP(A412,[1]Approval!A:J,10,FALSE),"")</f>
        <v>43867</v>
      </c>
      <c r="R412" s="425">
        <f>2020-YEAR(Table227[[#This Row],[In-
Service
Date]])</f>
        <v>2</v>
      </c>
      <c r="S412" s="308">
        <f>+Table227[[#This Row],[Proj To Date
Actuals]]*1.02^R412</f>
        <v>57952.027871999999</v>
      </c>
    </row>
    <row r="413" spans="1:19" x14ac:dyDescent="0.25">
      <c r="A413" s="476" t="s">
        <v>966</v>
      </c>
      <c r="B413" s="475" t="s">
        <v>3894</v>
      </c>
      <c r="C413" s="422" t="e">
        <f>VLOOKUP(B413,'Matter &amp; CI#'!$D$4:$E$595,2,FALSE)</f>
        <v>#N/A</v>
      </c>
      <c r="D413" s="476" t="s">
        <v>967</v>
      </c>
      <c r="E413" s="476" t="s">
        <v>10</v>
      </c>
      <c r="F413" s="476" t="s">
        <v>9</v>
      </c>
      <c r="G413" s="475" t="s">
        <v>2013</v>
      </c>
      <c r="H413" s="516"/>
      <c r="I413" s="477" t="s">
        <v>11</v>
      </c>
      <c r="J413" s="476" t="s">
        <v>13</v>
      </c>
      <c r="K413" s="476" t="s">
        <v>28</v>
      </c>
      <c r="L413" s="184">
        <v>43344</v>
      </c>
      <c r="N413" s="480">
        <v>12664.71</v>
      </c>
      <c r="O413" s="478" t="str">
        <f>IFERROR(VLOOKUP(A413,[1]Approval!A:C,3,FALSE),"")</f>
        <v/>
      </c>
      <c r="P413" s="184" t="str">
        <f>IFERROR(VLOOKUP(A413,[1]Approval!A:J,10,FALSE),"")</f>
        <v/>
      </c>
      <c r="R413" s="425">
        <f>2020-YEAR(Table227[[#This Row],[In-
Service
Date]])</f>
        <v>2</v>
      </c>
      <c r="S413" s="308">
        <f>+Table227[[#This Row],[Proj To Date
Actuals]]*1.02^R413</f>
        <v>13176.364283999999</v>
      </c>
    </row>
    <row r="414" spans="1:19" x14ac:dyDescent="0.25">
      <c r="A414" s="476" t="s">
        <v>1903</v>
      </c>
      <c r="B414" s="475" t="s">
        <v>4499</v>
      </c>
      <c r="C414" s="422" t="e">
        <f>VLOOKUP(B414,'Matter &amp; CI#'!$D$4:$E$595,2,FALSE)</f>
        <v>#N/A</v>
      </c>
      <c r="D414" s="476" t="s">
        <v>1904</v>
      </c>
      <c r="E414" s="476" t="s">
        <v>10</v>
      </c>
      <c r="F414" s="476" t="s">
        <v>9</v>
      </c>
      <c r="G414" s="475" t="s">
        <v>2013</v>
      </c>
      <c r="H414" s="516"/>
      <c r="I414" s="477" t="s">
        <v>5</v>
      </c>
      <c r="J414" s="476" t="s">
        <v>14</v>
      </c>
      <c r="K414" s="476" t="s">
        <v>28</v>
      </c>
      <c r="L414" s="184">
        <v>43344</v>
      </c>
      <c r="N414" s="480">
        <v>166894.26</v>
      </c>
      <c r="O414" s="478" t="str">
        <f>IFERROR(VLOOKUP(A414,[1]Approval!A:C,3,FALSE),"")</f>
        <v/>
      </c>
      <c r="P414" s="184" t="str">
        <f>IFERROR(VLOOKUP(A414,[1]Approval!A:J,10,FALSE),"")</f>
        <v/>
      </c>
      <c r="R414" s="425">
        <f>2020-YEAR(Table227[[#This Row],[In-
Service
Date]])</f>
        <v>2</v>
      </c>
      <c r="S414" s="308">
        <f>+Table227[[#This Row],[Proj To Date
Actuals]]*1.02^R414</f>
        <v>173636.78810400001</v>
      </c>
    </row>
    <row r="415" spans="1:19" x14ac:dyDescent="0.25">
      <c r="A415" s="476" t="s">
        <v>1362</v>
      </c>
      <c r="B415" s="475" t="s">
        <v>4500</v>
      </c>
      <c r="C415" s="422" t="e">
        <f>VLOOKUP(B415,'Matter &amp; CI#'!$D$4:$E$595,2,FALSE)</f>
        <v>#N/A</v>
      </c>
      <c r="D415" s="476" t="s">
        <v>1363</v>
      </c>
      <c r="E415" s="476" t="s">
        <v>10</v>
      </c>
      <c r="F415" s="476" t="s">
        <v>9</v>
      </c>
      <c r="G415" s="475" t="s">
        <v>2013</v>
      </c>
      <c r="H415" s="516"/>
      <c r="I415" s="477" t="s">
        <v>5</v>
      </c>
      <c r="J415" s="476" t="s">
        <v>12</v>
      </c>
      <c r="K415" s="476" t="s">
        <v>7</v>
      </c>
      <c r="L415" s="184">
        <v>43344</v>
      </c>
      <c r="M415" s="184">
        <v>44044</v>
      </c>
      <c r="N415" s="480">
        <v>188715.73</v>
      </c>
      <c r="O415" s="478" t="str">
        <f>IFERROR(VLOOKUP(A415,[1]Approval!A:C,3,FALSE),"")</f>
        <v>FIN Approval - Internal</v>
      </c>
      <c r="P415" s="184">
        <f>IFERROR(VLOOKUP(A415,[1]Approval!A:J,10,FALSE),"")</f>
        <v>43915</v>
      </c>
      <c r="R415" s="425">
        <f>2020-YEAR(Table227[[#This Row],[In-
Service
Date]])</f>
        <v>2</v>
      </c>
      <c r="S415" s="308">
        <f>+Table227[[#This Row],[Proj To Date
Actuals]]*1.02^R415</f>
        <v>196339.84549200002</v>
      </c>
    </row>
    <row r="416" spans="1:19" x14ac:dyDescent="0.25">
      <c r="A416" s="476" t="s">
        <v>457</v>
      </c>
      <c r="B416" s="475" t="s">
        <v>4502</v>
      </c>
      <c r="C416" s="422" t="e">
        <f>VLOOKUP(B416,'Matter &amp; CI#'!$D$4:$E$595,2,FALSE)</f>
        <v>#N/A</v>
      </c>
      <c r="D416" s="476" t="s">
        <v>458</v>
      </c>
      <c r="E416" s="476" t="s">
        <v>10</v>
      </c>
      <c r="F416" s="476" t="s">
        <v>9</v>
      </c>
      <c r="G416" s="475" t="s">
        <v>2013</v>
      </c>
      <c r="H416" s="516"/>
      <c r="I416" s="477" t="s">
        <v>5</v>
      </c>
      <c r="J416" s="476" t="s">
        <v>14</v>
      </c>
      <c r="K416" s="476" t="s">
        <v>28</v>
      </c>
      <c r="L416" s="184">
        <v>43344</v>
      </c>
      <c r="N416" s="480">
        <v>55047.32</v>
      </c>
      <c r="O416" s="478" t="str">
        <f>IFERROR(VLOOKUP(A416,[1]Approval!A:C,3,FALSE),"")</f>
        <v>FIN Approval - Internal</v>
      </c>
      <c r="P416" s="184">
        <f>IFERROR(VLOOKUP(A416,[1]Approval!A:J,10,FALSE),"")</f>
        <v>44161</v>
      </c>
      <c r="R416" s="425">
        <f>2020-YEAR(Table227[[#This Row],[In-
Service
Date]])</f>
        <v>2</v>
      </c>
      <c r="S416" s="308">
        <f>+Table227[[#This Row],[Proj To Date
Actuals]]*1.02^R416</f>
        <v>57271.231727999999</v>
      </c>
    </row>
    <row r="417" spans="1:19" x14ac:dyDescent="0.25">
      <c r="A417" s="476" t="s">
        <v>170</v>
      </c>
      <c r="B417" s="475" t="s">
        <v>4529</v>
      </c>
      <c r="C417" s="422" t="e">
        <f>VLOOKUP(B417,'Matter &amp; CI#'!$D$4:$E$595,2,FALSE)</f>
        <v>#N/A</v>
      </c>
      <c r="D417" s="476" t="s">
        <v>171</v>
      </c>
      <c r="E417" s="476" t="s">
        <v>10</v>
      </c>
      <c r="F417" s="476" t="s">
        <v>9</v>
      </c>
      <c r="G417" s="475" t="s">
        <v>2013</v>
      </c>
      <c r="H417" s="516"/>
      <c r="I417" s="477" t="s">
        <v>5</v>
      </c>
      <c r="J417" s="476" t="s">
        <v>131</v>
      </c>
      <c r="K417" s="476" t="s">
        <v>28</v>
      </c>
      <c r="L417" s="184">
        <v>43344</v>
      </c>
      <c r="N417" s="480">
        <v>93436.9</v>
      </c>
      <c r="O417" s="478" t="str">
        <f>IFERROR(VLOOKUP(A417,[1]Approval!A:C,3,FALSE),"")</f>
        <v/>
      </c>
      <c r="P417" s="184" t="str">
        <f>IFERROR(VLOOKUP(A417,[1]Approval!A:J,10,FALSE),"")</f>
        <v/>
      </c>
      <c r="R417" s="425">
        <f>2020-YEAR(Table227[[#This Row],[In-
Service
Date]])</f>
        <v>2</v>
      </c>
      <c r="S417" s="308">
        <f>+Table227[[#This Row],[Proj To Date
Actuals]]*1.02^R417</f>
        <v>97211.750759999995</v>
      </c>
    </row>
    <row r="418" spans="1:19" x14ac:dyDescent="0.25">
      <c r="A418" s="476" t="s">
        <v>431</v>
      </c>
      <c r="B418" s="475" t="s">
        <v>4612</v>
      </c>
      <c r="C418" s="422" t="e">
        <f>VLOOKUP(B418,'Matter &amp; CI#'!$D$4:$E$595,2,FALSE)</f>
        <v>#N/A</v>
      </c>
      <c r="D418" s="476" t="s">
        <v>432</v>
      </c>
      <c r="E418" s="476" t="s">
        <v>10</v>
      </c>
      <c r="F418" s="476" t="s">
        <v>9</v>
      </c>
      <c r="G418" s="475" t="s">
        <v>2013</v>
      </c>
      <c r="H418" s="516"/>
      <c r="I418" s="477" t="s">
        <v>5</v>
      </c>
      <c r="J418" s="476" t="s">
        <v>14</v>
      </c>
      <c r="K418" s="476" t="s">
        <v>28</v>
      </c>
      <c r="L418" s="184">
        <v>43344</v>
      </c>
      <c r="N418" s="480">
        <v>187567.32</v>
      </c>
      <c r="O418" s="478" t="str">
        <f>IFERROR(VLOOKUP(A418,[1]Approval!A:C,3,FALSE),"")</f>
        <v/>
      </c>
      <c r="P418" s="184" t="str">
        <f>IFERROR(VLOOKUP(A418,[1]Approval!A:J,10,FALSE),"")</f>
        <v/>
      </c>
      <c r="R418" s="425">
        <f>2020-YEAR(Table227[[#This Row],[In-
Service
Date]])</f>
        <v>2</v>
      </c>
      <c r="S418" s="308">
        <f>+Table227[[#This Row],[Proj To Date
Actuals]]*1.02^R418</f>
        <v>195145.039728</v>
      </c>
    </row>
    <row r="419" spans="1:19" x14ac:dyDescent="0.25">
      <c r="A419" s="476" t="s">
        <v>183</v>
      </c>
      <c r="B419" s="475" t="s">
        <v>4616</v>
      </c>
      <c r="C419" s="422" t="e">
        <f>VLOOKUP(B419,'Matter &amp; CI#'!$D$4:$E$595,2,FALSE)</f>
        <v>#N/A</v>
      </c>
      <c r="D419" s="476" t="s">
        <v>184</v>
      </c>
      <c r="E419" s="476" t="s">
        <v>10</v>
      </c>
      <c r="F419" s="476" t="s">
        <v>9</v>
      </c>
      <c r="G419" s="475" t="s">
        <v>2013</v>
      </c>
      <c r="H419" s="516"/>
      <c r="I419" s="477" t="s">
        <v>5</v>
      </c>
      <c r="J419" s="476" t="s">
        <v>12</v>
      </c>
      <c r="K419" s="476" t="s">
        <v>7</v>
      </c>
      <c r="L419" s="184">
        <v>43344</v>
      </c>
      <c r="M419" s="184">
        <v>43738</v>
      </c>
      <c r="N419" s="480">
        <v>112805.01</v>
      </c>
      <c r="O419" s="478" t="str">
        <f>IFERROR(VLOOKUP(A419,[1]Approval!A:C,3,FALSE),"")</f>
        <v>FIN Approval - Internal</v>
      </c>
      <c r="P419" s="184">
        <f>IFERROR(VLOOKUP(A419,[1]Approval!A:J,10,FALSE),"")</f>
        <v>43677</v>
      </c>
      <c r="R419" s="425">
        <f>2020-YEAR(Table227[[#This Row],[In-
Service
Date]])</f>
        <v>2</v>
      </c>
      <c r="S419" s="308">
        <f>+Table227[[#This Row],[Proj To Date
Actuals]]*1.02^R419</f>
        <v>117362.332404</v>
      </c>
    </row>
    <row r="420" spans="1:19" x14ac:dyDescent="0.25">
      <c r="A420" s="476" t="s">
        <v>191</v>
      </c>
      <c r="B420" s="475" t="s">
        <v>4637</v>
      </c>
      <c r="C420" s="422" t="e">
        <f>VLOOKUP(B420,'Matter &amp; CI#'!$D$4:$E$595,2,FALSE)</f>
        <v>#N/A</v>
      </c>
      <c r="D420" s="476" t="s">
        <v>192</v>
      </c>
      <c r="E420" s="476" t="s">
        <v>10</v>
      </c>
      <c r="F420" s="476" t="s">
        <v>9</v>
      </c>
      <c r="G420" s="475" t="s">
        <v>2013</v>
      </c>
      <c r="H420" s="516"/>
      <c r="I420" s="477" t="s">
        <v>5</v>
      </c>
      <c r="J420" s="476" t="s">
        <v>14</v>
      </c>
      <c r="K420" s="476" t="s">
        <v>28</v>
      </c>
      <c r="L420" s="184">
        <v>43344</v>
      </c>
      <c r="N420" s="480">
        <v>153740.09</v>
      </c>
      <c r="O420" s="478" t="str">
        <f>IFERROR(VLOOKUP(A420,[1]Approval!A:C,3,FALSE),"")</f>
        <v/>
      </c>
      <c r="P420" s="184" t="str">
        <f>IFERROR(VLOOKUP(A420,[1]Approval!A:J,10,FALSE),"")</f>
        <v/>
      </c>
      <c r="R420" s="425">
        <f>2020-YEAR(Table227[[#This Row],[In-
Service
Date]])</f>
        <v>2</v>
      </c>
      <c r="S420" s="308">
        <f>+Table227[[#This Row],[Proj To Date
Actuals]]*1.02^R420</f>
        <v>159951.189636</v>
      </c>
    </row>
    <row r="421" spans="1:19" x14ac:dyDescent="0.25">
      <c r="A421" s="476" t="s">
        <v>1682</v>
      </c>
      <c r="B421" s="475" t="s">
        <v>4655</v>
      </c>
      <c r="C421" s="422" t="e">
        <f>VLOOKUP(B421,'Matter &amp; CI#'!$D$4:$E$595,2,FALSE)</f>
        <v>#N/A</v>
      </c>
      <c r="D421" s="476" t="s">
        <v>1683</v>
      </c>
      <c r="E421" s="476" t="s">
        <v>10</v>
      </c>
      <c r="F421" s="476" t="s">
        <v>9</v>
      </c>
      <c r="G421" s="475" t="s">
        <v>2013</v>
      </c>
      <c r="H421" s="516"/>
      <c r="I421" s="477" t="s">
        <v>5</v>
      </c>
      <c r="J421" s="476" t="s">
        <v>14</v>
      </c>
      <c r="K421" s="476" t="s">
        <v>28</v>
      </c>
      <c r="L421" s="184">
        <v>43344</v>
      </c>
      <c r="N421" s="480">
        <v>351987.34</v>
      </c>
      <c r="O421" s="478" t="str">
        <f>IFERROR(VLOOKUP(A421,[1]Approval!A:C,3,FALSE),"")</f>
        <v/>
      </c>
      <c r="P421" s="184" t="str">
        <f>IFERROR(VLOOKUP(A421,[1]Approval!A:J,10,FALSE),"")</f>
        <v/>
      </c>
      <c r="R421" s="425">
        <f>2020-YEAR(Table227[[#This Row],[In-
Service
Date]])</f>
        <v>2</v>
      </c>
      <c r="S421" s="308">
        <f>+Table227[[#This Row],[Proj To Date
Actuals]]*1.02^R421</f>
        <v>366207.62853600003</v>
      </c>
    </row>
    <row r="422" spans="1:19" x14ac:dyDescent="0.25">
      <c r="A422" s="476" t="s">
        <v>917</v>
      </c>
      <c r="B422" s="475" t="s">
        <v>4671</v>
      </c>
      <c r="C422" s="422" t="e">
        <f>VLOOKUP(B422,'Matter &amp; CI#'!$D$4:$E$595,2,FALSE)</f>
        <v>#N/A</v>
      </c>
      <c r="D422" s="476" t="s">
        <v>918</v>
      </c>
      <c r="E422" s="476" t="s">
        <v>10</v>
      </c>
      <c r="F422" s="476" t="s">
        <v>9</v>
      </c>
      <c r="G422" s="475" t="s">
        <v>2013</v>
      </c>
      <c r="H422" s="516"/>
      <c r="I422" s="477" t="s">
        <v>5</v>
      </c>
      <c r="J422" s="476" t="s">
        <v>14</v>
      </c>
      <c r="K422" s="476" t="s">
        <v>28</v>
      </c>
      <c r="L422" s="184">
        <v>43344</v>
      </c>
      <c r="N422" s="480">
        <v>103817.11</v>
      </c>
      <c r="O422" s="478" t="str">
        <f>IFERROR(VLOOKUP(A422,[1]Approval!A:C,3,FALSE),"")</f>
        <v/>
      </c>
      <c r="P422" s="184" t="str">
        <f>IFERROR(VLOOKUP(A422,[1]Approval!A:J,10,FALSE),"")</f>
        <v/>
      </c>
      <c r="R422" s="425">
        <f>2020-YEAR(Table227[[#This Row],[In-
Service
Date]])</f>
        <v>2</v>
      </c>
      <c r="S422" s="308">
        <f>+Table227[[#This Row],[Proj To Date
Actuals]]*1.02^R422</f>
        <v>108011.32124400001</v>
      </c>
    </row>
    <row r="423" spans="1:19" x14ac:dyDescent="0.25">
      <c r="A423" s="476" t="s">
        <v>1414</v>
      </c>
      <c r="B423" s="475" t="s">
        <v>4678</v>
      </c>
      <c r="C423" s="422" t="e">
        <f>VLOOKUP(B423,'Matter &amp; CI#'!$D$4:$E$595,2,FALSE)</f>
        <v>#N/A</v>
      </c>
      <c r="D423" s="476" t="s">
        <v>1415</v>
      </c>
      <c r="E423" s="476" t="s">
        <v>10</v>
      </c>
      <c r="F423" s="476" t="s">
        <v>9</v>
      </c>
      <c r="G423" s="475" t="s">
        <v>2013</v>
      </c>
      <c r="H423" s="516"/>
      <c r="I423" s="477" t="s">
        <v>5</v>
      </c>
      <c r="J423" s="476" t="s">
        <v>14</v>
      </c>
      <c r="K423" s="476" t="s">
        <v>28</v>
      </c>
      <c r="L423" s="184">
        <v>43344</v>
      </c>
      <c r="N423" s="480">
        <v>65404.19</v>
      </c>
      <c r="O423" s="478" t="str">
        <f>IFERROR(VLOOKUP(A423,[1]Approval!A:C,3,FALSE),"")</f>
        <v>FIN Approval - Internal</v>
      </c>
      <c r="P423" s="184">
        <f>IFERROR(VLOOKUP(A423,[1]Approval!A:J,10,FALSE),"")</f>
        <v>44151</v>
      </c>
      <c r="R423" s="425">
        <f>2020-YEAR(Table227[[#This Row],[In-
Service
Date]])</f>
        <v>2</v>
      </c>
      <c r="S423" s="308">
        <f>+Table227[[#This Row],[Proj To Date
Actuals]]*1.02^R423</f>
        <v>68046.519276000006</v>
      </c>
    </row>
    <row r="424" spans="1:19" x14ac:dyDescent="0.25">
      <c r="A424" s="476" t="s">
        <v>927</v>
      </c>
      <c r="B424" s="475" t="s">
        <v>927</v>
      </c>
      <c r="C424" s="422" t="e">
        <f>VLOOKUP(B424,'Matter &amp; CI#'!$D$4:$E$595,2,FALSE)</f>
        <v>#N/A</v>
      </c>
      <c r="D424" s="476" t="s">
        <v>928</v>
      </c>
      <c r="E424" s="476" t="s">
        <v>10</v>
      </c>
      <c r="F424" s="476" t="s">
        <v>9</v>
      </c>
      <c r="G424" s="475" t="s">
        <v>2013</v>
      </c>
      <c r="H424" s="516"/>
      <c r="I424" s="477" t="s">
        <v>5</v>
      </c>
      <c r="J424" s="476" t="s">
        <v>14</v>
      </c>
      <c r="K424" s="476" t="s">
        <v>28</v>
      </c>
      <c r="L424" s="184">
        <v>43344</v>
      </c>
      <c r="N424" s="480">
        <v>72030.39</v>
      </c>
      <c r="O424" s="478" t="str">
        <f>IFERROR(VLOOKUP(A424,[1]Approval!A:C,3,FALSE),"")</f>
        <v/>
      </c>
      <c r="P424" s="184" t="str">
        <f>IFERROR(VLOOKUP(A424,[1]Approval!A:J,10,FALSE),"")</f>
        <v/>
      </c>
      <c r="R424" s="425">
        <f>2020-YEAR(Table227[[#This Row],[In-
Service
Date]])</f>
        <v>2</v>
      </c>
      <c r="S424" s="308">
        <f>+Table227[[#This Row],[Proj To Date
Actuals]]*1.02^R424</f>
        <v>74940.417755999995</v>
      </c>
    </row>
    <row r="425" spans="1:19" x14ac:dyDescent="0.25">
      <c r="A425" s="476" t="s">
        <v>925</v>
      </c>
      <c r="B425" s="475" t="s">
        <v>925</v>
      </c>
      <c r="C425" s="422" t="e">
        <f>VLOOKUP(B425,'Matter &amp; CI#'!$D$4:$E$595,2,FALSE)</f>
        <v>#N/A</v>
      </c>
      <c r="D425" s="476" t="s">
        <v>926</v>
      </c>
      <c r="E425" s="476" t="s">
        <v>10</v>
      </c>
      <c r="F425" s="476" t="s">
        <v>9</v>
      </c>
      <c r="G425" s="475" t="s">
        <v>2013</v>
      </c>
      <c r="H425" s="516"/>
      <c r="I425" s="477" t="s">
        <v>5</v>
      </c>
      <c r="J425" s="476" t="s">
        <v>14</v>
      </c>
      <c r="K425" s="476" t="s">
        <v>7</v>
      </c>
      <c r="L425" s="184">
        <v>43344</v>
      </c>
      <c r="M425" s="184">
        <v>44136</v>
      </c>
      <c r="N425" s="480">
        <v>22988.720000000001</v>
      </c>
      <c r="O425" s="478" t="str">
        <f>IFERROR(VLOOKUP(A425,[1]Approval!A:C,3,FALSE),"")</f>
        <v>FIN Approval - Internal</v>
      </c>
      <c r="P425" s="184">
        <f>IFERROR(VLOOKUP(A425,[1]Approval!A:J,10,FALSE),"")</f>
        <v>43993</v>
      </c>
      <c r="R425" s="425">
        <f>2020-YEAR(Table227[[#This Row],[In-
Service
Date]])</f>
        <v>2</v>
      </c>
      <c r="S425" s="308">
        <f>+Table227[[#This Row],[Proj To Date
Actuals]]*1.02^R425</f>
        <v>23917.464287999999</v>
      </c>
    </row>
    <row r="426" spans="1:19" x14ac:dyDescent="0.25">
      <c r="A426" s="476" t="s">
        <v>1955</v>
      </c>
      <c r="B426" s="475" t="s">
        <v>1955</v>
      </c>
      <c r="C426" s="422" t="e">
        <f>VLOOKUP(B426,'Matter &amp; CI#'!$D$4:$E$595,2,FALSE)</f>
        <v>#N/A</v>
      </c>
      <c r="D426" s="476" t="s">
        <v>1956</v>
      </c>
      <c r="E426" s="476" t="s">
        <v>10</v>
      </c>
      <c r="F426" s="476" t="s">
        <v>9</v>
      </c>
      <c r="G426" s="475" t="s">
        <v>2013</v>
      </c>
      <c r="H426" s="516"/>
      <c r="I426" s="477" t="s">
        <v>5</v>
      </c>
      <c r="J426" s="476" t="s">
        <v>14</v>
      </c>
      <c r="K426" s="476" t="s">
        <v>7</v>
      </c>
      <c r="L426" s="184">
        <v>43344</v>
      </c>
      <c r="M426" s="184">
        <v>44136</v>
      </c>
      <c r="N426" s="480">
        <v>166763.29</v>
      </c>
      <c r="O426" s="478" t="str">
        <f>IFERROR(VLOOKUP(A426,[1]Approval!A:C,3,FALSE),"")</f>
        <v>FIN Approval - Internal</v>
      </c>
      <c r="P426" s="184">
        <f>IFERROR(VLOOKUP(A426,[1]Approval!A:J,10,FALSE),"")</f>
        <v>44055</v>
      </c>
      <c r="R426" s="425">
        <f>2020-YEAR(Table227[[#This Row],[In-
Service
Date]])</f>
        <v>2</v>
      </c>
      <c r="S426" s="308">
        <f>+Table227[[#This Row],[Proj To Date
Actuals]]*1.02^R426</f>
        <v>173500.526916</v>
      </c>
    </row>
    <row r="427" spans="1:19" x14ac:dyDescent="0.25">
      <c r="A427" s="476" t="s">
        <v>463</v>
      </c>
      <c r="B427" s="475" t="s">
        <v>463</v>
      </c>
      <c r="C427" s="422" t="e">
        <f>VLOOKUP(B427,'Matter &amp; CI#'!$D$4:$E$595,2,FALSE)</f>
        <v>#N/A</v>
      </c>
      <c r="D427" s="476" t="s">
        <v>464</v>
      </c>
      <c r="E427" s="476" t="s">
        <v>10</v>
      </c>
      <c r="F427" s="476" t="s">
        <v>9</v>
      </c>
      <c r="G427" s="475" t="s">
        <v>2013</v>
      </c>
      <c r="H427" s="516"/>
      <c r="I427" s="477" t="s">
        <v>5</v>
      </c>
      <c r="J427" s="476" t="s">
        <v>14</v>
      </c>
      <c r="K427" s="476" t="s">
        <v>28</v>
      </c>
      <c r="L427" s="184">
        <v>43344</v>
      </c>
      <c r="N427" s="480">
        <v>157956.29</v>
      </c>
      <c r="O427" s="478" t="str">
        <f>IFERROR(VLOOKUP(A427,[1]Approval!A:C,3,FALSE),"")</f>
        <v>FIN Approval - Internal</v>
      </c>
      <c r="P427" s="184">
        <f>IFERROR(VLOOKUP(A427,[1]Approval!A:J,10,FALSE),"")</f>
        <v>44151</v>
      </c>
      <c r="R427" s="425">
        <f>2020-YEAR(Table227[[#This Row],[In-
Service
Date]])</f>
        <v>2</v>
      </c>
      <c r="S427" s="308">
        <f>+Table227[[#This Row],[Proj To Date
Actuals]]*1.02^R427</f>
        <v>164337.724116</v>
      </c>
    </row>
    <row r="428" spans="1:19" x14ac:dyDescent="0.25">
      <c r="A428" s="476" t="s">
        <v>1704</v>
      </c>
      <c r="B428" s="475" t="s">
        <v>1704</v>
      </c>
      <c r="C428" s="422" t="e">
        <f>VLOOKUP(B428,'Matter &amp; CI#'!$D$4:$E$595,2,FALSE)</f>
        <v>#N/A</v>
      </c>
      <c r="D428" s="476" t="s">
        <v>1705</v>
      </c>
      <c r="E428" s="476" t="s">
        <v>10</v>
      </c>
      <c r="F428" s="476" t="s">
        <v>9</v>
      </c>
      <c r="G428" s="475" t="s">
        <v>2013</v>
      </c>
      <c r="H428" s="516"/>
      <c r="I428" s="477" t="s">
        <v>5</v>
      </c>
      <c r="J428" s="476" t="s">
        <v>6</v>
      </c>
      <c r="K428" s="476" t="s">
        <v>7</v>
      </c>
      <c r="L428" s="184">
        <v>43370</v>
      </c>
      <c r="M428" s="184">
        <v>43952</v>
      </c>
      <c r="N428" s="480">
        <v>953678.2</v>
      </c>
      <c r="O428" s="478" t="str">
        <f>IFERROR(VLOOKUP(A428,[1]Approval!A:C,3,FALSE),"")</f>
        <v>FIN Approval - Internal</v>
      </c>
      <c r="P428" s="184">
        <f>IFERROR(VLOOKUP(A428,[1]Approval!A:J,10,FALSE),"")</f>
        <v>43867</v>
      </c>
      <c r="R428" s="425">
        <f>2020-YEAR(Table227[[#This Row],[In-
Service
Date]])</f>
        <v>2</v>
      </c>
      <c r="S428" s="308">
        <f>+Table227[[#This Row],[Proj To Date
Actuals]]*1.02^R428</f>
        <v>992206.79927999992</v>
      </c>
    </row>
    <row r="429" spans="1:19" x14ac:dyDescent="0.25">
      <c r="A429" s="476" t="s">
        <v>929</v>
      </c>
      <c r="B429" s="475" t="s">
        <v>929</v>
      </c>
      <c r="C429" s="422" t="e">
        <f>VLOOKUP(B429,'Matter &amp; CI#'!$D$4:$E$595,2,FALSE)</f>
        <v>#N/A</v>
      </c>
      <c r="D429" s="476" t="s">
        <v>930</v>
      </c>
      <c r="E429" s="476" t="s">
        <v>10</v>
      </c>
      <c r="F429" s="476" t="s">
        <v>9</v>
      </c>
      <c r="G429" s="475" t="s">
        <v>2013</v>
      </c>
      <c r="H429" s="516"/>
      <c r="I429" s="477" t="s">
        <v>5</v>
      </c>
      <c r="J429" s="476" t="s">
        <v>14</v>
      </c>
      <c r="K429" s="476" t="s">
        <v>28</v>
      </c>
      <c r="L429" s="184">
        <v>43373</v>
      </c>
      <c r="N429" s="481">
        <v>173249.86</v>
      </c>
      <c r="O429" s="478" t="str">
        <f>IFERROR(VLOOKUP(A429,[1]Approval!A:C,3,FALSE),"")</f>
        <v>FIN Approval - Internal</v>
      </c>
      <c r="P429" s="184">
        <f>IFERROR(VLOOKUP(A429,[1]Approval!A:J,10,FALSE),"")</f>
        <v>43892</v>
      </c>
      <c r="R429" s="425">
        <f>2020-YEAR(Table227[[#This Row],[In-
Service
Date]])</f>
        <v>2</v>
      </c>
      <c r="S429" s="308">
        <f>+Table227[[#This Row],[Proj To Date
Actuals]]*1.02^R429</f>
        <v>180249.15434399998</v>
      </c>
    </row>
    <row r="430" spans="1:19" x14ac:dyDescent="0.25">
      <c r="A430" s="476" t="s">
        <v>1440</v>
      </c>
      <c r="B430" s="475" t="s">
        <v>1440</v>
      </c>
      <c r="C430" s="422" t="e">
        <f>VLOOKUP(B430,'Matter &amp; CI#'!$D$4:$E$595,2,FALSE)</f>
        <v>#N/A</v>
      </c>
      <c r="D430" s="476" t="s">
        <v>1441</v>
      </c>
      <c r="E430" s="476" t="s">
        <v>10</v>
      </c>
      <c r="F430" s="476" t="s">
        <v>9</v>
      </c>
      <c r="G430" s="475" t="s">
        <v>2013</v>
      </c>
      <c r="H430" s="516"/>
      <c r="I430" s="477" t="s">
        <v>5</v>
      </c>
      <c r="J430" s="476" t="s">
        <v>131</v>
      </c>
      <c r="K430" s="476" t="s">
        <v>28</v>
      </c>
      <c r="L430" s="184">
        <v>43373</v>
      </c>
      <c r="N430" s="480">
        <v>59081.88</v>
      </c>
      <c r="O430" s="478" t="str">
        <f>IFERROR(VLOOKUP(A430,[1]Approval!A:C,3,FALSE),"")</f>
        <v>FIN Approval - Internal</v>
      </c>
      <c r="P430" s="184">
        <f>IFERROR(VLOOKUP(A430,[1]Approval!A:J,10,FALSE),"")</f>
        <v>44126</v>
      </c>
      <c r="R430" s="425">
        <f>2020-YEAR(Table227[[#This Row],[In-
Service
Date]])</f>
        <v>2</v>
      </c>
      <c r="S430" s="308">
        <f>+Table227[[#This Row],[Proj To Date
Actuals]]*1.02^R430</f>
        <v>61468.787951999999</v>
      </c>
    </row>
    <row r="431" spans="1:19" x14ac:dyDescent="0.25">
      <c r="A431" s="476" t="s">
        <v>1176</v>
      </c>
      <c r="B431" s="475" t="s">
        <v>1176</v>
      </c>
      <c r="C431" s="422" t="e">
        <f>VLOOKUP(B431,'Matter &amp; CI#'!$D$4:$E$595,2,FALSE)</f>
        <v>#N/A</v>
      </c>
      <c r="D431" s="476" t="s">
        <v>1177</v>
      </c>
      <c r="E431" s="476" t="s">
        <v>10</v>
      </c>
      <c r="F431" s="476" t="s">
        <v>9</v>
      </c>
      <c r="G431" s="475" t="s">
        <v>2013</v>
      </c>
      <c r="H431" s="516"/>
      <c r="I431" s="477" t="s">
        <v>5</v>
      </c>
      <c r="J431" s="476" t="s">
        <v>14</v>
      </c>
      <c r="K431" s="476" t="s">
        <v>28</v>
      </c>
      <c r="L431" s="184">
        <v>43373</v>
      </c>
      <c r="N431" s="480">
        <v>33971.32</v>
      </c>
      <c r="O431" s="478" t="str">
        <f>IFERROR(VLOOKUP(A431,[1]Approval!A:C,3,FALSE),"")</f>
        <v>FIN Approval - Internal</v>
      </c>
      <c r="P431" s="184">
        <f>IFERROR(VLOOKUP(A431,[1]Approval!A:J,10,FALSE),"")</f>
        <v>44055</v>
      </c>
      <c r="R431" s="425">
        <f>2020-YEAR(Table227[[#This Row],[In-
Service
Date]])</f>
        <v>2</v>
      </c>
      <c r="S431" s="308">
        <f>+Table227[[#This Row],[Proj To Date
Actuals]]*1.02^R431</f>
        <v>35343.761328000001</v>
      </c>
    </row>
    <row r="432" spans="1:19" x14ac:dyDescent="0.25">
      <c r="A432" s="476" t="s">
        <v>1182</v>
      </c>
      <c r="B432" s="475" t="s">
        <v>1182</v>
      </c>
      <c r="C432" s="422" t="e">
        <f>VLOOKUP(B432,'Matter &amp; CI#'!$D$4:$E$595,2,FALSE)</f>
        <v>#N/A</v>
      </c>
      <c r="D432" s="476" t="s">
        <v>1183</v>
      </c>
      <c r="E432" s="476" t="s">
        <v>10</v>
      </c>
      <c r="F432" s="476" t="s">
        <v>9</v>
      </c>
      <c r="G432" s="475" t="s">
        <v>2013</v>
      </c>
      <c r="H432" s="516"/>
      <c r="I432" s="477" t="s">
        <v>5</v>
      </c>
      <c r="J432" s="476" t="s">
        <v>14</v>
      </c>
      <c r="K432" s="476" t="s">
        <v>28</v>
      </c>
      <c r="L432" s="184">
        <v>43373</v>
      </c>
      <c r="N432" s="480">
        <v>75314.27</v>
      </c>
      <c r="O432" s="478" t="str">
        <f>IFERROR(VLOOKUP(A432,[1]Approval!A:C,3,FALSE),"")</f>
        <v>FIN Approval - Internal</v>
      </c>
      <c r="P432" s="184">
        <f>IFERROR(VLOOKUP(A432,[1]Approval!A:J,10,FALSE),"")</f>
        <v>44055</v>
      </c>
      <c r="R432" s="425">
        <f>2020-YEAR(Table227[[#This Row],[In-
Service
Date]])</f>
        <v>2</v>
      </c>
      <c r="S432" s="308">
        <f>+Table227[[#This Row],[Proj To Date
Actuals]]*1.02^R432</f>
        <v>78356.966507999998</v>
      </c>
    </row>
    <row r="433" spans="1:19" x14ac:dyDescent="0.25">
      <c r="A433" s="476" t="s">
        <v>943</v>
      </c>
      <c r="B433" s="475" t="s">
        <v>943</v>
      </c>
      <c r="C433" s="422" t="e">
        <f>VLOOKUP(B433,'Matter &amp; CI#'!$D$4:$E$595,2,FALSE)</f>
        <v>#N/A</v>
      </c>
      <c r="D433" s="476" t="s">
        <v>944</v>
      </c>
      <c r="E433" s="476" t="s">
        <v>10</v>
      </c>
      <c r="F433" s="476" t="s">
        <v>9</v>
      </c>
      <c r="G433" s="475" t="s">
        <v>2013</v>
      </c>
      <c r="H433" s="516"/>
      <c r="I433" s="477" t="s">
        <v>5</v>
      </c>
      <c r="J433" s="476" t="s">
        <v>43</v>
      </c>
      <c r="K433" s="476" t="s">
        <v>28</v>
      </c>
      <c r="L433" s="184">
        <v>43373</v>
      </c>
      <c r="N433" s="480">
        <v>150645.03</v>
      </c>
      <c r="O433" s="478" t="str">
        <f>IFERROR(VLOOKUP(A433,[1]Approval!A:C,3,FALSE),"")</f>
        <v>FIN Approval - Internal</v>
      </c>
      <c r="P433" s="184">
        <f>IFERROR(VLOOKUP(A433,[1]Approval!A:J,10,FALSE),"")</f>
        <v>44055</v>
      </c>
      <c r="R433" s="425">
        <f>2020-YEAR(Table227[[#This Row],[In-
Service
Date]])</f>
        <v>2</v>
      </c>
      <c r="S433" s="308">
        <f>+Table227[[#This Row],[Proj To Date
Actuals]]*1.02^R433</f>
        <v>156731.08921199999</v>
      </c>
    </row>
    <row r="434" spans="1:19" x14ac:dyDescent="0.25">
      <c r="A434" s="476" t="s">
        <v>939</v>
      </c>
      <c r="B434" s="475" t="s">
        <v>939</v>
      </c>
      <c r="C434" s="422" t="e">
        <f>VLOOKUP(B434,'Matter &amp; CI#'!$D$4:$E$595,2,FALSE)</f>
        <v>#N/A</v>
      </c>
      <c r="D434" s="476" t="s">
        <v>940</v>
      </c>
      <c r="E434" s="476" t="s">
        <v>10</v>
      </c>
      <c r="F434" s="476" t="s">
        <v>9</v>
      </c>
      <c r="G434" s="475" t="s">
        <v>2013</v>
      </c>
      <c r="H434" s="516"/>
      <c r="I434" s="477" t="s">
        <v>5</v>
      </c>
      <c r="J434" s="476" t="s">
        <v>14</v>
      </c>
      <c r="K434" s="476" t="s">
        <v>28</v>
      </c>
      <c r="L434" s="184">
        <v>43374</v>
      </c>
      <c r="N434" s="480">
        <v>104672.29</v>
      </c>
      <c r="O434" s="478" t="str">
        <f>IFERROR(VLOOKUP(A434,[1]Approval!A:C,3,FALSE),"")</f>
        <v>FIN Approval - Internal</v>
      </c>
      <c r="P434" s="184">
        <f>IFERROR(VLOOKUP(A434,[1]Approval!A:J,10,FALSE),"")</f>
        <v>44151</v>
      </c>
      <c r="R434" s="425">
        <f>2020-YEAR(Table227[[#This Row],[In-
Service
Date]])</f>
        <v>2</v>
      </c>
      <c r="S434" s="308">
        <f>+Table227[[#This Row],[Proj To Date
Actuals]]*1.02^R434</f>
        <v>108901.05051599999</v>
      </c>
    </row>
    <row r="435" spans="1:19" x14ac:dyDescent="0.25">
      <c r="A435" s="476" t="s">
        <v>688</v>
      </c>
      <c r="B435" s="475" t="s">
        <v>688</v>
      </c>
      <c r="C435" s="422" t="e">
        <f>VLOOKUP(B435,'Matter &amp; CI#'!$D$4:$E$595,2,FALSE)</f>
        <v>#N/A</v>
      </c>
      <c r="D435" s="476" t="s">
        <v>689</v>
      </c>
      <c r="E435" s="476" t="s">
        <v>10</v>
      </c>
      <c r="F435" s="476" t="s">
        <v>9</v>
      </c>
      <c r="G435" s="475" t="s">
        <v>2013</v>
      </c>
      <c r="H435" s="516"/>
      <c r="I435" s="477" t="s">
        <v>5</v>
      </c>
      <c r="J435" s="476" t="s">
        <v>14</v>
      </c>
      <c r="K435" s="476" t="s">
        <v>28</v>
      </c>
      <c r="L435" s="184">
        <v>43374</v>
      </c>
      <c r="N435" s="481">
        <v>192528.8</v>
      </c>
      <c r="O435" s="478" t="str">
        <f>IFERROR(VLOOKUP(A435,[1]Approval!A:C,3,FALSE),"")</f>
        <v>FIN Approval - Internal</v>
      </c>
      <c r="P435" s="184">
        <f>IFERROR(VLOOKUP(A435,[1]Approval!A:J,10,FALSE),"")</f>
        <v>44151</v>
      </c>
      <c r="R435" s="425">
        <f>2020-YEAR(Table227[[#This Row],[In-
Service
Date]])</f>
        <v>2</v>
      </c>
      <c r="S435" s="308">
        <f>+Table227[[#This Row],[Proj To Date
Actuals]]*1.02^R435</f>
        <v>200306.96351999999</v>
      </c>
    </row>
    <row r="436" spans="1:19" x14ac:dyDescent="0.25">
      <c r="A436" s="476" t="s">
        <v>465</v>
      </c>
      <c r="B436" s="475" t="s">
        <v>465</v>
      </c>
      <c r="C436" s="422" t="e">
        <f>VLOOKUP(B436,'Matter &amp; CI#'!$D$4:$E$595,2,FALSE)</f>
        <v>#N/A</v>
      </c>
      <c r="D436" s="476" t="s">
        <v>466</v>
      </c>
      <c r="E436" s="476" t="s">
        <v>10</v>
      </c>
      <c r="F436" s="476" t="s">
        <v>9</v>
      </c>
      <c r="G436" s="475" t="s">
        <v>2013</v>
      </c>
      <c r="H436" s="516"/>
      <c r="I436" s="477" t="s">
        <v>5</v>
      </c>
      <c r="J436" s="476" t="s">
        <v>131</v>
      </c>
      <c r="K436" s="476" t="s">
        <v>28</v>
      </c>
      <c r="L436" s="184">
        <v>43374</v>
      </c>
      <c r="N436" s="480">
        <v>7086.6</v>
      </c>
      <c r="O436" s="478" t="str">
        <f>IFERROR(VLOOKUP(A436,[1]Approval!A:C,3,FALSE),"")</f>
        <v/>
      </c>
      <c r="P436" s="184" t="str">
        <f>IFERROR(VLOOKUP(A436,[1]Approval!A:J,10,FALSE),"")</f>
        <v/>
      </c>
      <c r="R436" s="425">
        <f>2020-YEAR(Table227[[#This Row],[In-
Service
Date]])</f>
        <v>2</v>
      </c>
      <c r="S436" s="308">
        <f>+Table227[[#This Row],[Proj To Date
Actuals]]*1.02^R436</f>
        <v>7372.8986400000003</v>
      </c>
    </row>
    <row r="437" spans="1:19" x14ac:dyDescent="0.25">
      <c r="A437" s="476" t="s">
        <v>1422</v>
      </c>
      <c r="B437" s="475" t="s">
        <v>1422</v>
      </c>
      <c r="C437" s="422" t="e">
        <f>VLOOKUP(B437,'Matter &amp; CI#'!$D$4:$E$595,2,FALSE)</f>
        <v>#N/A</v>
      </c>
      <c r="D437" s="476" t="s">
        <v>1423</v>
      </c>
      <c r="E437" s="476" t="s">
        <v>10</v>
      </c>
      <c r="F437" s="476" t="s">
        <v>9</v>
      </c>
      <c r="G437" s="475" t="s">
        <v>2013</v>
      </c>
      <c r="H437" s="516"/>
      <c r="I437" s="477" t="s">
        <v>5</v>
      </c>
      <c r="J437" s="476" t="s">
        <v>14</v>
      </c>
      <c r="K437" s="476" t="s">
        <v>7</v>
      </c>
      <c r="L437" s="184">
        <v>43374</v>
      </c>
      <c r="M437" s="184">
        <v>43952</v>
      </c>
      <c r="N437" s="480">
        <v>206059.19</v>
      </c>
      <c r="O437" s="478" t="str">
        <f>IFERROR(VLOOKUP(A437,[1]Approval!A:C,3,FALSE),"")</f>
        <v>FIN Approval - Internal</v>
      </c>
      <c r="P437" s="184">
        <f>IFERROR(VLOOKUP(A437,[1]Approval!A:J,10,FALSE),"")</f>
        <v>43906</v>
      </c>
      <c r="R437" s="425">
        <f>2020-YEAR(Table227[[#This Row],[In-
Service
Date]])</f>
        <v>2</v>
      </c>
      <c r="S437" s="308">
        <f>+Table227[[#This Row],[Proj To Date
Actuals]]*1.02^R437</f>
        <v>214383.98127600001</v>
      </c>
    </row>
    <row r="438" spans="1:19" x14ac:dyDescent="0.25">
      <c r="A438" s="476" t="s">
        <v>694</v>
      </c>
      <c r="B438" s="475" t="s">
        <v>694</v>
      </c>
      <c r="C438" s="422" t="e">
        <f>VLOOKUP(B438,'Matter &amp; CI#'!$D$4:$E$595,2,FALSE)</f>
        <v>#N/A</v>
      </c>
      <c r="D438" s="476" t="s">
        <v>695</v>
      </c>
      <c r="E438" s="476" t="s">
        <v>10</v>
      </c>
      <c r="F438" s="476" t="s">
        <v>9</v>
      </c>
      <c r="G438" s="475" t="s">
        <v>2013</v>
      </c>
      <c r="H438" s="516"/>
      <c r="I438" s="477" t="s">
        <v>5</v>
      </c>
      <c r="J438" s="476" t="s">
        <v>14</v>
      </c>
      <c r="K438" s="476" t="s">
        <v>7</v>
      </c>
      <c r="L438" s="184">
        <v>43374</v>
      </c>
      <c r="M438" s="184">
        <v>44136</v>
      </c>
      <c r="N438" s="480">
        <v>69540.850000000006</v>
      </c>
      <c r="O438" s="478" t="str">
        <f>IFERROR(VLOOKUP(A438,[1]Approval!A:C,3,FALSE),"")</f>
        <v>FIN Approval - Internal</v>
      </c>
      <c r="P438" s="184">
        <f>IFERROR(VLOOKUP(A438,[1]Approval!A:J,10,FALSE),"")</f>
        <v>44055</v>
      </c>
      <c r="R438" s="425">
        <f>2020-YEAR(Table227[[#This Row],[In-
Service
Date]])</f>
        <v>2</v>
      </c>
      <c r="S438" s="308">
        <f>+Table227[[#This Row],[Proj To Date
Actuals]]*1.02^R438</f>
        <v>72350.300340000002</v>
      </c>
    </row>
    <row r="439" spans="1:19" x14ac:dyDescent="0.25">
      <c r="A439" s="476" t="s">
        <v>1712</v>
      </c>
      <c r="B439" s="475" t="s">
        <v>1712</v>
      </c>
      <c r="C439" s="422" t="e">
        <f>VLOOKUP(B439,'Matter &amp; CI#'!$D$4:$E$595,2,FALSE)</f>
        <v>#N/A</v>
      </c>
      <c r="D439" s="476" t="s">
        <v>1713</v>
      </c>
      <c r="E439" s="476" t="s">
        <v>10</v>
      </c>
      <c r="F439" s="476" t="s">
        <v>9</v>
      </c>
      <c r="G439" s="475" t="s">
        <v>2013</v>
      </c>
      <c r="H439" s="516"/>
      <c r="I439" s="477" t="s">
        <v>5</v>
      </c>
      <c r="J439" s="476" t="s">
        <v>14</v>
      </c>
      <c r="K439" s="476" t="s">
        <v>28</v>
      </c>
      <c r="L439" s="184">
        <v>43374</v>
      </c>
      <c r="N439" s="480">
        <v>191911.77</v>
      </c>
      <c r="O439" s="478" t="str">
        <f>IFERROR(VLOOKUP(A439,[1]Approval!A:C,3,FALSE),"")</f>
        <v>FIN Approval - Internal</v>
      </c>
      <c r="P439" s="184">
        <f>IFERROR(VLOOKUP(A439,[1]Approval!A:J,10,FALSE),"")</f>
        <v>44126</v>
      </c>
      <c r="R439" s="425">
        <f>2020-YEAR(Table227[[#This Row],[In-
Service
Date]])</f>
        <v>2</v>
      </c>
      <c r="S439" s="308">
        <f>+Table227[[#This Row],[Proj To Date
Actuals]]*1.02^R439</f>
        <v>199665.00550799997</v>
      </c>
    </row>
    <row r="440" spans="1:19" x14ac:dyDescent="0.25">
      <c r="A440" s="476" t="s">
        <v>1975</v>
      </c>
      <c r="B440" s="475" t="s">
        <v>1975</v>
      </c>
      <c r="C440" s="422" t="e">
        <f>VLOOKUP(B440,'Matter &amp; CI#'!$D$4:$E$595,2,FALSE)</f>
        <v>#N/A</v>
      </c>
      <c r="D440" s="476" t="s">
        <v>1976</v>
      </c>
      <c r="E440" s="476" t="s">
        <v>10</v>
      </c>
      <c r="F440" s="476" t="s">
        <v>9</v>
      </c>
      <c r="G440" s="475" t="s">
        <v>2013</v>
      </c>
      <c r="H440" s="516"/>
      <c r="I440" s="477" t="s">
        <v>5</v>
      </c>
      <c r="J440" s="476" t="s">
        <v>14</v>
      </c>
      <c r="K440" s="476" t="s">
        <v>28</v>
      </c>
      <c r="L440" s="184">
        <v>43374</v>
      </c>
      <c r="N440" s="480">
        <v>99096.92</v>
      </c>
      <c r="O440" s="478" t="str">
        <f>IFERROR(VLOOKUP(A440,[1]Approval!A:C,3,FALSE),"")</f>
        <v/>
      </c>
      <c r="P440" s="184" t="str">
        <f>IFERROR(VLOOKUP(A440,[1]Approval!A:J,10,FALSE),"")</f>
        <v/>
      </c>
      <c r="R440" s="425">
        <f>2020-YEAR(Table227[[#This Row],[In-
Service
Date]])</f>
        <v>2</v>
      </c>
      <c r="S440" s="308">
        <f>+Table227[[#This Row],[Proj To Date
Actuals]]*1.02^R440</f>
        <v>103100.435568</v>
      </c>
    </row>
    <row r="441" spans="1:19" x14ac:dyDescent="0.25">
      <c r="A441" s="476" t="s">
        <v>1436</v>
      </c>
      <c r="B441" s="475" t="s">
        <v>1436</v>
      </c>
      <c r="C441" s="422" t="e">
        <f>VLOOKUP(B441,'Matter &amp; CI#'!$D$4:$E$595,2,FALSE)</f>
        <v>#N/A</v>
      </c>
      <c r="D441" s="476" t="s">
        <v>1437</v>
      </c>
      <c r="E441" s="476" t="s">
        <v>10</v>
      </c>
      <c r="F441" s="476" t="s">
        <v>9</v>
      </c>
      <c r="G441" s="475" t="s">
        <v>2013</v>
      </c>
      <c r="H441" s="516"/>
      <c r="I441" s="477" t="s">
        <v>5</v>
      </c>
      <c r="J441" s="476" t="s">
        <v>12</v>
      </c>
      <c r="K441" s="476" t="s">
        <v>7</v>
      </c>
      <c r="L441" s="184">
        <v>43374</v>
      </c>
      <c r="M441" s="184">
        <v>44136</v>
      </c>
      <c r="N441" s="480">
        <v>146796.76</v>
      </c>
      <c r="O441" s="478" t="str">
        <f>IFERROR(VLOOKUP(A441,[1]Approval!A:C,3,FALSE),"")</f>
        <v>FIN Approval - Internal</v>
      </c>
      <c r="P441" s="184">
        <f>IFERROR(VLOOKUP(A441,[1]Approval!A:J,10,FALSE),"")</f>
        <v>44055</v>
      </c>
      <c r="R441" s="425">
        <f>2020-YEAR(Table227[[#This Row],[In-
Service
Date]])</f>
        <v>2</v>
      </c>
      <c r="S441" s="308">
        <f>+Table227[[#This Row],[Proj To Date
Actuals]]*1.02^R441</f>
        <v>152727.34910400002</v>
      </c>
    </row>
    <row r="442" spans="1:19" x14ac:dyDescent="0.25">
      <c r="A442" s="476" t="s">
        <v>937</v>
      </c>
      <c r="B442" s="475" t="s">
        <v>937</v>
      </c>
      <c r="C442" s="422" t="e">
        <f>VLOOKUP(B442,'Matter &amp; CI#'!$D$4:$E$595,2,FALSE)</f>
        <v>#N/A</v>
      </c>
      <c r="D442" s="476" t="s">
        <v>938</v>
      </c>
      <c r="E442" s="476" t="s">
        <v>10</v>
      </c>
      <c r="F442" s="476" t="s">
        <v>9</v>
      </c>
      <c r="G442" s="475" t="s">
        <v>2013</v>
      </c>
      <c r="H442" s="516"/>
      <c r="I442" s="477" t="s">
        <v>5</v>
      </c>
      <c r="J442" s="476" t="s">
        <v>14</v>
      </c>
      <c r="K442" s="476" t="s">
        <v>28</v>
      </c>
      <c r="L442" s="184">
        <v>43374</v>
      </c>
      <c r="N442" s="480">
        <v>272260.89</v>
      </c>
      <c r="O442" s="478" t="str">
        <f>IFERROR(VLOOKUP(A442,[1]Approval!A:C,3,FALSE),"")</f>
        <v/>
      </c>
      <c r="P442" s="184" t="str">
        <f>IFERROR(VLOOKUP(A442,[1]Approval!A:J,10,FALSE),"")</f>
        <v/>
      </c>
      <c r="R442" s="425">
        <f>2020-YEAR(Table227[[#This Row],[In-
Service
Date]])</f>
        <v>2</v>
      </c>
      <c r="S442" s="308">
        <f>+Table227[[#This Row],[Proj To Date
Actuals]]*1.02^R442</f>
        <v>283260.229956</v>
      </c>
    </row>
    <row r="443" spans="1:19" x14ac:dyDescent="0.25">
      <c r="A443" s="476" t="s">
        <v>1184</v>
      </c>
      <c r="B443" s="475" t="s">
        <v>1184</v>
      </c>
      <c r="C443" s="422" t="e">
        <f>VLOOKUP(B443,'Matter &amp; CI#'!$D$4:$E$595,2,FALSE)</f>
        <v>#N/A</v>
      </c>
      <c r="D443" s="476" t="s">
        <v>1185</v>
      </c>
      <c r="E443" s="476" t="s">
        <v>10</v>
      </c>
      <c r="F443" s="476" t="s">
        <v>9</v>
      </c>
      <c r="G443" s="475" t="s">
        <v>2013</v>
      </c>
      <c r="H443" s="516"/>
      <c r="I443" s="477" t="s">
        <v>5</v>
      </c>
      <c r="J443" s="476" t="s">
        <v>14</v>
      </c>
      <c r="K443" s="476" t="s">
        <v>28</v>
      </c>
      <c r="L443" s="184">
        <v>43374</v>
      </c>
      <c r="N443" s="480">
        <v>329089.84999999998</v>
      </c>
      <c r="O443" s="478" t="str">
        <f>IFERROR(VLOOKUP(A443,[1]Approval!A:C,3,FALSE),"")</f>
        <v>FIN Approval - Internal</v>
      </c>
      <c r="P443" s="184">
        <f>IFERROR(VLOOKUP(A443,[1]Approval!A:J,10,FALSE),"")</f>
        <v>44105</v>
      </c>
      <c r="R443" s="425">
        <f>2020-YEAR(Table227[[#This Row],[In-
Service
Date]])</f>
        <v>2</v>
      </c>
      <c r="S443" s="308">
        <f>+Table227[[#This Row],[Proj To Date
Actuals]]*1.02^R443</f>
        <v>342385.07993999997</v>
      </c>
    </row>
    <row r="444" spans="1:19" x14ac:dyDescent="0.25">
      <c r="A444" s="476" t="s">
        <v>1434</v>
      </c>
      <c r="B444" s="475" t="s">
        <v>1434</v>
      </c>
      <c r="C444" s="422" t="e">
        <f>VLOOKUP(B444,'Matter &amp; CI#'!$D$4:$E$595,2,FALSE)</f>
        <v>#N/A</v>
      </c>
      <c r="D444" s="476" t="s">
        <v>1435</v>
      </c>
      <c r="E444" s="476" t="s">
        <v>10</v>
      </c>
      <c r="F444" s="476" t="s">
        <v>9</v>
      </c>
      <c r="G444" s="475" t="s">
        <v>2013</v>
      </c>
      <c r="H444" s="516"/>
      <c r="I444" s="477" t="s">
        <v>5</v>
      </c>
      <c r="J444" s="476" t="s">
        <v>12</v>
      </c>
      <c r="K444" s="476" t="s">
        <v>28</v>
      </c>
      <c r="L444" s="184">
        <v>43374</v>
      </c>
      <c r="N444" s="480">
        <v>538796.91</v>
      </c>
      <c r="O444" s="478" t="str">
        <f>IFERROR(VLOOKUP(A444,[1]Approval!A:C,3,FALSE),"")</f>
        <v/>
      </c>
      <c r="P444" s="184" t="str">
        <f>IFERROR(VLOOKUP(A444,[1]Approval!A:J,10,FALSE),"")</f>
        <v/>
      </c>
      <c r="R444" s="425">
        <f>2020-YEAR(Table227[[#This Row],[In-
Service
Date]])</f>
        <v>2</v>
      </c>
      <c r="S444" s="308">
        <f>+Table227[[#This Row],[Proj To Date
Actuals]]*1.02^R444</f>
        <v>560564.30516400002</v>
      </c>
    </row>
    <row r="445" spans="1:19" x14ac:dyDescent="0.25">
      <c r="A445" s="476" t="s">
        <v>443</v>
      </c>
      <c r="B445" s="475" t="s">
        <v>4621</v>
      </c>
      <c r="C445" s="422" t="e">
        <f>VLOOKUP(B445,'Matter &amp; CI#'!$D$4:$E$595,2,FALSE)</f>
        <v>#N/A</v>
      </c>
      <c r="D445" s="476" t="s">
        <v>444</v>
      </c>
      <c r="E445" s="476" t="s">
        <v>10</v>
      </c>
      <c r="F445" s="476" t="s">
        <v>9</v>
      </c>
      <c r="G445" s="475" t="s">
        <v>2013</v>
      </c>
      <c r="H445" s="516"/>
      <c r="I445" s="477" t="s">
        <v>5</v>
      </c>
      <c r="J445" s="476" t="s">
        <v>14</v>
      </c>
      <c r="K445" s="476" t="s">
        <v>28</v>
      </c>
      <c r="L445" s="184">
        <v>43404</v>
      </c>
      <c r="N445" s="480">
        <v>567.12</v>
      </c>
      <c r="O445" s="478" t="str">
        <f>IFERROR(VLOOKUP(A445,[1]Approval!A:C,3,FALSE),"")</f>
        <v/>
      </c>
      <c r="P445" s="184" t="str">
        <f>IFERROR(VLOOKUP(A445,[1]Approval!A:J,10,FALSE),"")</f>
        <v/>
      </c>
      <c r="R445" s="425">
        <f>2020-YEAR(Table227[[#This Row],[In-
Service
Date]])</f>
        <v>2</v>
      </c>
      <c r="S445" s="308">
        <f>+Table227[[#This Row],[Proj To Date
Actuals]]*1.02^R445</f>
        <v>590.03164800000002</v>
      </c>
    </row>
    <row r="446" spans="1:19" x14ac:dyDescent="0.25">
      <c r="A446" s="476" t="s">
        <v>1718</v>
      </c>
      <c r="B446" s="475" t="s">
        <v>1718</v>
      </c>
      <c r="C446" s="422" t="str">
        <f>VLOOKUP(B446,'Matter &amp; CI#'!$D$4:$E$595,2,FALSE)</f>
        <v>M08829</v>
      </c>
      <c r="D446" s="476" t="s">
        <v>1719</v>
      </c>
      <c r="E446" s="476" t="s">
        <v>10</v>
      </c>
      <c r="F446" s="476" t="s">
        <v>9</v>
      </c>
      <c r="G446" s="475" t="s">
        <v>2013</v>
      </c>
      <c r="H446" s="516"/>
      <c r="I446" s="477" t="s">
        <v>5</v>
      </c>
      <c r="J446" s="476" t="s">
        <v>6</v>
      </c>
      <c r="K446" s="476" t="s">
        <v>28</v>
      </c>
      <c r="L446" s="184">
        <v>43404</v>
      </c>
      <c r="N446" s="480">
        <v>806222.05</v>
      </c>
      <c r="O446" s="478" t="str">
        <f>IFERROR(VLOOKUP(A446,[1]Approval!A:C,3,FALSE),"")</f>
        <v>FIN Approval - Internal</v>
      </c>
      <c r="P446" s="184">
        <f>IFERROR(VLOOKUP(A446,[1]Approval!A:J,10,FALSE),"")</f>
        <v>44084</v>
      </c>
      <c r="R446" s="425">
        <f>2020-YEAR(Table227[[#This Row],[In-
Service
Date]])</f>
        <v>2</v>
      </c>
      <c r="S446" s="308">
        <f>+Table227[[#This Row],[Proj To Date
Actuals]]*1.02^R446</f>
        <v>838793.42082</v>
      </c>
    </row>
    <row r="447" spans="1:19" x14ac:dyDescent="0.25">
      <c r="A447" s="476" t="s">
        <v>1730</v>
      </c>
      <c r="B447" s="475" t="s">
        <v>1730</v>
      </c>
      <c r="C447" s="422" t="e">
        <f>VLOOKUP(B447,'Matter &amp; CI#'!$D$4:$E$595,2,FALSE)</f>
        <v>#N/A</v>
      </c>
      <c r="D447" s="476" t="s">
        <v>1731</v>
      </c>
      <c r="E447" s="476" t="s">
        <v>10</v>
      </c>
      <c r="F447" s="476" t="s">
        <v>9</v>
      </c>
      <c r="G447" s="475" t="s">
        <v>2013</v>
      </c>
      <c r="H447" s="516"/>
      <c r="I447" s="477" t="s">
        <v>5</v>
      </c>
      <c r="J447" s="476" t="s">
        <v>40</v>
      </c>
      <c r="K447" s="476" t="s">
        <v>28</v>
      </c>
      <c r="L447" s="184">
        <v>43405</v>
      </c>
      <c r="N447" s="481">
        <v>9223.31</v>
      </c>
      <c r="O447" s="478" t="str">
        <f>IFERROR(VLOOKUP(A447,[1]Approval!A:C,3,FALSE),"")</f>
        <v/>
      </c>
      <c r="P447" s="184" t="str">
        <f>IFERROR(VLOOKUP(A447,[1]Approval!A:J,10,FALSE),"")</f>
        <v/>
      </c>
      <c r="R447" s="425">
        <f>2020-YEAR(Table227[[#This Row],[In-
Service
Date]])</f>
        <v>2</v>
      </c>
      <c r="S447" s="308">
        <f>+Table227[[#This Row],[Proj To Date
Actuals]]*1.02^R447</f>
        <v>9595.931724</v>
      </c>
    </row>
    <row r="448" spans="1:19" x14ac:dyDescent="0.25">
      <c r="A448" s="476" t="s">
        <v>1722</v>
      </c>
      <c r="B448" s="475" t="s">
        <v>1722</v>
      </c>
      <c r="C448" s="422" t="e">
        <f>VLOOKUP(B448,'Matter &amp; CI#'!$D$4:$E$595,2,FALSE)</f>
        <v>#N/A</v>
      </c>
      <c r="D448" s="476" t="s">
        <v>1723</v>
      </c>
      <c r="E448" s="476" t="s">
        <v>10</v>
      </c>
      <c r="F448" s="476" t="s">
        <v>9</v>
      </c>
      <c r="G448" s="475" t="s">
        <v>2013</v>
      </c>
      <c r="H448" s="516"/>
      <c r="I448" s="477" t="s">
        <v>5</v>
      </c>
      <c r="J448" s="476" t="s">
        <v>182</v>
      </c>
      <c r="K448" s="476" t="s">
        <v>28</v>
      </c>
      <c r="L448" s="184">
        <v>43405</v>
      </c>
      <c r="N448" s="480">
        <v>993073.09</v>
      </c>
      <c r="O448" s="478" t="str">
        <f>IFERROR(VLOOKUP(A448,[1]Approval!A:C,3,FALSE),"")</f>
        <v>FIN Approval - Internal</v>
      </c>
      <c r="P448" s="184">
        <f>IFERROR(VLOOKUP(A448,[1]Approval!A:J,10,FALSE),"")</f>
        <v>44126</v>
      </c>
      <c r="R448" s="425">
        <f>2020-YEAR(Table227[[#This Row],[In-
Service
Date]])</f>
        <v>2</v>
      </c>
      <c r="S448" s="308">
        <f>+Table227[[#This Row],[Proj To Date
Actuals]]*1.02^R448</f>
        <v>1033193.2428359999</v>
      </c>
    </row>
    <row r="449" spans="1:19" x14ac:dyDescent="0.25">
      <c r="A449" s="476" t="s">
        <v>1720</v>
      </c>
      <c r="B449" s="475" t="s">
        <v>1720</v>
      </c>
      <c r="C449" s="422" t="e">
        <f>VLOOKUP(B449,'Matter &amp; CI#'!$D$4:$E$595,2,FALSE)</f>
        <v>#N/A</v>
      </c>
      <c r="D449" s="476" t="s">
        <v>1721</v>
      </c>
      <c r="E449" s="476" t="s">
        <v>10</v>
      </c>
      <c r="F449" s="476" t="s">
        <v>9</v>
      </c>
      <c r="G449" s="475" t="s">
        <v>2013</v>
      </c>
      <c r="H449" s="516"/>
      <c r="I449" s="477" t="s">
        <v>5</v>
      </c>
      <c r="J449" s="476" t="s">
        <v>182</v>
      </c>
      <c r="K449" s="476" t="s">
        <v>7</v>
      </c>
      <c r="L449" s="184">
        <v>43416</v>
      </c>
      <c r="M449" s="184">
        <v>44136</v>
      </c>
      <c r="N449" s="480">
        <v>334944.90000000002</v>
      </c>
      <c r="O449" s="478" t="str">
        <f>IFERROR(VLOOKUP(A449,[1]Approval!A:C,3,FALSE),"")</f>
        <v>FIN Approval - Internal</v>
      </c>
      <c r="P449" s="184">
        <f>IFERROR(VLOOKUP(A449,[1]Approval!A:J,10,FALSE),"")</f>
        <v>43993</v>
      </c>
      <c r="R449" s="425">
        <f>2020-YEAR(Table227[[#This Row],[In-
Service
Date]])</f>
        <v>2</v>
      </c>
      <c r="S449" s="308">
        <f>+Table227[[#This Row],[Proj To Date
Actuals]]*1.02^R449</f>
        <v>348476.67396000004</v>
      </c>
    </row>
    <row r="450" spans="1:19" x14ac:dyDescent="0.25">
      <c r="A450" s="476" t="s">
        <v>945</v>
      </c>
      <c r="B450" s="475" t="s">
        <v>945</v>
      </c>
      <c r="C450" s="422" t="e">
        <f>VLOOKUP(B450,'Matter &amp; CI#'!$D$4:$E$595,2,FALSE)</f>
        <v>#N/A</v>
      </c>
      <c r="D450" s="476" t="s">
        <v>946</v>
      </c>
      <c r="E450" s="476" t="s">
        <v>89</v>
      </c>
      <c r="F450" s="476" t="s">
        <v>9</v>
      </c>
      <c r="G450" s="475" t="s">
        <v>2013</v>
      </c>
      <c r="H450" s="516"/>
      <c r="I450" s="477" t="s">
        <v>5</v>
      </c>
      <c r="J450" s="476" t="s">
        <v>6</v>
      </c>
      <c r="K450" s="476" t="s">
        <v>28</v>
      </c>
      <c r="L450" s="184">
        <v>43434</v>
      </c>
      <c r="N450" s="480">
        <v>10356561.25</v>
      </c>
      <c r="O450" s="478" t="str">
        <f>IFERROR(VLOOKUP(A450,[1]Approval!A:C,3,FALSE),"")</f>
        <v>FIN Approval - Internal</v>
      </c>
      <c r="P450" s="184">
        <f>IFERROR(VLOOKUP(A450,[1]Approval!A:J,10,FALSE),"")</f>
        <v>44161</v>
      </c>
      <c r="R450" s="425">
        <f>2020-YEAR(Table227[[#This Row],[In-
Service
Date]])</f>
        <v>2</v>
      </c>
      <c r="S450" s="308">
        <f>+Table227[[#This Row],[Proj To Date
Actuals]]*1.02^R450</f>
        <v>10774966.3245</v>
      </c>
    </row>
    <row r="451" spans="1:19" x14ac:dyDescent="0.25">
      <c r="A451" s="476" t="s">
        <v>1724</v>
      </c>
      <c r="B451" s="475" t="s">
        <v>1724</v>
      </c>
      <c r="C451" s="422" t="e">
        <f>VLOOKUP(B451,'Matter &amp; CI#'!$D$4:$E$595,2,FALSE)</f>
        <v>#N/A</v>
      </c>
      <c r="D451" s="476" t="s">
        <v>1725</v>
      </c>
      <c r="E451" s="476" t="s">
        <v>10</v>
      </c>
      <c r="F451" s="476" t="s">
        <v>9</v>
      </c>
      <c r="G451" s="475" t="s">
        <v>2013</v>
      </c>
      <c r="H451" s="516"/>
      <c r="I451" s="477" t="s">
        <v>5</v>
      </c>
      <c r="J451" s="476" t="s">
        <v>12</v>
      </c>
      <c r="K451" s="476" t="s">
        <v>28</v>
      </c>
      <c r="L451" s="184">
        <v>43434</v>
      </c>
      <c r="N451" s="480">
        <v>6029.48</v>
      </c>
      <c r="O451" s="478" t="str">
        <f>IFERROR(VLOOKUP(A451,[1]Approval!A:C,3,FALSE),"")</f>
        <v/>
      </c>
      <c r="P451" s="184" t="str">
        <f>IFERROR(VLOOKUP(A451,[1]Approval!A:J,10,FALSE),"")</f>
        <v/>
      </c>
      <c r="R451" s="425">
        <f>2020-YEAR(Table227[[#This Row],[In-
Service
Date]])</f>
        <v>2</v>
      </c>
      <c r="S451" s="308">
        <f>+Table227[[#This Row],[Proj To Date
Actuals]]*1.02^R451</f>
        <v>6273.0709919999999</v>
      </c>
    </row>
    <row r="452" spans="1:19" x14ac:dyDescent="0.25">
      <c r="A452" s="476" t="s">
        <v>1314</v>
      </c>
      <c r="B452" s="475" t="s">
        <v>4302</v>
      </c>
      <c r="C452" s="422" t="e">
        <f>VLOOKUP(B452,'Matter &amp; CI#'!$D$4:$E$595,2,FALSE)</f>
        <v>#N/A</v>
      </c>
      <c r="D452" s="476" t="s">
        <v>1315</v>
      </c>
      <c r="E452" s="476" t="s">
        <v>10</v>
      </c>
      <c r="F452" s="476" t="s">
        <v>9</v>
      </c>
      <c r="G452" s="475" t="s">
        <v>2013</v>
      </c>
      <c r="H452" s="516"/>
      <c r="I452" s="477" t="s">
        <v>5</v>
      </c>
      <c r="J452" s="476" t="s">
        <v>14</v>
      </c>
      <c r="K452" s="476" t="s">
        <v>7</v>
      </c>
      <c r="L452" s="184">
        <v>43435</v>
      </c>
      <c r="M452" s="184">
        <v>43862</v>
      </c>
      <c r="N452" s="480">
        <v>99049.49</v>
      </c>
      <c r="O452" s="478" t="str">
        <f>IFERROR(VLOOKUP(A452,[1]Approval!A:C,3,FALSE),"")</f>
        <v>FIN Approval - Internal</v>
      </c>
      <c r="P452" s="184">
        <f>IFERROR(VLOOKUP(A452,[1]Approval!A:J,10,FALSE),"")</f>
        <v>43817</v>
      </c>
      <c r="R452" s="425">
        <f>2020-YEAR(Table227[[#This Row],[In-
Service
Date]])</f>
        <v>2</v>
      </c>
      <c r="S452" s="308">
        <f>+Table227[[#This Row],[Proj To Date
Actuals]]*1.02^R452</f>
        <v>103051.08939600001</v>
      </c>
    </row>
    <row r="453" spans="1:19" x14ac:dyDescent="0.25">
      <c r="A453" s="476" t="s">
        <v>1957</v>
      </c>
      <c r="B453" s="475" t="s">
        <v>1957</v>
      </c>
      <c r="C453" s="422" t="e">
        <f>VLOOKUP(B453,'Matter &amp; CI#'!$D$4:$E$595,2,FALSE)</f>
        <v>#N/A</v>
      </c>
      <c r="D453" s="476" t="s">
        <v>1958</v>
      </c>
      <c r="E453" s="476" t="s">
        <v>10</v>
      </c>
      <c r="F453" s="476" t="s">
        <v>9</v>
      </c>
      <c r="G453" s="475" t="s">
        <v>2013</v>
      </c>
      <c r="H453" s="516"/>
      <c r="I453" s="477" t="s">
        <v>5</v>
      </c>
      <c r="J453" s="476" t="s">
        <v>6</v>
      </c>
      <c r="K453" s="476" t="s">
        <v>28</v>
      </c>
      <c r="L453" s="184">
        <v>43447</v>
      </c>
      <c r="N453" s="480">
        <v>344278.41</v>
      </c>
      <c r="O453" s="478" t="str">
        <f>IFERROR(VLOOKUP(A453,[1]Approval!A:C,3,FALSE),"")</f>
        <v>FIN Approval - Internal</v>
      </c>
      <c r="P453" s="184">
        <f>IFERROR(VLOOKUP(A453,[1]Approval!A:J,10,FALSE),"")</f>
        <v>44126</v>
      </c>
      <c r="R453" s="425">
        <f>2020-YEAR(Table227[[#This Row],[In-
Service
Date]])</f>
        <v>2</v>
      </c>
      <c r="S453" s="308">
        <f>+Table227[[#This Row],[Proj To Date
Actuals]]*1.02^R453</f>
        <v>358187.25776399998</v>
      </c>
    </row>
    <row r="454" spans="1:19" x14ac:dyDescent="0.25">
      <c r="A454" s="476" t="s">
        <v>1883</v>
      </c>
      <c r="B454" s="475" t="s">
        <v>4404</v>
      </c>
      <c r="C454" s="422" t="e">
        <f>VLOOKUP(B454,'Matter &amp; CI#'!$D$4:$E$595,2,FALSE)</f>
        <v>#N/A</v>
      </c>
      <c r="D454" s="476" t="s">
        <v>1884</v>
      </c>
      <c r="E454" s="476" t="s">
        <v>10</v>
      </c>
      <c r="F454" s="476" t="s">
        <v>9</v>
      </c>
      <c r="G454" s="475" t="s">
        <v>2013</v>
      </c>
      <c r="H454" s="516"/>
      <c r="I454" s="477" t="s">
        <v>5</v>
      </c>
      <c r="J454" s="476" t="s">
        <v>14</v>
      </c>
      <c r="K454" s="476" t="s">
        <v>28</v>
      </c>
      <c r="L454" s="184">
        <v>43465</v>
      </c>
      <c r="N454" s="480">
        <v>183267.33</v>
      </c>
      <c r="O454" s="478" t="str">
        <f>IFERROR(VLOOKUP(A454,[1]Approval!A:C,3,FALSE),"")</f>
        <v/>
      </c>
      <c r="P454" s="184" t="str">
        <f>IFERROR(VLOOKUP(A454,[1]Approval!A:J,10,FALSE),"")</f>
        <v/>
      </c>
      <c r="R454" s="425">
        <f>2020-YEAR(Table227[[#This Row],[In-
Service
Date]])</f>
        <v>2</v>
      </c>
      <c r="S454" s="308">
        <f>+Table227[[#This Row],[Proj To Date
Actuals]]*1.02^R454</f>
        <v>190671.33013199997</v>
      </c>
    </row>
    <row r="455" spans="1:19" x14ac:dyDescent="0.25">
      <c r="A455" s="476" t="s">
        <v>1959</v>
      </c>
      <c r="B455" s="475" t="s">
        <v>1959</v>
      </c>
      <c r="C455" s="422" t="e">
        <f>VLOOKUP(B455,'Matter &amp; CI#'!$D$4:$E$595,2,FALSE)</f>
        <v>#N/A</v>
      </c>
      <c r="D455" s="476" t="s">
        <v>1960</v>
      </c>
      <c r="E455" s="476" t="s">
        <v>10</v>
      </c>
      <c r="F455" s="476" t="s">
        <v>9</v>
      </c>
      <c r="G455" s="475" t="s">
        <v>2013</v>
      </c>
      <c r="H455" s="516"/>
      <c r="I455" s="477" t="s">
        <v>5</v>
      </c>
      <c r="J455" s="476" t="s">
        <v>6</v>
      </c>
      <c r="K455" s="476" t="s">
        <v>28</v>
      </c>
      <c r="L455" s="184">
        <v>43465</v>
      </c>
      <c r="N455" s="480">
        <v>823682.86</v>
      </c>
      <c r="O455" s="478" t="str">
        <f>IFERROR(VLOOKUP(A455,[1]Approval!A:C,3,FALSE),"")</f>
        <v/>
      </c>
      <c r="P455" s="184" t="str">
        <f>IFERROR(VLOOKUP(A455,[1]Approval!A:J,10,FALSE),"")</f>
        <v/>
      </c>
      <c r="R455" s="425">
        <f>2020-YEAR(Table227[[#This Row],[In-
Service
Date]])</f>
        <v>2</v>
      </c>
      <c r="S455" s="308">
        <f>+Table227[[#This Row],[Proj To Date
Actuals]]*1.02^R455</f>
        <v>856959.64754399995</v>
      </c>
    </row>
    <row r="456" spans="1:19" x14ac:dyDescent="0.25">
      <c r="A456" s="476" t="s">
        <v>218</v>
      </c>
      <c r="B456" s="475" t="s">
        <v>218</v>
      </c>
      <c r="C456" s="422" t="e">
        <f>VLOOKUP(B456,'Matter &amp; CI#'!$D$4:$E$595,2,FALSE)</f>
        <v>#N/A</v>
      </c>
      <c r="D456" s="476" t="s">
        <v>219</v>
      </c>
      <c r="E456" s="476" t="s">
        <v>10</v>
      </c>
      <c r="F456" s="476" t="s">
        <v>9</v>
      </c>
      <c r="G456" s="475" t="s">
        <v>2013</v>
      </c>
      <c r="H456" s="516"/>
      <c r="I456" s="477" t="s">
        <v>5</v>
      </c>
      <c r="J456" s="476" t="s">
        <v>6</v>
      </c>
      <c r="K456" s="476" t="s">
        <v>28</v>
      </c>
      <c r="L456" s="184">
        <v>43465</v>
      </c>
      <c r="N456" s="480">
        <v>218393.68</v>
      </c>
      <c r="O456" s="478" t="str">
        <f>IFERROR(VLOOKUP(A456,[1]Approval!A:C,3,FALSE),"")</f>
        <v/>
      </c>
      <c r="P456" s="184" t="str">
        <f>IFERROR(VLOOKUP(A456,[1]Approval!A:J,10,FALSE),"")</f>
        <v/>
      </c>
      <c r="R456" s="425">
        <f>2020-YEAR(Table227[[#This Row],[In-
Service
Date]])</f>
        <v>2</v>
      </c>
      <c r="S456" s="308">
        <f>+Table227[[#This Row],[Proj To Date
Actuals]]*1.02^R456</f>
        <v>227216.78467199998</v>
      </c>
    </row>
    <row r="457" spans="1:19" x14ac:dyDescent="0.25">
      <c r="A457" s="476" t="s">
        <v>475</v>
      </c>
      <c r="B457" s="475" t="s">
        <v>475</v>
      </c>
      <c r="C457" s="422" t="e">
        <f>VLOOKUP(B457,'Matter &amp; CI#'!$D$4:$E$595,2,FALSE)</f>
        <v>#N/A</v>
      </c>
      <c r="D457" s="476" t="s">
        <v>476</v>
      </c>
      <c r="E457" s="476" t="s">
        <v>10</v>
      </c>
      <c r="F457" s="476" t="s">
        <v>9</v>
      </c>
      <c r="G457" s="475" t="s">
        <v>2013</v>
      </c>
      <c r="H457" s="516"/>
      <c r="I457" s="477" t="s">
        <v>5</v>
      </c>
      <c r="J457" s="476" t="s">
        <v>43</v>
      </c>
      <c r="K457" s="476" t="s">
        <v>28</v>
      </c>
      <c r="L457" s="184">
        <v>43465</v>
      </c>
      <c r="N457" s="480">
        <v>77003.429999999993</v>
      </c>
      <c r="O457" s="478" t="str">
        <f>IFERROR(VLOOKUP(A457,[1]Approval!A:C,3,FALSE),"")</f>
        <v/>
      </c>
      <c r="P457" s="184" t="str">
        <f>IFERROR(VLOOKUP(A457,[1]Approval!A:J,10,FALSE),"")</f>
        <v/>
      </c>
      <c r="R457" s="425">
        <f>2020-YEAR(Table227[[#This Row],[In-
Service
Date]])</f>
        <v>2</v>
      </c>
      <c r="S457" s="308">
        <f>+Table227[[#This Row],[Proj To Date
Actuals]]*1.02^R457</f>
        <v>80114.368571999992</v>
      </c>
    </row>
    <row r="458" spans="1:19" x14ac:dyDescent="0.25">
      <c r="A458" s="476" t="s">
        <v>226</v>
      </c>
      <c r="B458" s="475" t="s">
        <v>226</v>
      </c>
      <c r="C458" s="422" t="e">
        <f>VLOOKUP(B458,'Matter &amp; CI#'!$D$4:$E$595,2,FALSE)</f>
        <v>#N/A</v>
      </c>
      <c r="D458" s="476" t="s">
        <v>227</v>
      </c>
      <c r="E458" s="476" t="s">
        <v>10</v>
      </c>
      <c r="F458" s="476" t="s">
        <v>9</v>
      </c>
      <c r="G458" s="475" t="s">
        <v>2013</v>
      </c>
      <c r="H458" s="516"/>
      <c r="I458" s="477" t="s">
        <v>5</v>
      </c>
      <c r="J458" s="476" t="s">
        <v>43</v>
      </c>
      <c r="K458" s="476" t="s">
        <v>28</v>
      </c>
      <c r="L458" s="184">
        <v>43465</v>
      </c>
      <c r="N458" s="480">
        <v>55924.13</v>
      </c>
      <c r="O458" s="478" t="str">
        <f>IFERROR(VLOOKUP(A458,[1]Approval!A:C,3,FALSE),"")</f>
        <v/>
      </c>
      <c r="P458" s="184" t="str">
        <f>IFERROR(VLOOKUP(A458,[1]Approval!A:J,10,FALSE),"")</f>
        <v/>
      </c>
      <c r="R458" s="425">
        <f>2020-YEAR(Table227[[#This Row],[In-
Service
Date]])</f>
        <v>2</v>
      </c>
      <c r="S458" s="308">
        <f>+Table227[[#This Row],[Proj To Date
Actuals]]*1.02^R458</f>
        <v>58183.464851999997</v>
      </c>
    </row>
    <row r="459" spans="1:19" x14ac:dyDescent="0.25">
      <c r="A459" s="476" t="s">
        <v>704</v>
      </c>
      <c r="B459" s="475" t="s">
        <v>704</v>
      </c>
      <c r="C459" s="422" t="e">
        <f>VLOOKUP(B459,'Matter &amp; CI#'!$D$4:$E$595,2,FALSE)</f>
        <v>#N/A</v>
      </c>
      <c r="D459" s="476" t="s">
        <v>705</v>
      </c>
      <c r="E459" s="476" t="s">
        <v>10</v>
      </c>
      <c r="F459" s="476" t="s">
        <v>9</v>
      </c>
      <c r="G459" s="475" t="s">
        <v>2013</v>
      </c>
      <c r="H459" s="516"/>
      <c r="I459" s="477" t="s">
        <v>5</v>
      </c>
      <c r="J459" s="476" t="s">
        <v>14</v>
      </c>
      <c r="K459" s="476" t="s">
        <v>28</v>
      </c>
      <c r="L459" s="184">
        <v>43465</v>
      </c>
      <c r="N459" s="480">
        <v>13994.78</v>
      </c>
      <c r="O459" s="478" t="str">
        <f>IFERROR(VLOOKUP(A459,[1]Approval!A:C,3,FALSE),"")</f>
        <v/>
      </c>
      <c r="P459" s="184" t="str">
        <f>IFERROR(VLOOKUP(A459,[1]Approval!A:J,10,FALSE),"")</f>
        <v/>
      </c>
      <c r="R459" s="425">
        <f>2020-YEAR(Table227[[#This Row],[In-
Service
Date]])</f>
        <v>2</v>
      </c>
      <c r="S459" s="308">
        <f>+Table227[[#This Row],[Proj To Date
Actuals]]*1.02^R459</f>
        <v>14560.169112000001</v>
      </c>
    </row>
    <row r="460" spans="1:19" x14ac:dyDescent="0.25">
      <c r="A460" s="476" t="s">
        <v>1190</v>
      </c>
      <c r="B460" s="475" t="s">
        <v>4543</v>
      </c>
      <c r="C460" s="422" t="e">
        <f>VLOOKUP(B460,'Matter &amp; CI#'!$D$4:$E$595,2,FALSE)</f>
        <v>#N/A</v>
      </c>
      <c r="D460" s="476" t="s">
        <v>1191</v>
      </c>
      <c r="E460" s="476" t="s">
        <v>10</v>
      </c>
      <c r="F460" s="476" t="s">
        <v>9</v>
      </c>
      <c r="G460" s="475" t="s">
        <v>2013</v>
      </c>
      <c r="H460" s="516"/>
      <c r="I460" s="477" t="s">
        <v>5</v>
      </c>
      <c r="J460" s="476" t="s">
        <v>39</v>
      </c>
      <c r="K460" s="476" t="s">
        <v>28</v>
      </c>
      <c r="L460" s="184">
        <v>43466</v>
      </c>
      <c r="N460" s="480">
        <v>2381.25</v>
      </c>
      <c r="O460" s="478" t="str">
        <f>IFERROR(VLOOKUP(A460,[1]Approval!A:C,3,FALSE),"")</f>
        <v/>
      </c>
      <c r="P460" s="184" t="str">
        <f>IFERROR(VLOOKUP(A460,[1]Approval!A:J,10,FALSE),"")</f>
        <v/>
      </c>
      <c r="R460" s="425">
        <f>2020-YEAR(Table227[[#This Row],[In-
Service
Date]])</f>
        <v>1</v>
      </c>
      <c r="S460" s="308">
        <f>+Table227[[#This Row],[Proj To Date
Actuals]]*1.02^R460</f>
        <v>2428.875</v>
      </c>
    </row>
    <row r="461" spans="1:19" x14ac:dyDescent="0.25">
      <c r="A461" s="476" t="s">
        <v>479</v>
      </c>
      <c r="B461" s="475" t="s">
        <v>479</v>
      </c>
      <c r="C461" s="422" t="e">
        <f>VLOOKUP(B461,'Matter &amp; CI#'!$D$4:$E$595,2,FALSE)</f>
        <v>#N/A</v>
      </c>
      <c r="D461" s="476" t="s">
        <v>480</v>
      </c>
      <c r="E461" s="476" t="s">
        <v>10</v>
      </c>
      <c r="F461" s="476" t="s">
        <v>9</v>
      </c>
      <c r="G461" s="475" t="s">
        <v>2013</v>
      </c>
      <c r="H461" s="516"/>
      <c r="I461" s="477" t="s">
        <v>5</v>
      </c>
      <c r="J461" s="476" t="s">
        <v>182</v>
      </c>
      <c r="K461" s="476" t="s">
        <v>28</v>
      </c>
      <c r="L461" s="184">
        <v>43466</v>
      </c>
      <c r="N461" s="480">
        <v>196573.31</v>
      </c>
      <c r="O461" s="478" t="str">
        <f>IFERROR(VLOOKUP(A461,[1]Approval!A:C,3,FALSE),"")</f>
        <v>FIN Approval - Internal</v>
      </c>
      <c r="P461" s="184">
        <f>IFERROR(VLOOKUP(A461,[1]Approval!A:J,10,FALSE),"")</f>
        <v>44151</v>
      </c>
      <c r="R461" s="425">
        <f>2020-YEAR(Table227[[#This Row],[In-
Service
Date]])</f>
        <v>1</v>
      </c>
      <c r="S461" s="308">
        <f>+Table227[[#This Row],[Proj To Date
Actuals]]*1.02^R461</f>
        <v>200504.77619999999</v>
      </c>
    </row>
    <row r="462" spans="1:19" x14ac:dyDescent="0.25">
      <c r="A462" s="476" t="s">
        <v>1732</v>
      </c>
      <c r="B462" s="475" t="s">
        <v>1732</v>
      </c>
      <c r="C462" s="422" t="e">
        <f>VLOOKUP(B462,'Matter &amp; CI#'!$D$4:$E$595,2,FALSE)</f>
        <v>#N/A</v>
      </c>
      <c r="D462" s="476" t="s">
        <v>1733</v>
      </c>
      <c r="E462" s="476" t="s">
        <v>10</v>
      </c>
      <c r="F462" s="476" t="s">
        <v>9</v>
      </c>
      <c r="G462" s="475" t="s">
        <v>2013</v>
      </c>
      <c r="H462" s="516"/>
      <c r="I462" s="477" t="s">
        <v>5</v>
      </c>
      <c r="J462" s="476" t="s">
        <v>14</v>
      </c>
      <c r="K462" s="476" t="s">
        <v>28</v>
      </c>
      <c r="L462" s="184">
        <v>43466</v>
      </c>
      <c r="N462" s="480">
        <v>89090.5</v>
      </c>
      <c r="O462" s="478" t="str">
        <f>IFERROR(VLOOKUP(A462,[1]Approval!A:C,3,FALSE),"")</f>
        <v/>
      </c>
      <c r="P462" s="184" t="str">
        <f>IFERROR(VLOOKUP(A462,[1]Approval!A:J,10,FALSE),"")</f>
        <v/>
      </c>
      <c r="R462" s="425">
        <f>2020-YEAR(Table227[[#This Row],[In-
Service
Date]])</f>
        <v>1</v>
      </c>
      <c r="S462" s="308">
        <f>+Table227[[#This Row],[Proj To Date
Actuals]]*1.02^R462</f>
        <v>90872.31</v>
      </c>
    </row>
    <row r="463" spans="1:19" x14ac:dyDescent="0.25">
      <c r="A463" s="476" t="s">
        <v>1198</v>
      </c>
      <c r="B463" s="475" t="s">
        <v>1198</v>
      </c>
      <c r="C463" s="422" t="e">
        <f>VLOOKUP(B463,'Matter &amp; CI#'!$D$4:$E$595,2,FALSE)</f>
        <v>#N/A</v>
      </c>
      <c r="D463" s="476" t="s">
        <v>1199</v>
      </c>
      <c r="E463" s="476" t="s">
        <v>10</v>
      </c>
      <c r="F463" s="476" t="s">
        <v>9</v>
      </c>
      <c r="G463" s="475" t="s">
        <v>2013</v>
      </c>
      <c r="H463" s="516"/>
      <c r="I463" s="477" t="s">
        <v>5</v>
      </c>
      <c r="J463" s="476" t="s">
        <v>14</v>
      </c>
      <c r="K463" s="476" t="s">
        <v>28</v>
      </c>
      <c r="L463" s="184">
        <v>43466</v>
      </c>
      <c r="N463" s="480">
        <v>39700.800000000003</v>
      </c>
      <c r="O463" s="478" t="str">
        <f>IFERROR(VLOOKUP(A463,[1]Approval!A:C,3,FALSE),"")</f>
        <v/>
      </c>
      <c r="P463" s="184" t="str">
        <f>IFERROR(VLOOKUP(A463,[1]Approval!A:J,10,FALSE),"")</f>
        <v/>
      </c>
      <c r="R463" s="425">
        <f>2020-YEAR(Table227[[#This Row],[In-
Service
Date]])</f>
        <v>1</v>
      </c>
      <c r="S463" s="308">
        <f>+Table227[[#This Row],[Proj To Date
Actuals]]*1.02^R463</f>
        <v>40494.816000000006</v>
      </c>
    </row>
    <row r="464" spans="1:19" x14ac:dyDescent="0.25">
      <c r="A464" s="476" t="s">
        <v>706</v>
      </c>
      <c r="B464" s="475" t="s">
        <v>706</v>
      </c>
      <c r="C464" s="422" t="e">
        <f>VLOOKUP(B464,'Matter &amp; CI#'!$D$4:$E$595,2,FALSE)</f>
        <v>#N/A</v>
      </c>
      <c r="D464" s="476" t="s">
        <v>707</v>
      </c>
      <c r="E464" s="476" t="s">
        <v>10</v>
      </c>
      <c r="F464" s="476" t="s">
        <v>9</v>
      </c>
      <c r="G464" s="475" t="s">
        <v>2013</v>
      </c>
      <c r="H464" s="516"/>
      <c r="I464" s="477" t="s">
        <v>5</v>
      </c>
      <c r="J464" s="476" t="s">
        <v>182</v>
      </c>
      <c r="K464" s="476" t="s">
        <v>7</v>
      </c>
      <c r="L464" s="184">
        <v>43489</v>
      </c>
      <c r="M464" s="184">
        <v>44136</v>
      </c>
      <c r="N464" s="480">
        <v>136026.85999999999</v>
      </c>
      <c r="O464" s="478" t="str">
        <f>IFERROR(VLOOKUP(A464,[1]Approval!A:C,3,FALSE),"")</f>
        <v>FIN Approval - Internal</v>
      </c>
      <c r="P464" s="184">
        <f>IFERROR(VLOOKUP(A464,[1]Approval!A:J,10,FALSE),"")</f>
        <v>43993</v>
      </c>
      <c r="R464" s="425">
        <f>2020-YEAR(Table227[[#This Row],[In-
Service
Date]])</f>
        <v>1</v>
      </c>
      <c r="S464" s="308">
        <f>+Table227[[#This Row],[Proj To Date
Actuals]]*1.02^R464</f>
        <v>138747.39719999998</v>
      </c>
    </row>
    <row r="465" spans="1:19" x14ac:dyDescent="0.25">
      <c r="A465" s="476" t="s">
        <v>1438</v>
      </c>
      <c r="B465" s="475" t="s">
        <v>1438</v>
      </c>
      <c r="C465" s="422" t="e">
        <f>VLOOKUP(B465,'Matter &amp; CI#'!$D$4:$E$595,2,FALSE)</f>
        <v>#N/A</v>
      </c>
      <c r="D465" s="476" t="s">
        <v>1439</v>
      </c>
      <c r="E465" s="476" t="s">
        <v>10</v>
      </c>
      <c r="F465" s="476" t="s">
        <v>9</v>
      </c>
      <c r="G465" s="475" t="s">
        <v>2013</v>
      </c>
      <c r="H465" s="516"/>
      <c r="I465" s="477" t="s">
        <v>5</v>
      </c>
      <c r="J465" s="476" t="s">
        <v>6</v>
      </c>
      <c r="K465" s="476" t="s">
        <v>28</v>
      </c>
      <c r="L465" s="184">
        <v>43496</v>
      </c>
      <c r="N465" s="480">
        <v>859625.08</v>
      </c>
      <c r="O465" s="478" t="str">
        <f>IFERROR(VLOOKUP(A465,[1]Approval!A:C,3,FALSE),"")</f>
        <v>FIN Approval - Internal</v>
      </c>
      <c r="P465" s="184">
        <f>IFERROR(VLOOKUP(A465,[1]Approval!A:J,10,FALSE),"")</f>
        <v>44161</v>
      </c>
      <c r="R465" s="425">
        <f>2020-YEAR(Table227[[#This Row],[In-
Service
Date]])</f>
        <v>1</v>
      </c>
      <c r="S465" s="308">
        <f>+Table227[[#This Row],[Proj To Date
Actuals]]*1.02^R465</f>
        <v>876817.58159999992</v>
      </c>
    </row>
    <row r="466" spans="1:19" x14ac:dyDescent="0.25">
      <c r="A466" s="476" t="s">
        <v>216</v>
      </c>
      <c r="B466" s="475" t="s">
        <v>216</v>
      </c>
      <c r="C466" s="422" t="e">
        <f>VLOOKUP(B466,'Matter &amp; CI#'!$D$4:$E$595,2,FALSE)</f>
        <v>#N/A</v>
      </c>
      <c r="D466" s="476" t="s">
        <v>217</v>
      </c>
      <c r="E466" s="476" t="s">
        <v>10</v>
      </c>
      <c r="F466" s="476" t="s">
        <v>9</v>
      </c>
      <c r="G466" s="475" t="s">
        <v>2013</v>
      </c>
      <c r="H466" s="516"/>
      <c r="I466" s="477" t="s">
        <v>5</v>
      </c>
      <c r="J466" s="476" t="s">
        <v>6</v>
      </c>
      <c r="K466" s="476" t="s">
        <v>28</v>
      </c>
      <c r="L466" s="184">
        <v>43496</v>
      </c>
      <c r="N466" s="480">
        <v>178094.24</v>
      </c>
      <c r="O466" s="478" t="str">
        <f>IFERROR(VLOOKUP(A466,[1]Approval!A:C,3,FALSE),"")</f>
        <v/>
      </c>
      <c r="P466" s="184" t="str">
        <f>IFERROR(VLOOKUP(A466,[1]Approval!A:J,10,FALSE),"")</f>
        <v/>
      </c>
      <c r="R466" s="425">
        <f>2020-YEAR(Table227[[#This Row],[In-
Service
Date]])</f>
        <v>1</v>
      </c>
      <c r="S466" s="308">
        <f>+Table227[[#This Row],[Proj To Date
Actuals]]*1.02^R466</f>
        <v>181656.12479999999</v>
      </c>
    </row>
    <row r="467" spans="1:19" x14ac:dyDescent="0.25">
      <c r="A467" s="476" t="s">
        <v>1194</v>
      </c>
      <c r="B467" s="475" t="s">
        <v>1194</v>
      </c>
      <c r="C467" s="422" t="e">
        <f>VLOOKUP(B467,'Matter &amp; CI#'!$D$4:$E$595,2,FALSE)</f>
        <v>#N/A</v>
      </c>
      <c r="D467" s="476" t="s">
        <v>1195</v>
      </c>
      <c r="E467" s="476" t="s">
        <v>10</v>
      </c>
      <c r="F467" s="476" t="s">
        <v>9</v>
      </c>
      <c r="G467" s="475" t="s">
        <v>2013</v>
      </c>
      <c r="H467" s="516"/>
      <c r="I467" s="477" t="s">
        <v>5</v>
      </c>
      <c r="J467" s="476" t="s">
        <v>14</v>
      </c>
      <c r="K467" s="476" t="s">
        <v>28</v>
      </c>
      <c r="L467" s="184">
        <v>43496</v>
      </c>
      <c r="N467" s="480">
        <v>754426.93</v>
      </c>
      <c r="O467" s="478" t="str">
        <f>IFERROR(VLOOKUP(A467,[1]Approval!A:C,3,FALSE),"")</f>
        <v/>
      </c>
      <c r="P467" s="184" t="str">
        <f>IFERROR(VLOOKUP(A467,[1]Approval!A:J,10,FALSE),"")</f>
        <v/>
      </c>
      <c r="R467" s="425">
        <f>2020-YEAR(Table227[[#This Row],[In-
Service
Date]])</f>
        <v>1</v>
      </c>
      <c r="S467" s="308">
        <f>+Table227[[#This Row],[Proj To Date
Actuals]]*1.02^R467</f>
        <v>769515.46860000002</v>
      </c>
    </row>
    <row r="468" spans="1:19" x14ac:dyDescent="0.25">
      <c r="A468" s="476" t="s">
        <v>1987</v>
      </c>
      <c r="B468" s="475" t="s">
        <v>1987</v>
      </c>
      <c r="C468" s="422" t="e">
        <f>VLOOKUP(B468,'Matter &amp; CI#'!$D$4:$E$595,2,FALSE)</f>
        <v>#N/A</v>
      </c>
      <c r="D468" s="476" t="s">
        <v>1988</v>
      </c>
      <c r="E468" s="476" t="s">
        <v>10</v>
      </c>
      <c r="F468" s="476" t="s">
        <v>9</v>
      </c>
      <c r="G468" s="475" t="s">
        <v>2013</v>
      </c>
      <c r="H468" s="516"/>
      <c r="I468" s="477" t="s">
        <v>5</v>
      </c>
      <c r="J468" s="476" t="s">
        <v>14</v>
      </c>
      <c r="K468" s="476" t="s">
        <v>28</v>
      </c>
      <c r="L468" s="184">
        <v>43496</v>
      </c>
      <c r="N468" s="480">
        <v>835156.17</v>
      </c>
      <c r="O468" s="478" t="str">
        <f>IFERROR(VLOOKUP(A468,[1]Approval!A:C,3,FALSE),"")</f>
        <v/>
      </c>
      <c r="P468" s="184" t="str">
        <f>IFERROR(VLOOKUP(A468,[1]Approval!A:J,10,FALSE),"")</f>
        <v/>
      </c>
      <c r="R468" s="425">
        <f>2020-YEAR(Table227[[#This Row],[In-
Service
Date]])</f>
        <v>1</v>
      </c>
      <c r="S468" s="308">
        <f>+Table227[[#This Row],[Proj To Date
Actuals]]*1.02^R468</f>
        <v>851859.29340000008</v>
      </c>
    </row>
    <row r="469" spans="1:19" x14ac:dyDescent="0.25">
      <c r="A469" s="476" t="s">
        <v>1989</v>
      </c>
      <c r="B469" s="475" t="s">
        <v>1989</v>
      </c>
      <c r="C469" s="422" t="e">
        <f>VLOOKUP(B469,'Matter &amp; CI#'!$D$4:$E$595,2,FALSE)</f>
        <v>#N/A</v>
      </c>
      <c r="D469" s="476" t="s">
        <v>1990</v>
      </c>
      <c r="E469" s="476" t="s">
        <v>10</v>
      </c>
      <c r="F469" s="476" t="s">
        <v>9</v>
      </c>
      <c r="G469" s="475" t="s">
        <v>2013</v>
      </c>
      <c r="H469" s="516"/>
      <c r="I469" s="477" t="s">
        <v>5</v>
      </c>
      <c r="J469" s="476" t="s">
        <v>14</v>
      </c>
      <c r="K469" s="476" t="s">
        <v>28</v>
      </c>
      <c r="L469" s="184">
        <v>43496</v>
      </c>
      <c r="N469" s="480">
        <v>675291.78</v>
      </c>
      <c r="O469" s="478" t="str">
        <f>IFERROR(VLOOKUP(A469,[1]Approval!A:C,3,FALSE),"")</f>
        <v/>
      </c>
      <c r="P469" s="184" t="str">
        <f>IFERROR(VLOOKUP(A469,[1]Approval!A:J,10,FALSE),"")</f>
        <v/>
      </c>
      <c r="R469" s="425">
        <f>2020-YEAR(Table227[[#This Row],[In-
Service
Date]])</f>
        <v>1</v>
      </c>
      <c r="S469" s="308">
        <f>+Table227[[#This Row],[Proj To Date
Actuals]]*1.02^R469</f>
        <v>688797.61560000002</v>
      </c>
    </row>
    <row r="470" spans="1:19" x14ac:dyDescent="0.25">
      <c r="A470" s="476" t="s">
        <v>1460</v>
      </c>
      <c r="B470" s="475" t="s">
        <v>1460</v>
      </c>
      <c r="C470" s="422" t="e">
        <f>VLOOKUP(B470,'Matter &amp; CI#'!$D$4:$E$595,2,FALSE)</f>
        <v>#N/A</v>
      </c>
      <c r="D470" s="476" t="s">
        <v>1461</v>
      </c>
      <c r="E470" s="476" t="s">
        <v>10</v>
      </c>
      <c r="F470" s="476" t="s">
        <v>9</v>
      </c>
      <c r="G470" s="475" t="s">
        <v>2013</v>
      </c>
      <c r="H470" s="516"/>
      <c r="I470" s="477" t="s">
        <v>5</v>
      </c>
      <c r="J470" s="476" t="s">
        <v>14</v>
      </c>
      <c r="K470" s="476" t="s">
        <v>28</v>
      </c>
      <c r="L470" s="184">
        <v>43496</v>
      </c>
      <c r="N470" s="480">
        <v>615730.19999999995</v>
      </c>
      <c r="O470" s="478" t="str">
        <f>IFERROR(VLOOKUP(A470,[1]Approval!A:C,3,FALSE),"")</f>
        <v/>
      </c>
      <c r="P470" s="184" t="str">
        <f>IFERROR(VLOOKUP(A470,[1]Approval!A:J,10,FALSE),"")</f>
        <v/>
      </c>
      <c r="R470" s="425">
        <f>2020-YEAR(Table227[[#This Row],[In-
Service
Date]])</f>
        <v>1</v>
      </c>
      <c r="S470" s="308">
        <f>+Table227[[#This Row],[Proj To Date
Actuals]]*1.02^R470</f>
        <v>628044.804</v>
      </c>
    </row>
    <row r="471" spans="1:19" x14ac:dyDescent="0.25">
      <c r="A471" s="476" t="s">
        <v>1466</v>
      </c>
      <c r="B471" s="475" t="s">
        <v>1466</v>
      </c>
      <c r="C471" s="422" t="str">
        <f>VLOOKUP(B471,'Matter &amp; CI#'!$D$4:$E$595,2,FALSE)</f>
        <v>M09207</v>
      </c>
      <c r="D471" s="476" t="s">
        <v>1467</v>
      </c>
      <c r="E471" s="476" t="s">
        <v>10</v>
      </c>
      <c r="F471" s="476" t="s">
        <v>9</v>
      </c>
      <c r="G471" s="475" t="s">
        <v>2013</v>
      </c>
      <c r="H471" s="516"/>
      <c r="I471" s="477" t="s">
        <v>5</v>
      </c>
      <c r="J471" s="476" t="s">
        <v>6</v>
      </c>
      <c r="K471" s="476" t="s">
        <v>28</v>
      </c>
      <c r="L471" s="184">
        <v>43496</v>
      </c>
      <c r="N471" s="480">
        <v>1246543.78</v>
      </c>
      <c r="O471" s="478" t="str">
        <f>IFERROR(VLOOKUP(A471,[1]Approval!A:C,3,FALSE),"")</f>
        <v/>
      </c>
      <c r="P471" s="184" t="str">
        <f>IFERROR(VLOOKUP(A471,[1]Approval!A:J,10,FALSE),"")</f>
        <v/>
      </c>
      <c r="R471" s="425">
        <f>2020-YEAR(Table227[[#This Row],[In-
Service
Date]])</f>
        <v>1</v>
      </c>
      <c r="S471" s="308">
        <f>+Table227[[#This Row],[Proj To Date
Actuals]]*1.02^R471</f>
        <v>1271474.6555999999</v>
      </c>
    </row>
    <row r="472" spans="1:19" x14ac:dyDescent="0.25">
      <c r="A472" s="476" t="s">
        <v>1993</v>
      </c>
      <c r="B472" s="475" t="s">
        <v>1993</v>
      </c>
      <c r="C472" s="422" t="e">
        <f>VLOOKUP(B472,'Matter &amp; CI#'!$D$4:$E$595,2,FALSE)</f>
        <v>#N/A</v>
      </c>
      <c r="D472" s="476" t="s">
        <v>1994</v>
      </c>
      <c r="E472" s="476" t="s">
        <v>10</v>
      </c>
      <c r="F472" s="476" t="s">
        <v>9</v>
      </c>
      <c r="G472" s="475" t="s">
        <v>2013</v>
      </c>
      <c r="H472" s="516"/>
      <c r="I472" s="477" t="s">
        <v>5</v>
      </c>
      <c r="J472" s="476" t="s">
        <v>14</v>
      </c>
      <c r="K472" s="476" t="s">
        <v>28</v>
      </c>
      <c r="L472" s="184">
        <v>43497</v>
      </c>
      <c r="N472" s="480">
        <v>143379.96</v>
      </c>
      <c r="O472" s="478" t="str">
        <f>IFERROR(VLOOKUP(A472,[1]Approval!A:C,3,FALSE),"")</f>
        <v/>
      </c>
      <c r="P472" s="184" t="str">
        <f>IFERROR(VLOOKUP(A472,[1]Approval!A:J,10,FALSE),"")</f>
        <v/>
      </c>
      <c r="R472" s="425">
        <f>2020-YEAR(Table227[[#This Row],[In-
Service
Date]])</f>
        <v>1</v>
      </c>
      <c r="S472" s="308">
        <f>+Table227[[#This Row],[Proj To Date
Actuals]]*1.02^R472</f>
        <v>146247.55919999999</v>
      </c>
    </row>
    <row r="473" spans="1:19" x14ac:dyDescent="0.25">
      <c r="A473" s="476" t="s">
        <v>955</v>
      </c>
      <c r="B473" s="475" t="s">
        <v>955</v>
      </c>
      <c r="C473" s="422" t="e">
        <f>VLOOKUP(B473,'Matter &amp; CI#'!$D$4:$E$595,2,FALSE)</f>
        <v>#N/A</v>
      </c>
      <c r="D473" s="476" t="s">
        <v>956</v>
      </c>
      <c r="E473" s="476" t="s">
        <v>10</v>
      </c>
      <c r="F473" s="476" t="s">
        <v>9</v>
      </c>
      <c r="G473" s="475" t="s">
        <v>2013</v>
      </c>
      <c r="H473" s="516"/>
      <c r="I473" s="477" t="s">
        <v>5</v>
      </c>
      <c r="J473" s="476" t="s">
        <v>182</v>
      </c>
      <c r="K473" s="476" t="s">
        <v>28</v>
      </c>
      <c r="L473" s="184">
        <v>43520</v>
      </c>
      <c r="N473" s="480">
        <v>598578.15</v>
      </c>
      <c r="O473" s="478" t="str">
        <f>IFERROR(VLOOKUP(A473,[1]Approval!A:C,3,FALSE),"")</f>
        <v>FIN Approval - Internal</v>
      </c>
      <c r="P473" s="184">
        <f>IFERROR(VLOOKUP(A473,[1]Approval!A:J,10,FALSE),"")</f>
        <v>44151</v>
      </c>
      <c r="R473" s="425">
        <f>2020-YEAR(Table227[[#This Row],[In-
Service
Date]])</f>
        <v>1</v>
      </c>
      <c r="S473" s="308">
        <f>+Table227[[#This Row],[Proj To Date
Actuals]]*1.02^R473</f>
        <v>610549.71299999999</v>
      </c>
    </row>
    <row r="474" spans="1:19" x14ac:dyDescent="0.25">
      <c r="A474" s="476" t="s">
        <v>1450</v>
      </c>
      <c r="B474" s="475" t="s">
        <v>1450</v>
      </c>
      <c r="C474" s="422" t="e">
        <f>VLOOKUP(B474,'Matter &amp; CI#'!$D$4:$E$595,2,FALSE)</f>
        <v>#N/A</v>
      </c>
      <c r="D474" s="476" t="s">
        <v>1451</v>
      </c>
      <c r="E474" s="476" t="s">
        <v>10</v>
      </c>
      <c r="F474" s="476" t="s">
        <v>9</v>
      </c>
      <c r="G474" s="475" t="s">
        <v>2013</v>
      </c>
      <c r="H474" s="516"/>
      <c r="I474" s="477" t="s">
        <v>5</v>
      </c>
      <c r="J474" s="476" t="s">
        <v>6</v>
      </c>
      <c r="K474" s="476" t="s">
        <v>28</v>
      </c>
      <c r="L474" s="184">
        <v>43524</v>
      </c>
      <c r="N474" s="480">
        <v>1433658.07</v>
      </c>
      <c r="O474" s="478" t="str">
        <f>IFERROR(VLOOKUP(A474,[1]Approval!A:C,3,FALSE),"")</f>
        <v/>
      </c>
      <c r="P474" s="184" t="str">
        <f>IFERROR(VLOOKUP(A474,[1]Approval!A:J,10,FALSE),"")</f>
        <v/>
      </c>
      <c r="R474" s="425">
        <f>2020-YEAR(Table227[[#This Row],[In-
Service
Date]])</f>
        <v>1</v>
      </c>
      <c r="S474" s="308">
        <f>+Table227[[#This Row],[Proj To Date
Actuals]]*1.02^R474</f>
        <v>1462331.2314000002</v>
      </c>
    </row>
    <row r="475" spans="1:19" x14ac:dyDescent="0.25">
      <c r="A475" s="476" t="s">
        <v>231</v>
      </c>
      <c r="B475" s="475" t="s">
        <v>231</v>
      </c>
      <c r="C475" s="422" t="e">
        <f>VLOOKUP(B475,'Matter &amp; CI#'!$D$4:$E$595,2,FALSE)</f>
        <v>#N/A</v>
      </c>
      <c r="D475" s="476" t="s">
        <v>232</v>
      </c>
      <c r="E475" s="476" t="s">
        <v>10</v>
      </c>
      <c r="F475" s="476" t="s">
        <v>9</v>
      </c>
      <c r="G475" s="475" t="s">
        <v>2013</v>
      </c>
      <c r="H475" s="516"/>
      <c r="I475" s="477" t="s">
        <v>5</v>
      </c>
      <c r="J475" s="476" t="s">
        <v>14</v>
      </c>
      <c r="K475" s="476" t="s">
        <v>7</v>
      </c>
      <c r="L475" s="184">
        <v>43525</v>
      </c>
      <c r="M475" s="184">
        <v>44136</v>
      </c>
      <c r="N475" s="480">
        <v>146465.92000000001</v>
      </c>
      <c r="O475" s="478" t="str">
        <f>IFERROR(VLOOKUP(A475,[1]Approval!A:C,3,FALSE),"")</f>
        <v>FIN Approval - Internal</v>
      </c>
      <c r="P475" s="184">
        <f>IFERROR(VLOOKUP(A475,[1]Approval!A:J,10,FALSE),"")</f>
        <v>44055</v>
      </c>
      <c r="R475" s="425">
        <f>2020-YEAR(Table227[[#This Row],[In-
Service
Date]])</f>
        <v>1</v>
      </c>
      <c r="S475" s="308">
        <f>+Table227[[#This Row],[Proj To Date
Actuals]]*1.02^R475</f>
        <v>149395.2384</v>
      </c>
    </row>
    <row r="476" spans="1:19" x14ac:dyDescent="0.25">
      <c r="A476" s="476" t="s">
        <v>229</v>
      </c>
      <c r="B476" s="475" t="s">
        <v>229</v>
      </c>
      <c r="C476" s="422" t="e">
        <f>VLOOKUP(B476,'Matter &amp; CI#'!$D$4:$E$595,2,FALSE)</f>
        <v>#N/A</v>
      </c>
      <c r="D476" s="476" t="s">
        <v>230</v>
      </c>
      <c r="E476" s="476" t="s">
        <v>10</v>
      </c>
      <c r="F476" s="476" t="s">
        <v>9</v>
      </c>
      <c r="G476" s="475" t="s">
        <v>2013</v>
      </c>
      <c r="H476" s="516"/>
      <c r="I476" s="477" t="s">
        <v>5</v>
      </c>
      <c r="J476" s="476" t="s">
        <v>14</v>
      </c>
      <c r="K476" s="476" t="s">
        <v>28</v>
      </c>
      <c r="L476" s="184">
        <v>43556</v>
      </c>
      <c r="N476" s="480">
        <v>154930.60999999999</v>
      </c>
      <c r="O476" s="478" t="str">
        <f>IFERROR(VLOOKUP(A476,[1]Approval!A:C,3,FALSE),"")</f>
        <v/>
      </c>
      <c r="P476" s="184" t="str">
        <f>IFERROR(VLOOKUP(A476,[1]Approval!A:J,10,FALSE),"")</f>
        <v/>
      </c>
      <c r="R476" s="425">
        <f>2020-YEAR(Table227[[#This Row],[In-
Service
Date]])</f>
        <v>1</v>
      </c>
      <c r="S476" s="308">
        <f>+Table227[[#This Row],[Proj To Date
Actuals]]*1.02^R476</f>
        <v>158029.22219999999</v>
      </c>
    </row>
    <row r="477" spans="1:19" x14ac:dyDescent="0.25">
      <c r="A477" s="476" t="s">
        <v>953</v>
      </c>
      <c r="B477" s="475" t="s">
        <v>953</v>
      </c>
      <c r="C477" s="422" t="e">
        <f>VLOOKUP(B477,'Matter &amp; CI#'!$D$4:$E$595,2,FALSE)</f>
        <v>#N/A</v>
      </c>
      <c r="D477" s="476" t="s">
        <v>954</v>
      </c>
      <c r="E477" s="476" t="s">
        <v>10</v>
      </c>
      <c r="F477" s="476" t="s">
        <v>9</v>
      </c>
      <c r="G477" s="475" t="s">
        <v>2013</v>
      </c>
      <c r="H477" s="516"/>
      <c r="I477" s="477" t="s">
        <v>5</v>
      </c>
      <c r="J477" s="476" t="s">
        <v>12</v>
      </c>
      <c r="K477" s="476" t="s">
        <v>28</v>
      </c>
      <c r="L477" s="184">
        <v>43556</v>
      </c>
      <c r="N477" s="480">
        <v>163732.01999999999</v>
      </c>
      <c r="O477" s="478" t="str">
        <f>IFERROR(VLOOKUP(A477,[1]Approval!A:C,3,FALSE),"")</f>
        <v/>
      </c>
      <c r="P477" s="184" t="str">
        <f>IFERROR(VLOOKUP(A477,[1]Approval!A:J,10,FALSE),"")</f>
        <v/>
      </c>
      <c r="R477" s="425">
        <f>2020-YEAR(Table227[[#This Row],[In-
Service
Date]])</f>
        <v>1</v>
      </c>
      <c r="S477" s="308">
        <f>+Table227[[#This Row],[Proj To Date
Actuals]]*1.02^R477</f>
        <v>167006.66039999999</v>
      </c>
    </row>
    <row r="478" spans="1:19" x14ac:dyDescent="0.25">
      <c r="A478" s="476" t="s">
        <v>233</v>
      </c>
      <c r="B478" s="475" t="s">
        <v>233</v>
      </c>
      <c r="C478" s="422" t="e">
        <f>VLOOKUP(B478,'Matter &amp; CI#'!$D$4:$E$595,2,FALSE)</f>
        <v>#N/A</v>
      </c>
      <c r="D478" s="476" t="s">
        <v>234</v>
      </c>
      <c r="E478" s="476" t="s">
        <v>10</v>
      </c>
      <c r="F478" s="476" t="s">
        <v>9</v>
      </c>
      <c r="G478" s="475" t="s">
        <v>2013</v>
      </c>
      <c r="H478" s="516"/>
      <c r="I478" s="477" t="s">
        <v>5</v>
      </c>
      <c r="J478" s="476" t="s">
        <v>39</v>
      </c>
      <c r="K478" s="476" t="s">
        <v>7</v>
      </c>
      <c r="L478" s="184">
        <v>43573</v>
      </c>
      <c r="M478" s="184">
        <v>44136</v>
      </c>
      <c r="N478" s="481">
        <v>94633.58</v>
      </c>
      <c r="O478" s="478" t="str">
        <f>IFERROR(VLOOKUP(A478,[1]Approval!A:C,3,FALSE),"")</f>
        <v>FIN Approval - Internal</v>
      </c>
      <c r="P478" s="184">
        <f>IFERROR(VLOOKUP(A478,[1]Approval!A:J,10,FALSE),"")</f>
        <v>44055</v>
      </c>
      <c r="R478" s="425">
        <f>2020-YEAR(Table227[[#This Row],[In-
Service
Date]])</f>
        <v>1</v>
      </c>
      <c r="S478" s="308">
        <f>+Table227[[#This Row],[Proj To Date
Actuals]]*1.02^R478</f>
        <v>96526.251600000003</v>
      </c>
    </row>
    <row r="479" spans="1:19" x14ac:dyDescent="0.25">
      <c r="A479" s="476" t="s">
        <v>1120</v>
      </c>
      <c r="B479" s="475" t="s">
        <v>4498</v>
      </c>
      <c r="C479" s="422" t="e">
        <f>VLOOKUP(B479,'Matter &amp; CI#'!$D$4:$E$595,2,FALSE)</f>
        <v>#N/A</v>
      </c>
      <c r="D479" s="476" t="s">
        <v>1121</v>
      </c>
      <c r="E479" s="476" t="s">
        <v>10</v>
      </c>
      <c r="F479" s="476" t="s">
        <v>9</v>
      </c>
      <c r="G479" s="475" t="s">
        <v>2013</v>
      </c>
      <c r="H479" s="516"/>
      <c r="I479" s="477" t="s">
        <v>5</v>
      </c>
      <c r="J479" s="476" t="s">
        <v>14</v>
      </c>
      <c r="K479" s="476" t="s">
        <v>28</v>
      </c>
      <c r="L479" s="184">
        <v>43585</v>
      </c>
      <c r="N479" s="480">
        <v>34852.639999999999</v>
      </c>
      <c r="O479" s="478" t="str">
        <f>IFERROR(VLOOKUP(A479,[1]Approval!A:C,3,FALSE),"")</f>
        <v/>
      </c>
      <c r="P479" s="184" t="str">
        <f>IFERROR(VLOOKUP(A479,[1]Approval!A:J,10,FALSE),"")</f>
        <v/>
      </c>
      <c r="R479" s="425">
        <f>2020-YEAR(Table227[[#This Row],[In-
Service
Date]])</f>
        <v>1</v>
      </c>
      <c r="S479" s="308">
        <f>+Table227[[#This Row],[Proj To Date
Actuals]]*1.02^R479</f>
        <v>35549.692799999997</v>
      </c>
    </row>
    <row r="480" spans="1:19" x14ac:dyDescent="0.25">
      <c r="A480" s="476" t="s">
        <v>720</v>
      </c>
      <c r="B480" s="475" t="s">
        <v>720</v>
      </c>
      <c r="C480" s="422" t="e">
        <f>VLOOKUP(B480,'Matter &amp; CI#'!$D$4:$E$595,2,FALSE)</f>
        <v>#N/A</v>
      </c>
      <c r="D480" s="476" t="s">
        <v>721</v>
      </c>
      <c r="E480" s="476" t="s">
        <v>10</v>
      </c>
      <c r="F480" s="476" t="s">
        <v>9</v>
      </c>
      <c r="G480" s="475" t="s">
        <v>2013</v>
      </c>
      <c r="H480" s="516"/>
      <c r="I480" s="477" t="s">
        <v>5</v>
      </c>
      <c r="J480" s="476" t="s">
        <v>131</v>
      </c>
      <c r="K480" s="476" t="s">
        <v>28</v>
      </c>
      <c r="L480" s="184">
        <v>43585</v>
      </c>
      <c r="N480" s="480">
        <v>212.85</v>
      </c>
      <c r="O480" s="478" t="str">
        <f>IFERROR(VLOOKUP(A480,[1]Approval!A:C,3,FALSE),"")</f>
        <v/>
      </c>
      <c r="P480" s="184" t="str">
        <f>IFERROR(VLOOKUP(A480,[1]Approval!A:J,10,FALSE),"")</f>
        <v/>
      </c>
      <c r="R480" s="425">
        <f>2020-YEAR(Table227[[#This Row],[In-
Service
Date]])</f>
        <v>1</v>
      </c>
      <c r="S480" s="308">
        <f>+Table227[[#This Row],[Proj To Date
Actuals]]*1.02^R480</f>
        <v>217.107</v>
      </c>
    </row>
    <row r="481" spans="1:19" x14ac:dyDescent="0.25">
      <c r="A481" s="476" t="s">
        <v>477</v>
      </c>
      <c r="B481" s="475" t="s">
        <v>477</v>
      </c>
      <c r="C481" s="422" t="e">
        <f>VLOOKUP(B481,'Matter &amp; CI#'!$D$4:$E$595,2,FALSE)</f>
        <v>#N/A</v>
      </c>
      <c r="D481" s="476" t="s">
        <v>478</v>
      </c>
      <c r="E481" s="476" t="s">
        <v>10</v>
      </c>
      <c r="F481" s="476" t="s">
        <v>9</v>
      </c>
      <c r="G481" s="475" t="s">
        <v>2013</v>
      </c>
      <c r="H481" s="516"/>
      <c r="I481" s="477" t="s">
        <v>5</v>
      </c>
      <c r="J481" s="476" t="s">
        <v>43</v>
      </c>
      <c r="K481" s="476" t="s">
        <v>7</v>
      </c>
      <c r="L481" s="184">
        <v>43585</v>
      </c>
      <c r="M481" s="184">
        <v>44136</v>
      </c>
      <c r="N481" s="480">
        <v>178706.06</v>
      </c>
      <c r="O481" s="478" t="str">
        <f>IFERROR(VLOOKUP(A481,[1]Approval!A:C,3,FALSE),"")</f>
        <v>FIN Approval - Internal</v>
      </c>
      <c r="P481" s="184">
        <f>IFERROR(VLOOKUP(A481,[1]Approval!A:J,10,FALSE),"")</f>
        <v>44055</v>
      </c>
      <c r="R481" s="425">
        <f>2020-YEAR(Table227[[#This Row],[In-
Service
Date]])</f>
        <v>1</v>
      </c>
      <c r="S481" s="308">
        <f>+Table227[[#This Row],[Proj To Date
Actuals]]*1.02^R481</f>
        <v>182280.18119999999</v>
      </c>
    </row>
    <row r="482" spans="1:19" x14ac:dyDescent="0.25">
      <c r="A482" s="476" t="s">
        <v>1456</v>
      </c>
      <c r="B482" s="475" t="s">
        <v>1456</v>
      </c>
      <c r="C482" s="422" t="e">
        <f>VLOOKUP(B482,'Matter &amp; CI#'!$D$4:$E$595,2,FALSE)</f>
        <v>#N/A</v>
      </c>
      <c r="D482" s="476" t="s">
        <v>1457</v>
      </c>
      <c r="E482" s="476" t="s">
        <v>10</v>
      </c>
      <c r="F482" s="476" t="s">
        <v>9</v>
      </c>
      <c r="G482" s="475" t="s">
        <v>2013</v>
      </c>
      <c r="H482" s="516"/>
      <c r="I482" s="477" t="s">
        <v>5</v>
      </c>
      <c r="J482" s="476" t="s">
        <v>14</v>
      </c>
      <c r="K482" s="476" t="s">
        <v>28</v>
      </c>
      <c r="L482" s="184">
        <v>43585</v>
      </c>
      <c r="N482" s="480">
        <v>151314.51999999999</v>
      </c>
      <c r="O482" s="478" t="str">
        <f>IFERROR(VLOOKUP(A482,[1]Approval!A:C,3,FALSE),"")</f>
        <v/>
      </c>
      <c r="P482" s="184" t="str">
        <f>IFERROR(VLOOKUP(A482,[1]Approval!A:J,10,FALSE),"")</f>
        <v/>
      </c>
      <c r="R482" s="425">
        <f>2020-YEAR(Table227[[#This Row],[In-
Service
Date]])</f>
        <v>1</v>
      </c>
      <c r="S482" s="308">
        <f>+Table227[[#This Row],[Proj To Date
Actuals]]*1.02^R482</f>
        <v>154340.81039999999</v>
      </c>
    </row>
    <row r="483" spans="1:19" x14ac:dyDescent="0.25">
      <c r="A483" s="476" t="s">
        <v>1200</v>
      </c>
      <c r="B483" s="475" t="s">
        <v>1200</v>
      </c>
      <c r="C483" s="422" t="e">
        <f>VLOOKUP(B483,'Matter &amp; CI#'!$D$4:$E$595,2,FALSE)</f>
        <v>#N/A</v>
      </c>
      <c r="D483" s="476" t="s">
        <v>1201</v>
      </c>
      <c r="E483" s="476" t="s">
        <v>10</v>
      </c>
      <c r="F483" s="476" t="s">
        <v>9</v>
      </c>
      <c r="G483" s="475" t="s">
        <v>2013</v>
      </c>
      <c r="H483" s="516"/>
      <c r="I483" s="477" t="s">
        <v>5</v>
      </c>
      <c r="J483" s="476" t="s">
        <v>131</v>
      </c>
      <c r="K483" s="476" t="s">
        <v>7</v>
      </c>
      <c r="L483" s="184">
        <v>43586</v>
      </c>
      <c r="M483" s="184">
        <v>44136</v>
      </c>
      <c r="N483" s="480">
        <v>76692.84</v>
      </c>
      <c r="O483" s="478" t="str">
        <f>IFERROR(VLOOKUP(A483,[1]Approval!A:C,3,FALSE),"")</f>
        <v>FIN Approval - Internal</v>
      </c>
      <c r="P483" s="184">
        <f>IFERROR(VLOOKUP(A483,[1]Approval!A:J,10,FALSE),"")</f>
        <v>44055</v>
      </c>
      <c r="R483" s="425">
        <f>2020-YEAR(Table227[[#This Row],[In-
Service
Date]])</f>
        <v>1</v>
      </c>
      <c r="S483" s="308">
        <f>+Table227[[#This Row],[Proj To Date
Actuals]]*1.02^R483</f>
        <v>78226.696799999991</v>
      </c>
    </row>
    <row r="484" spans="1:19" x14ac:dyDescent="0.25">
      <c r="A484" s="476" t="s">
        <v>684</v>
      </c>
      <c r="B484" s="475" t="s">
        <v>684</v>
      </c>
      <c r="C484" s="422" t="e">
        <f>VLOOKUP(B484,'Matter &amp; CI#'!$D$4:$E$595,2,FALSE)</f>
        <v>#N/A</v>
      </c>
      <c r="D484" s="476" t="s">
        <v>685</v>
      </c>
      <c r="E484" s="476" t="s">
        <v>10</v>
      </c>
      <c r="F484" s="476" t="s">
        <v>9</v>
      </c>
      <c r="G484" s="475" t="s">
        <v>2013</v>
      </c>
      <c r="H484" s="516"/>
      <c r="I484" s="477" t="s">
        <v>5</v>
      </c>
      <c r="J484" s="476" t="s">
        <v>6</v>
      </c>
      <c r="K484" s="476" t="s">
        <v>7</v>
      </c>
      <c r="L484" s="184">
        <v>43616</v>
      </c>
      <c r="M484" s="184">
        <v>44136</v>
      </c>
      <c r="N484" s="480">
        <v>130761.2</v>
      </c>
      <c r="O484" s="478" t="str">
        <f>IFERROR(VLOOKUP(A484,[1]Approval!A:C,3,FALSE),"")</f>
        <v>FIN Approval - Internal</v>
      </c>
      <c r="P484" s="184">
        <f>IFERROR(VLOOKUP(A484,[1]Approval!A:J,10,FALSE),"")</f>
        <v>44055</v>
      </c>
      <c r="R484" s="425">
        <f>2020-YEAR(Table227[[#This Row],[In-
Service
Date]])</f>
        <v>1</v>
      </c>
      <c r="S484" s="308">
        <f>+Table227[[#This Row],[Proj To Date
Actuals]]*1.02^R484</f>
        <v>133376.424</v>
      </c>
    </row>
    <row r="485" spans="1:19" x14ac:dyDescent="0.25">
      <c r="A485" s="476" t="s">
        <v>1196</v>
      </c>
      <c r="B485" s="475" t="s">
        <v>1196</v>
      </c>
      <c r="C485" s="422" t="e">
        <f>VLOOKUP(B485,'Matter &amp; CI#'!$D$4:$E$595,2,FALSE)</f>
        <v>#N/A</v>
      </c>
      <c r="D485" s="476" t="s">
        <v>1197</v>
      </c>
      <c r="E485" s="476" t="s">
        <v>10</v>
      </c>
      <c r="F485" s="476" t="s">
        <v>9</v>
      </c>
      <c r="G485" s="475" t="s">
        <v>2013</v>
      </c>
      <c r="H485" s="516"/>
      <c r="I485" s="477" t="s">
        <v>5</v>
      </c>
      <c r="J485" s="476" t="s">
        <v>12</v>
      </c>
      <c r="K485" s="476" t="s">
        <v>28</v>
      </c>
      <c r="L485" s="184">
        <v>43616</v>
      </c>
      <c r="N485" s="480">
        <v>103476.86</v>
      </c>
      <c r="O485" s="478" t="str">
        <f>IFERROR(VLOOKUP(A485,[1]Approval!A:C,3,FALSE),"")</f>
        <v/>
      </c>
      <c r="P485" s="184" t="str">
        <f>IFERROR(VLOOKUP(A485,[1]Approval!A:J,10,FALSE),"")</f>
        <v/>
      </c>
      <c r="R485" s="425">
        <f>2020-YEAR(Table227[[#This Row],[In-
Service
Date]])</f>
        <v>1</v>
      </c>
      <c r="S485" s="308">
        <f>+Table227[[#This Row],[Proj To Date
Actuals]]*1.02^R485</f>
        <v>105546.39720000001</v>
      </c>
    </row>
    <row r="486" spans="1:19" x14ac:dyDescent="0.25">
      <c r="A486" s="476" t="s">
        <v>1202</v>
      </c>
      <c r="B486" s="475" t="s">
        <v>1202</v>
      </c>
      <c r="C486" s="422" t="e">
        <f>VLOOKUP(B486,'Matter &amp; CI#'!$D$4:$E$595,2,FALSE)</f>
        <v>#N/A</v>
      </c>
      <c r="D486" s="476" t="s">
        <v>1203</v>
      </c>
      <c r="E486" s="476" t="s">
        <v>10</v>
      </c>
      <c r="F486" s="476" t="s">
        <v>9</v>
      </c>
      <c r="G486" s="475" t="s">
        <v>2013</v>
      </c>
      <c r="H486" s="516"/>
      <c r="I486" s="477" t="s">
        <v>5</v>
      </c>
      <c r="J486" s="476" t="s">
        <v>14</v>
      </c>
      <c r="K486" s="476" t="s">
        <v>28</v>
      </c>
      <c r="L486" s="184">
        <v>43617</v>
      </c>
      <c r="N486" s="480">
        <v>37833.07</v>
      </c>
      <c r="O486" s="478" t="str">
        <f>IFERROR(VLOOKUP(A486,[1]Approval!A:C,3,FALSE),"")</f>
        <v/>
      </c>
      <c r="P486" s="184" t="str">
        <f>IFERROR(VLOOKUP(A486,[1]Approval!A:J,10,FALSE),"")</f>
        <v/>
      </c>
      <c r="R486" s="425">
        <f>2020-YEAR(Table227[[#This Row],[In-
Service
Date]])</f>
        <v>1</v>
      </c>
      <c r="S486" s="308">
        <f>+Table227[[#This Row],[Proj To Date
Actuals]]*1.02^R486</f>
        <v>38589.731399999997</v>
      </c>
    </row>
    <row r="487" spans="1:19" x14ac:dyDescent="0.25">
      <c r="A487" s="476" t="s">
        <v>485</v>
      </c>
      <c r="B487" s="475" t="s">
        <v>485</v>
      </c>
      <c r="C487" s="422" t="e">
        <f>VLOOKUP(B487,'Matter &amp; CI#'!$D$4:$E$595,2,FALSE)</f>
        <v>#N/A</v>
      </c>
      <c r="D487" s="476" t="s">
        <v>486</v>
      </c>
      <c r="E487" s="476" t="s">
        <v>10</v>
      </c>
      <c r="F487" s="476" t="s">
        <v>9</v>
      </c>
      <c r="G487" s="475" t="s">
        <v>2013</v>
      </c>
      <c r="H487" s="516"/>
      <c r="I487" s="477" t="s">
        <v>5</v>
      </c>
      <c r="J487" s="476" t="s">
        <v>43</v>
      </c>
      <c r="K487" s="476" t="s">
        <v>28</v>
      </c>
      <c r="L487" s="184">
        <v>43617</v>
      </c>
      <c r="N487" s="480">
        <v>378596.1</v>
      </c>
      <c r="O487" s="478" t="str">
        <f>IFERROR(VLOOKUP(A487,[1]Approval!A:C,3,FALSE),"")</f>
        <v/>
      </c>
      <c r="P487" s="184" t="str">
        <f>IFERROR(VLOOKUP(A487,[1]Approval!A:J,10,FALSE),"")</f>
        <v/>
      </c>
      <c r="R487" s="425">
        <f>2020-YEAR(Table227[[#This Row],[In-
Service
Date]])</f>
        <v>1</v>
      </c>
      <c r="S487" s="308">
        <f>+Table227[[#This Row],[Proj To Date
Actuals]]*1.02^R487</f>
        <v>386168.022</v>
      </c>
    </row>
    <row r="488" spans="1:19" x14ac:dyDescent="0.25">
      <c r="A488" s="476" t="s">
        <v>811</v>
      </c>
      <c r="B488" s="475" t="s">
        <v>4259</v>
      </c>
      <c r="C488" s="422" t="e">
        <f>VLOOKUP(B488,'Matter &amp; CI#'!$D$4:$E$595,2,FALSE)</f>
        <v>#N/A</v>
      </c>
      <c r="D488" s="476" t="s">
        <v>812</v>
      </c>
      <c r="E488" s="476" t="s">
        <v>10</v>
      </c>
      <c r="F488" s="476" t="s">
        <v>9</v>
      </c>
      <c r="G488" s="475" t="s">
        <v>2013</v>
      </c>
      <c r="H488" s="516"/>
      <c r="I488" s="477" t="s">
        <v>5</v>
      </c>
      <c r="J488" s="476" t="s">
        <v>6</v>
      </c>
      <c r="K488" s="476" t="s">
        <v>28</v>
      </c>
      <c r="L488" s="184">
        <v>43646</v>
      </c>
      <c r="N488" s="480">
        <v>2177651.9300000002</v>
      </c>
      <c r="O488" s="478" t="str">
        <f>IFERROR(VLOOKUP(A488,[1]Approval!A:C,3,FALSE),"")</f>
        <v/>
      </c>
      <c r="P488" s="184" t="str">
        <f>IFERROR(VLOOKUP(A488,[1]Approval!A:J,10,FALSE),"")</f>
        <v/>
      </c>
      <c r="R488" s="425">
        <f>2020-YEAR(Table227[[#This Row],[In-
Service
Date]])</f>
        <v>1</v>
      </c>
      <c r="S488" s="308">
        <f>+Table227[[#This Row],[Proj To Date
Actuals]]*1.02^R488</f>
        <v>2221204.9686000003</v>
      </c>
    </row>
    <row r="489" spans="1:19" x14ac:dyDescent="0.25">
      <c r="A489" s="476" t="s">
        <v>473</v>
      </c>
      <c r="B489" s="475" t="s">
        <v>473</v>
      </c>
      <c r="C489" s="422" t="e">
        <f>VLOOKUP(B489,'Matter &amp; CI#'!$D$4:$E$595,2,FALSE)</f>
        <v>#N/A</v>
      </c>
      <c r="D489" s="476" t="s">
        <v>474</v>
      </c>
      <c r="E489" s="476" t="s">
        <v>10</v>
      </c>
      <c r="F489" s="476" t="s">
        <v>9</v>
      </c>
      <c r="G489" s="475" t="s">
        <v>2013</v>
      </c>
      <c r="H489" s="516"/>
      <c r="I489" s="477" t="s">
        <v>5</v>
      </c>
      <c r="J489" s="476" t="s">
        <v>6</v>
      </c>
      <c r="K489" s="476" t="s">
        <v>28</v>
      </c>
      <c r="L489" s="184">
        <v>43646</v>
      </c>
      <c r="N489" s="480">
        <v>290287.63</v>
      </c>
      <c r="O489" s="478" t="str">
        <f>IFERROR(VLOOKUP(A489,[1]Approval!A:C,3,FALSE),"")</f>
        <v/>
      </c>
      <c r="P489" s="184" t="str">
        <f>IFERROR(VLOOKUP(A489,[1]Approval!A:J,10,FALSE),"")</f>
        <v/>
      </c>
      <c r="R489" s="425">
        <f>2020-YEAR(Table227[[#This Row],[In-
Service
Date]])</f>
        <v>1</v>
      </c>
      <c r="S489" s="308">
        <f>+Table227[[#This Row],[Proj To Date
Actuals]]*1.02^R489</f>
        <v>296093.38260000001</v>
      </c>
    </row>
    <row r="490" spans="1:19" x14ac:dyDescent="0.25">
      <c r="A490" s="476" t="s">
        <v>224</v>
      </c>
      <c r="B490" s="475" t="s">
        <v>224</v>
      </c>
      <c r="C490" s="422" t="e">
        <f>VLOOKUP(B490,'Matter &amp; CI#'!$D$4:$E$595,2,FALSE)</f>
        <v>#N/A</v>
      </c>
      <c r="D490" s="476" t="s">
        <v>225</v>
      </c>
      <c r="E490" s="476" t="s">
        <v>10</v>
      </c>
      <c r="F490" s="476" t="s">
        <v>9</v>
      </c>
      <c r="G490" s="475" t="s">
        <v>2013</v>
      </c>
      <c r="H490" s="516"/>
      <c r="I490" s="477" t="s">
        <v>5</v>
      </c>
      <c r="J490" s="476" t="s">
        <v>6</v>
      </c>
      <c r="K490" s="476" t="s">
        <v>7</v>
      </c>
      <c r="L490" s="184">
        <v>43646</v>
      </c>
      <c r="M490" s="184">
        <v>44136</v>
      </c>
      <c r="N490" s="480">
        <v>321249.24</v>
      </c>
      <c r="O490" s="478" t="str">
        <f>IFERROR(VLOOKUP(A490,[1]Approval!A:C,3,FALSE),"")</f>
        <v>FIN Approval - Internal</v>
      </c>
      <c r="P490" s="184">
        <f>IFERROR(VLOOKUP(A490,[1]Approval!A:J,10,FALSE),"")</f>
        <v>44055</v>
      </c>
      <c r="R490" s="425">
        <f>2020-YEAR(Table227[[#This Row],[In-
Service
Date]])</f>
        <v>1</v>
      </c>
      <c r="S490" s="308">
        <f>+Table227[[#This Row],[Proj To Date
Actuals]]*1.02^R490</f>
        <v>327674.22479999997</v>
      </c>
    </row>
    <row r="491" spans="1:19" x14ac:dyDescent="0.25">
      <c r="A491" s="476" t="s">
        <v>1953</v>
      </c>
      <c r="B491" s="475" t="s">
        <v>1953</v>
      </c>
      <c r="C491" s="422" t="e">
        <f>VLOOKUP(B491,'Matter &amp; CI#'!$D$4:$E$595,2,FALSE)</f>
        <v>#N/A</v>
      </c>
      <c r="D491" s="476" t="s">
        <v>1954</v>
      </c>
      <c r="E491" s="476" t="s">
        <v>10</v>
      </c>
      <c r="F491" s="476" t="s">
        <v>9</v>
      </c>
      <c r="G491" s="475" t="s">
        <v>2013</v>
      </c>
      <c r="H491" s="516"/>
      <c r="I491" s="477" t="s">
        <v>5</v>
      </c>
      <c r="J491" s="476" t="s">
        <v>6</v>
      </c>
      <c r="K491" s="476" t="s">
        <v>28</v>
      </c>
      <c r="L491" s="184">
        <v>43646</v>
      </c>
      <c r="N491" s="480">
        <v>748395.81</v>
      </c>
      <c r="O491" s="478" t="str">
        <f>IFERROR(VLOOKUP(A491,[1]Approval!A:C,3,FALSE),"")</f>
        <v/>
      </c>
      <c r="P491" s="184" t="str">
        <f>IFERROR(VLOOKUP(A491,[1]Approval!A:J,10,FALSE),"")</f>
        <v/>
      </c>
      <c r="R491" s="425">
        <f>2020-YEAR(Table227[[#This Row],[In-
Service
Date]])</f>
        <v>1</v>
      </c>
      <c r="S491" s="308">
        <f>+Table227[[#This Row],[Proj To Date
Actuals]]*1.02^R491</f>
        <v>763363.72620000003</v>
      </c>
    </row>
    <row r="492" spans="1:19" x14ac:dyDescent="0.25">
      <c r="A492" s="476" t="s">
        <v>1192</v>
      </c>
      <c r="B492" s="475" t="s">
        <v>1192</v>
      </c>
      <c r="C492" s="422" t="e">
        <f>VLOOKUP(B492,'Matter &amp; CI#'!$D$4:$E$595,2,FALSE)</f>
        <v>#N/A</v>
      </c>
      <c r="D492" s="476" t="s">
        <v>1193</v>
      </c>
      <c r="E492" s="476" t="s">
        <v>10</v>
      </c>
      <c r="F492" s="476" t="s">
        <v>9</v>
      </c>
      <c r="G492" s="475" t="s">
        <v>2013</v>
      </c>
      <c r="H492" s="516"/>
      <c r="I492" s="477" t="s">
        <v>5</v>
      </c>
      <c r="J492" s="476" t="s">
        <v>6</v>
      </c>
      <c r="K492" s="476" t="s">
        <v>7</v>
      </c>
      <c r="L492" s="184">
        <v>43646</v>
      </c>
      <c r="M492" s="184">
        <v>44136</v>
      </c>
      <c r="N492" s="480">
        <v>153851.81</v>
      </c>
      <c r="O492" s="478" t="str">
        <f>IFERROR(VLOOKUP(A492,[1]Approval!A:C,3,FALSE),"")</f>
        <v>FIN Approval - Internal</v>
      </c>
      <c r="P492" s="184">
        <f>IFERROR(VLOOKUP(A492,[1]Approval!A:J,10,FALSE),"")</f>
        <v>44055</v>
      </c>
      <c r="R492" s="425">
        <f>2020-YEAR(Table227[[#This Row],[In-
Service
Date]])</f>
        <v>1</v>
      </c>
      <c r="S492" s="308">
        <f>+Table227[[#This Row],[Proj To Date
Actuals]]*1.02^R492</f>
        <v>156928.8462</v>
      </c>
    </row>
    <row r="493" spans="1:19" x14ac:dyDescent="0.25">
      <c r="A493" s="476" t="s">
        <v>949</v>
      </c>
      <c r="B493" s="475" t="s">
        <v>949</v>
      </c>
      <c r="C493" s="422" t="e">
        <f>VLOOKUP(B493,'Matter &amp; CI#'!$D$4:$E$595,2,FALSE)</f>
        <v>#N/A</v>
      </c>
      <c r="D493" s="476" t="s">
        <v>950</v>
      </c>
      <c r="E493" s="476" t="s">
        <v>10</v>
      </c>
      <c r="F493" s="476" t="s">
        <v>9</v>
      </c>
      <c r="G493" s="475" t="s">
        <v>2013</v>
      </c>
      <c r="H493" s="516"/>
      <c r="I493" s="477" t="s">
        <v>5</v>
      </c>
      <c r="J493" s="476" t="s">
        <v>12</v>
      </c>
      <c r="K493" s="476" t="s">
        <v>28</v>
      </c>
      <c r="L493" s="184">
        <v>43646</v>
      </c>
      <c r="N493" s="480">
        <v>177584.65</v>
      </c>
      <c r="O493" s="478" t="str">
        <f>IFERROR(VLOOKUP(A493,[1]Approval!A:C,3,FALSE),"")</f>
        <v/>
      </c>
      <c r="P493" s="184" t="str">
        <f>IFERROR(VLOOKUP(A493,[1]Approval!A:J,10,FALSE),"")</f>
        <v/>
      </c>
      <c r="R493" s="425">
        <f>2020-YEAR(Table227[[#This Row],[In-
Service
Date]])</f>
        <v>1</v>
      </c>
      <c r="S493" s="308">
        <f>+Table227[[#This Row],[Proj To Date
Actuals]]*1.02^R493</f>
        <v>181136.34299999999</v>
      </c>
    </row>
    <row r="494" spans="1:19" x14ac:dyDescent="0.25">
      <c r="A494" s="476" t="s">
        <v>397</v>
      </c>
      <c r="B494" s="475" t="s">
        <v>4402</v>
      </c>
      <c r="C494" s="422" t="e">
        <f>VLOOKUP(B494,'Matter &amp; CI#'!$D$4:$E$595,2,FALSE)</f>
        <v>#N/A</v>
      </c>
      <c r="D494" s="476" t="s">
        <v>398</v>
      </c>
      <c r="E494" s="476" t="s">
        <v>398</v>
      </c>
      <c r="F494" s="476" t="s">
        <v>9</v>
      </c>
      <c r="G494" s="475" t="s">
        <v>2013</v>
      </c>
      <c r="H494" s="516"/>
      <c r="I494" s="477" t="s">
        <v>5</v>
      </c>
      <c r="J494" s="476" t="s">
        <v>6</v>
      </c>
      <c r="K494" s="476" t="s">
        <v>28</v>
      </c>
      <c r="L494" s="184">
        <v>43677</v>
      </c>
      <c r="N494" s="480">
        <v>130642815.91</v>
      </c>
      <c r="O494" s="478" t="str">
        <f>IFERROR(VLOOKUP(A494,[1]Approval!A:C,3,FALSE),"")</f>
        <v/>
      </c>
      <c r="P494" s="184" t="str">
        <f>IFERROR(VLOOKUP(A494,[1]Approval!A:J,10,FALSE),"")</f>
        <v/>
      </c>
      <c r="R494" s="425">
        <f>2020-YEAR(Table227[[#This Row],[In-
Service
Date]])</f>
        <v>1</v>
      </c>
      <c r="S494" s="308">
        <f>+Table227[[#This Row],[Proj To Date
Actuals]]*1.02^R494</f>
        <v>133255672.2282</v>
      </c>
    </row>
    <row r="495" spans="1:19" x14ac:dyDescent="0.25">
      <c r="A495" s="476" t="s">
        <v>700</v>
      </c>
      <c r="B495" s="475" t="s">
        <v>700</v>
      </c>
      <c r="C495" s="422" t="e">
        <f>VLOOKUP(B495,'Matter &amp; CI#'!$D$4:$E$595,2,FALSE)</f>
        <v>#N/A</v>
      </c>
      <c r="D495" s="476" t="s">
        <v>701</v>
      </c>
      <c r="E495" s="476" t="s">
        <v>10</v>
      </c>
      <c r="F495" s="476" t="s">
        <v>9</v>
      </c>
      <c r="G495" s="475" t="s">
        <v>2013</v>
      </c>
      <c r="H495" s="516"/>
      <c r="I495" s="477" t="s">
        <v>5</v>
      </c>
      <c r="J495" s="476" t="s">
        <v>6</v>
      </c>
      <c r="K495" s="476" t="s">
        <v>28</v>
      </c>
      <c r="L495" s="184">
        <v>43677</v>
      </c>
      <c r="N495" s="480">
        <v>727381.79</v>
      </c>
      <c r="O495" s="478" t="str">
        <f>IFERROR(VLOOKUP(A495,[1]Approval!A:C,3,FALSE),"")</f>
        <v/>
      </c>
      <c r="P495" s="184" t="str">
        <f>IFERROR(VLOOKUP(A495,[1]Approval!A:J,10,FALSE),"")</f>
        <v/>
      </c>
      <c r="R495" s="425">
        <f>2020-YEAR(Table227[[#This Row],[In-
Service
Date]])</f>
        <v>1</v>
      </c>
      <c r="S495" s="308">
        <f>+Table227[[#This Row],[Proj To Date
Actuals]]*1.02^R495</f>
        <v>741929.42580000008</v>
      </c>
    </row>
    <row r="496" spans="1:19" x14ac:dyDescent="0.25">
      <c r="A496" s="476" t="s">
        <v>220</v>
      </c>
      <c r="B496" s="475" t="s">
        <v>220</v>
      </c>
      <c r="C496" s="422" t="e">
        <f>VLOOKUP(B496,'Matter &amp; CI#'!$D$4:$E$595,2,FALSE)</f>
        <v>#N/A</v>
      </c>
      <c r="D496" s="476" t="s">
        <v>221</v>
      </c>
      <c r="E496" s="476" t="s">
        <v>10</v>
      </c>
      <c r="F496" s="476" t="s">
        <v>9</v>
      </c>
      <c r="G496" s="475" t="s">
        <v>2013</v>
      </c>
      <c r="H496" s="516"/>
      <c r="I496" s="477" t="s">
        <v>5</v>
      </c>
      <c r="J496" s="476" t="s">
        <v>6</v>
      </c>
      <c r="K496" s="476" t="s">
        <v>28</v>
      </c>
      <c r="L496" s="184">
        <v>43677</v>
      </c>
      <c r="N496" s="480">
        <v>160697.24</v>
      </c>
      <c r="O496" s="478" t="str">
        <f>IFERROR(VLOOKUP(A496,[1]Approval!A:C,3,FALSE),"")</f>
        <v/>
      </c>
      <c r="P496" s="184" t="str">
        <f>IFERROR(VLOOKUP(A496,[1]Approval!A:J,10,FALSE),"")</f>
        <v/>
      </c>
      <c r="R496" s="425">
        <f>2020-YEAR(Table227[[#This Row],[In-
Service
Date]])</f>
        <v>1</v>
      </c>
      <c r="S496" s="308">
        <f>+Table227[[#This Row],[Proj To Date
Actuals]]*1.02^R496</f>
        <v>163911.18479999999</v>
      </c>
    </row>
    <row r="497" spans="1:19" x14ac:dyDescent="0.25">
      <c r="A497" s="476" t="s">
        <v>242</v>
      </c>
      <c r="B497" s="475" t="s">
        <v>242</v>
      </c>
      <c r="C497" s="422" t="e">
        <f>VLOOKUP(B497,'Matter &amp; CI#'!$D$4:$E$595,2,FALSE)</f>
        <v>#N/A</v>
      </c>
      <c r="D497" s="476" t="s">
        <v>243</v>
      </c>
      <c r="E497" s="476" t="s">
        <v>10</v>
      </c>
      <c r="F497" s="476" t="s">
        <v>9</v>
      </c>
      <c r="G497" s="475" t="s">
        <v>2013</v>
      </c>
      <c r="H497" s="516"/>
      <c r="I497" s="477" t="s">
        <v>5</v>
      </c>
      <c r="J497" s="476" t="s">
        <v>131</v>
      </c>
      <c r="K497" s="476" t="s">
        <v>28</v>
      </c>
      <c r="L497" s="184">
        <v>43693</v>
      </c>
      <c r="N497" s="480">
        <v>122951.21</v>
      </c>
      <c r="O497" s="478" t="str">
        <f>IFERROR(VLOOKUP(A497,[1]Approval!A:C,3,FALSE),"")</f>
        <v/>
      </c>
      <c r="P497" s="184" t="str">
        <f>IFERROR(VLOOKUP(A497,[1]Approval!A:J,10,FALSE),"")</f>
        <v/>
      </c>
      <c r="R497" s="425">
        <f>2020-YEAR(Table227[[#This Row],[In-
Service
Date]])</f>
        <v>1</v>
      </c>
      <c r="S497" s="308">
        <f>+Table227[[#This Row],[Proj To Date
Actuals]]*1.02^R497</f>
        <v>125410.23420000001</v>
      </c>
    </row>
    <row r="498" spans="1:19" x14ac:dyDescent="0.25">
      <c r="A498" s="476" t="s">
        <v>238</v>
      </c>
      <c r="B498" s="475" t="s">
        <v>238</v>
      </c>
      <c r="C498" s="422" t="e">
        <f>VLOOKUP(B498,'Matter &amp; CI#'!$D$4:$E$595,2,FALSE)</f>
        <v>#N/A</v>
      </c>
      <c r="D498" s="476" t="s">
        <v>239</v>
      </c>
      <c r="E498" s="476" t="s">
        <v>10</v>
      </c>
      <c r="F498" s="476" t="s">
        <v>9</v>
      </c>
      <c r="G498" s="475" t="s">
        <v>2013</v>
      </c>
      <c r="H498" s="516"/>
      <c r="I498" s="477" t="s">
        <v>5</v>
      </c>
      <c r="J498" s="476" t="s">
        <v>6</v>
      </c>
      <c r="K498" s="476" t="s">
        <v>28</v>
      </c>
      <c r="L498" s="184">
        <v>43709</v>
      </c>
      <c r="N498" s="480">
        <v>842221.62</v>
      </c>
      <c r="O498" s="478" t="str">
        <f>IFERROR(VLOOKUP(A498,[1]Approval!A:C,3,FALSE),"")</f>
        <v/>
      </c>
      <c r="P498" s="184" t="str">
        <f>IFERROR(VLOOKUP(A498,[1]Approval!A:J,10,FALSE),"")</f>
        <v/>
      </c>
      <c r="R498" s="425">
        <f>2020-YEAR(Table227[[#This Row],[In-
Service
Date]])</f>
        <v>1</v>
      </c>
      <c r="S498" s="308">
        <f>+Table227[[#This Row],[Proj To Date
Actuals]]*1.02^R498</f>
        <v>859066.05240000004</v>
      </c>
    </row>
    <row r="499" spans="1:19" x14ac:dyDescent="0.25">
      <c r="A499" s="476" t="s">
        <v>712</v>
      </c>
      <c r="B499" s="475" t="s">
        <v>712</v>
      </c>
      <c r="C499" s="422" t="e">
        <f>VLOOKUP(B499,'Matter &amp; CI#'!$D$4:$E$595,2,FALSE)</f>
        <v>#N/A</v>
      </c>
      <c r="D499" s="476" t="s">
        <v>713</v>
      </c>
      <c r="E499" s="476" t="s">
        <v>10</v>
      </c>
      <c r="F499" s="476" t="s">
        <v>9</v>
      </c>
      <c r="G499" s="475" t="s">
        <v>2013</v>
      </c>
      <c r="H499" s="516"/>
      <c r="I499" s="477" t="s">
        <v>5</v>
      </c>
      <c r="J499" s="476" t="s">
        <v>182</v>
      </c>
      <c r="K499" s="476" t="s">
        <v>28</v>
      </c>
      <c r="L499" s="184">
        <v>43709</v>
      </c>
      <c r="N499" s="480">
        <v>23090678.5</v>
      </c>
      <c r="O499" s="478" t="str">
        <f>IFERROR(VLOOKUP(A499,[1]Approval!A:C,3,FALSE),"")</f>
        <v/>
      </c>
      <c r="P499" s="184" t="str">
        <f>IFERROR(VLOOKUP(A499,[1]Approval!A:J,10,FALSE),"")</f>
        <v/>
      </c>
      <c r="R499" s="425">
        <f>2020-YEAR(Table227[[#This Row],[In-
Service
Date]])</f>
        <v>1</v>
      </c>
      <c r="S499" s="308">
        <f>+Table227[[#This Row],[Proj To Date
Actuals]]*1.02^R499</f>
        <v>23552492.07</v>
      </c>
    </row>
    <row r="500" spans="1:19" x14ac:dyDescent="0.25">
      <c r="A500" s="476" t="s">
        <v>636</v>
      </c>
      <c r="B500" s="475" t="s">
        <v>4174</v>
      </c>
      <c r="C500" s="422" t="e">
        <f>VLOOKUP(B500,'Matter &amp; CI#'!$D$4:$E$595,2,FALSE)</f>
        <v>#N/A</v>
      </c>
      <c r="D500" s="476" t="s">
        <v>637</v>
      </c>
      <c r="E500" s="476" t="s">
        <v>10</v>
      </c>
      <c r="F500" s="476" t="s">
        <v>9</v>
      </c>
      <c r="G500" s="475" t="s">
        <v>2013</v>
      </c>
      <c r="H500" s="516"/>
      <c r="I500" s="477" t="s">
        <v>5</v>
      </c>
      <c r="J500" s="476" t="s">
        <v>6</v>
      </c>
      <c r="K500" s="476" t="s">
        <v>7</v>
      </c>
      <c r="L500" s="184">
        <v>43738</v>
      </c>
      <c r="M500" s="184">
        <v>44136</v>
      </c>
      <c r="N500" s="480">
        <v>703298.91</v>
      </c>
      <c r="O500" s="478" t="str">
        <f>IFERROR(VLOOKUP(A500,[1]Approval!A:C,3,FALSE),"")</f>
        <v>FIN Approval - Internal</v>
      </c>
      <c r="P500" s="184">
        <f>IFERROR(VLOOKUP(A500,[1]Approval!A:J,10,FALSE),"")</f>
        <v>44055</v>
      </c>
      <c r="R500" s="425">
        <f>2020-YEAR(Table227[[#This Row],[In-
Service
Date]])</f>
        <v>1</v>
      </c>
      <c r="S500" s="308">
        <f>+Table227[[#This Row],[Proj To Date
Actuals]]*1.02^R500</f>
        <v>717364.88820000004</v>
      </c>
    </row>
    <row r="501" spans="1:19" x14ac:dyDescent="0.25">
      <c r="A501" s="476" t="s">
        <v>1716</v>
      </c>
      <c r="B501" s="475" t="s">
        <v>1716</v>
      </c>
      <c r="C501" s="422" t="e">
        <f>VLOOKUP(B501,'Matter &amp; CI#'!$D$4:$E$595,2,FALSE)</f>
        <v>#N/A</v>
      </c>
      <c r="D501" s="476" t="s">
        <v>1717</v>
      </c>
      <c r="E501" s="476" t="s">
        <v>34</v>
      </c>
      <c r="F501" s="476" t="s">
        <v>9</v>
      </c>
      <c r="G501" s="475" t="s">
        <v>2013</v>
      </c>
      <c r="H501" s="516"/>
      <c r="I501" s="477" t="s">
        <v>5</v>
      </c>
      <c r="J501" s="476" t="s">
        <v>6</v>
      </c>
      <c r="K501" s="476" t="s">
        <v>28</v>
      </c>
      <c r="L501" s="184">
        <v>43738</v>
      </c>
      <c r="N501" s="480">
        <v>475374.55</v>
      </c>
      <c r="O501" s="478" t="str">
        <f>IFERROR(VLOOKUP(A501,[1]Approval!A:C,3,FALSE),"")</f>
        <v/>
      </c>
      <c r="P501" s="184" t="str">
        <f>IFERROR(VLOOKUP(A501,[1]Approval!A:J,10,FALSE),"")</f>
        <v/>
      </c>
      <c r="R501" s="425">
        <f>2020-YEAR(Table227[[#This Row],[In-
Service
Date]])</f>
        <v>1</v>
      </c>
      <c r="S501" s="308">
        <f>+Table227[[#This Row],[Proj To Date
Actuals]]*1.02^R501</f>
        <v>484882.04099999997</v>
      </c>
    </row>
    <row r="502" spans="1:19" x14ac:dyDescent="0.25">
      <c r="A502" s="476" t="s">
        <v>1206</v>
      </c>
      <c r="B502" s="475" t="s">
        <v>1206</v>
      </c>
      <c r="C502" s="422" t="e">
        <f>VLOOKUP(B502,'Matter &amp; CI#'!$D$4:$E$595,2,FALSE)</f>
        <v>#N/A</v>
      </c>
      <c r="D502" s="476" t="s">
        <v>1207</v>
      </c>
      <c r="E502" s="476" t="s">
        <v>10</v>
      </c>
      <c r="F502" s="476" t="s">
        <v>9</v>
      </c>
      <c r="G502" s="475" t="s">
        <v>2013</v>
      </c>
      <c r="H502" s="516"/>
      <c r="I502" s="477" t="s">
        <v>5</v>
      </c>
      <c r="J502" s="476" t="s">
        <v>14</v>
      </c>
      <c r="K502" s="476" t="s">
        <v>28</v>
      </c>
      <c r="L502" s="184">
        <v>43739</v>
      </c>
      <c r="N502" s="480">
        <v>105127.73</v>
      </c>
      <c r="O502" s="478" t="str">
        <f>IFERROR(VLOOKUP(A502,[1]Approval!A:C,3,FALSE),"")</f>
        <v/>
      </c>
      <c r="P502" s="184" t="str">
        <f>IFERROR(VLOOKUP(A502,[1]Approval!A:J,10,FALSE),"")</f>
        <v/>
      </c>
      <c r="R502" s="425">
        <f>2020-YEAR(Table227[[#This Row],[In-
Service
Date]])</f>
        <v>1</v>
      </c>
      <c r="S502" s="308">
        <f>+Table227[[#This Row],[Proj To Date
Actuals]]*1.02^R502</f>
        <v>107230.2846</v>
      </c>
    </row>
    <row r="503" spans="1:19" x14ac:dyDescent="0.25">
      <c r="A503" s="476" t="s">
        <v>487</v>
      </c>
      <c r="B503" s="475" t="s">
        <v>487</v>
      </c>
      <c r="C503" s="422" t="e">
        <f>VLOOKUP(B503,'Matter &amp; CI#'!$D$4:$E$595,2,FALSE)</f>
        <v>#N/A</v>
      </c>
      <c r="D503" s="476" t="s">
        <v>488</v>
      </c>
      <c r="E503" s="476" t="s">
        <v>10</v>
      </c>
      <c r="F503" s="476" t="s">
        <v>9</v>
      </c>
      <c r="G503" s="475" t="s">
        <v>2013</v>
      </c>
      <c r="H503" s="516"/>
      <c r="I503" s="477" t="s">
        <v>5</v>
      </c>
      <c r="J503" s="476" t="s">
        <v>182</v>
      </c>
      <c r="K503" s="476" t="s">
        <v>28</v>
      </c>
      <c r="L503" s="184">
        <v>43755</v>
      </c>
      <c r="N503" s="480">
        <v>651368.01</v>
      </c>
      <c r="O503" s="478" t="str">
        <f>IFERROR(VLOOKUP(A503,[1]Approval!A:C,3,FALSE),"")</f>
        <v>FIN Approval - Internal</v>
      </c>
      <c r="P503" s="184">
        <f>IFERROR(VLOOKUP(A503,[1]Approval!A:J,10,FALSE),"")</f>
        <v>44151</v>
      </c>
      <c r="R503" s="425">
        <f>2020-YEAR(Table227[[#This Row],[In-
Service
Date]])</f>
        <v>1</v>
      </c>
      <c r="S503" s="308">
        <f>+Table227[[#This Row],[Proj To Date
Actuals]]*1.02^R503</f>
        <v>664395.3702</v>
      </c>
    </row>
    <row r="504" spans="1:19" x14ac:dyDescent="0.25">
      <c r="A504" s="476" t="s">
        <v>1736</v>
      </c>
      <c r="B504" s="475" t="s">
        <v>1736</v>
      </c>
      <c r="C504" s="422" t="e">
        <f>VLOOKUP(B504,'Matter &amp; CI#'!$D$4:$E$595,2,FALSE)</f>
        <v>#N/A</v>
      </c>
      <c r="D504" s="476" t="s">
        <v>1737</v>
      </c>
      <c r="E504" s="476" t="s">
        <v>10</v>
      </c>
      <c r="F504" s="476" t="s">
        <v>9</v>
      </c>
      <c r="G504" s="475" t="s">
        <v>2013</v>
      </c>
      <c r="H504" s="516"/>
      <c r="I504" s="477" t="s">
        <v>5</v>
      </c>
      <c r="J504" s="476" t="s">
        <v>43</v>
      </c>
      <c r="K504" s="476" t="s">
        <v>28</v>
      </c>
      <c r="L504" s="184">
        <v>43768</v>
      </c>
      <c r="N504" s="481">
        <v>93604.82</v>
      </c>
      <c r="O504" s="478" t="str">
        <f>IFERROR(VLOOKUP(A504,[1]Approval!A:C,3,FALSE),"")</f>
        <v/>
      </c>
      <c r="P504" s="184" t="str">
        <f>IFERROR(VLOOKUP(A504,[1]Approval!A:J,10,FALSE),"")</f>
        <v/>
      </c>
      <c r="R504" s="425">
        <f>2020-YEAR(Table227[[#This Row],[In-
Service
Date]])</f>
        <v>1</v>
      </c>
      <c r="S504" s="308">
        <f>+Table227[[#This Row],[Proj To Date
Actuals]]*1.02^R504</f>
        <v>95476.916400000002</v>
      </c>
    </row>
    <row r="505" spans="1:19" x14ac:dyDescent="0.25">
      <c r="A505" s="476" t="s">
        <v>1995</v>
      </c>
      <c r="B505" s="475" t="s">
        <v>1995</v>
      </c>
      <c r="C505" s="422" t="e">
        <f>VLOOKUP(B505,'Matter &amp; CI#'!$D$4:$E$595,2,FALSE)</f>
        <v>#N/A</v>
      </c>
      <c r="D505" s="476" t="s">
        <v>1996</v>
      </c>
      <c r="E505" s="476" t="s">
        <v>10</v>
      </c>
      <c r="F505" s="476" t="s">
        <v>9</v>
      </c>
      <c r="G505" s="475" t="s">
        <v>2013</v>
      </c>
      <c r="H505" s="516"/>
      <c r="I505" s="477" t="s">
        <v>5</v>
      </c>
      <c r="J505" s="476" t="s">
        <v>43</v>
      </c>
      <c r="K505" s="476" t="s">
        <v>28</v>
      </c>
      <c r="L505" s="184">
        <v>43768</v>
      </c>
      <c r="N505" s="480">
        <v>128371.34</v>
      </c>
      <c r="O505" s="478" t="str">
        <f>IFERROR(VLOOKUP(A505,[1]Approval!A:C,3,FALSE),"")</f>
        <v/>
      </c>
      <c r="P505" s="184" t="str">
        <f>IFERROR(VLOOKUP(A505,[1]Approval!A:J,10,FALSE),"")</f>
        <v/>
      </c>
      <c r="R505" s="425">
        <f>2020-YEAR(Table227[[#This Row],[In-
Service
Date]])</f>
        <v>1</v>
      </c>
      <c r="S505" s="308">
        <f>+Table227[[#This Row],[Proj To Date
Actuals]]*1.02^R505</f>
        <v>130938.7668</v>
      </c>
    </row>
    <row r="506" spans="1:19" x14ac:dyDescent="0.25">
      <c r="A506" s="476" t="s">
        <v>1458</v>
      </c>
      <c r="B506" s="475" t="s">
        <v>1458</v>
      </c>
      <c r="C506" s="422" t="e">
        <f>VLOOKUP(B506,'Matter &amp; CI#'!$D$4:$E$595,2,FALSE)</f>
        <v>#N/A</v>
      </c>
      <c r="D506" s="476" t="s">
        <v>1459</v>
      </c>
      <c r="E506" s="476" t="s">
        <v>10</v>
      </c>
      <c r="F506" s="476" t="s">
        <v>9</v>
      </c>
      <c r="G506" s="475" t="s">
        <v>2013</v>
      </c>
      <c r="H506" s="516"/>
      <c r="I506" s="477" t="s">
        <v>5</v>
      </c>
      <c r="J506" s="476" t="s">
        <v>14</v>
      </c>
      <c r="K506" s="476" t="s">
        <v>28</v>
      </c>
      <c r="L506" s="184">
        <v>43769</v>
      </c>
      <c r="N506" s="480">
        <v>1143507.5</v>
      </c>
      <c r="O506" s="478" t="str">
        <f>IFERROR(VLOOKUP(A506,[1]Approval!A:C,3,FALSE),"")</f>
        <v/>
      </c>
      <c r="P506" s="184" t="str">
        <f>IFERROR(VLOOKUP(A506,[1]Approval!A:J,10,FALSE),"")</f>
        <v/>
      </c>
      <c r="R506" s="425">
        <f>2020-YEAR(Table227[[#This Row],[In-
Service
Date]])</f>
        <v>1</v>
      </c>
      <c r="S506" s="308">
        <f>+Table227[[#This Row],[Proj To Date
Actuals]]*1.02^R506</f>
        <v>1166377.6499999999</v>
      </c>
    </row>
    <row r="507" spans="1:19" x14ac:dyDescent="0.25">
      <c r="A507" s="476" t="s">
        <v>708</v>
      </c>
      <c r="B507" s="475" t="s">
        <v>708</v>
      </c>
      <c r="C507" s="422" t="e">
        <f>VLOOKUP(B507,'Matter &amp; CI#'!$D$4:$E$595,2,FALSE)</f>
        <v>#N/A</v>
      </c>
      <c r="D507" s="476" t="s">
        <v>709</v>
      </c>
      <c r="E507" s="476" t="s">
        <v>10</v>
      </c>
      <c r="F507" s="476" t="s">
        <v>9</v>
      </c>
      <c r="G507" s="475" t="s">
        <v>2013</v>
      </c>
      <c r="H507" s="516"/>
      <c r="I507" s="477" t="s">
        <v>5</v>
      </c>
      <c r="J507" s="476" t="s">
        <v>6</v>
      </c>
      <c r="K507" s="476" t="s">
        <v>28</v>
      </c>
      <c r="L507" s="184">
        <v>43799</v>
      </c>
      <c r="N507" s="480">
        <v>1531210.93</v>
      </c>
      <c r="O507" s="478" t="str">
        <f>IFERROR(VLOOKUP(A507,[1]Approval!A:C,3,FALSE),"")</f>
        <v/>
      </c>
      <c r="P507" s="184" t="str">
        <f>IFERROR(VLOOKUP(A507,[1]Approval!A:J,10,FALSE),"")</f>
        <v/>
      </c>
      <c r="R507" s="425">
        <f>2020-YEAR(Table227[[#This Row],[In-
Service
Date]])</f>
        <v>1</v>
      </c>
      <c r="S507" s="308">
        <f>+Table227[[#This Row],[Proj To Date
Actuals]]*1.02^R507</f>
        <v>1561835.1486</v>
      </c>
    </row>
    <row r="508" spans="1:19" x14ac:dyDescent="0.25">
      <c r="A508" s="476" t="s">
        <v>483</v>
      </c>
      <c r="B508" s="475" t="s">
        <v>483</v>
      </c>
      <c r="C508" s="422" t="e">
        <f>VLOOKUP(B508,'Matter &amp; CI#'!$D$4:$E$595,2,FALSE)</f>
        <v>#N/A</v>
      </c>
      <c r="D508" s="476" t="s">
        <v>484</v>
      </c>
      <c r="E508" s="476" t="s">
        <v>10</v>
      </c>
      <c r="F508" s="476" t="s">
        <v>9</v>
      </c>
      <c r="G508" s="475" t="s">
        <v>2013</v>
      </c>
      <c r="H508" s="516"/>
      <c r="I508" s="477" t="s">
        <v>5</v>
      </c>
      <c r="J508" s="476" t="s">
        <v>6</v>
      </c>
      <c r="K508" s="476" t="s">
        <v>28</v>
      </c>
      <c r="L508" s="184">
        <v>43799</v>
      </c>
      <c r="N508" s="480">
        <v>155939.46</v>
      </c>
      <c r="O508" s="478" t="str">
        <f>IFERROR(VLOOKUP(A508,[1]Approval!A:C,3,FALSE),"")</f>
        <v/>
      </c>
      <c r="P508" s="184" t="str">
        <f>IFERROR(VLOOKUP(A508,[1]Approval!A:J,10,FALSE),"")</f>
        <v/>
      </c>
      <c r="R508" s="425">
        <f>2020-YEAR(Table227[[#This Row],[In-
Service
Date]])</f>
        <v>1</v>
      </c>
      <c r="S508" s="308">
        <f>+Table227[[#This Row],[Proj To Date
Actuals]]*1.02^R508</f>
        <v>159058.24919999999</v>
      </c>
    </row>
    <row r="509" spans="1:19" x14ac:dyDescent="0.25">
      <c r="A509" s="476" t="s">
        <v>710</v>
      </c>
      <c r="B509" s="475" t="s">
        <v>710</v>
      </c>
      <c r="C509" s="422" t="e">
        <f>VLOOKUP(B509,'Matter &amp; CI#'!$D$4:$E$595,2,FALSE)</f>
        <v>#N/A</v>
      </c>
      <c r="D509" s="476" t="s">
        <v>711</v>
      </c>
      <c r="E509" s="476" t="s">
        <v>10</v>
      </c>
      <c r="F509" s="476" t="s">
        <v>9</v>
      </c>
      <c r="G509" s="475" t="s">
        <v>2013</v>
      </c>
      <c r="H509" s="516"/>
      <c r="I509" s="477" t="s">
        <v>5</v>
      </c>
      <c r="J509" s="476" t="s">
        <v>14</v>
      </c>
      <c r="K509" s="476" t="s">
        <v>28</v>
      </c>
      <c r="L509" s="184">
        <v>43799</v>
      </c>
      <c r="N509" s="480">
        <v>68860.95</v>
      </c>
      <c r="O509" s="478" t="str">
        <f>IFERROR(VLOOKUP(A509,[1]Approval!A:C,3,FALSE),"")</f>
        <v/>
      </c>
      <c r="P509" s="184" t="str">
        <f>IFERROR(VLOOKUP(A509,[1]Approval!A:J,10,FALSE),"")</f>
        <v/>
      </c>
      <c r="R509" s="425">
        <f>2020-YEAR(Table227[[#This Row],[In-
Service
Date]])</f>
        <v>1</v>
      </c>
      <c r="S509" s="308">
        <f>+Table227[[#This Row],[Proj To Date
Actuals]]*1.02^R509</f>
        <v>70238.168999999994</v>
      </c>
    </row>
    <row r="510" spans="1:19" x14ac:dyDescent="0.25">
      <c r="A510" s="476" t="s">
        <v>1997</v>
      </c>
      <c r="B510" s="475" t="s">
        <v>1997</v>
      </c>
      <c r="C510" s="422" t="e">
        <f>VLOOKUP(B510,'Matter &amp; CI#'!$D$4:$E$595,2,FALSE)</f>
        <v>#N/A</v>
      </c>
      <c r="D510" s="476" t="s">
        <v>1998</v>
      </c>
      <c r="E510" s="476" t="s">
        <v>10</v>
      </c>
      <c r="F510" s="476" t="s">
        <v>9</v>
      </c>
      <c r="G510" s="475" t="s">
        <v>2013</v>
      </c>
      <c r="H510" s="516"/>
      <c r="I510" s="477" t="s">
        <v>5</v>
      </c>
      <c r="J510" s="476" t="s">
        <v>6</v>
      </c>
      <c r="K510" s="476" t="s">
        <v>28</v>
      </c>
      <c r="L510" s="184">
        <v>43799</v>
      </c>
      <c r="N510" s="480">
        <v>138578.88</v>
      </c>
      <c r="O510" s="478" t="str">
        <f>IFERROR(VLOOKUP(A510,[1]Approval!A:C,3,FALSE),"")</f>
        <v/>
      </c>
      <c r="P510" s="184" t="str">
        <f>IFERROR(VLOOKUP(A510,[1]Approval!A:J,10,FALSE),"")</f>
        <v/>
      </c>
      <c r="R510" s="425">
        <f>2020-YEAR(Table227[[#This Row],[In-
Service
Date]])</f>
        <v>1</v>
      </c>
      <c r="S510" s="308">
        <f>+Table227[[#This Row],[Proj To Date
Actuals]]*1.02^R510</f>
        <v>141350.45759999999</v>
      </c>
    </row>
    <row r="511" spans="1:19" x14ac:dyDescent="0.25">
      <c r="A511" s="476" t="s">
        <v>1472</v>
      </c>
      <c r="B511" s="475" t="s">
        <v>1472</v>
      </c>
      <c r="C511" s="422" t="e">
        <f>VLOOKUP(B511,'Matter &amp; CI#'!$D$4:$E$595,2,FALSE)</f>
        <v>#N/A</v>
      </c>
      <c r="D511" s="476" t="s">
        <v>1473</v>
      </c>
      <c r="E511" s="476" t="s">
        <v>10</v>
      </c>
      <c r="F511" s="476" t="s">
        <v>9</v>
      </c>
      <c r="G511" s="475" t="s">
        <v>2013</v>
      </c>
      <c r="H511" s="516"/>
      <c r="I511" s="477" t="s">
        <v>5</v>
      </c>
      <c r="J511" s="476" t="s">
        <v>182</v>
      </c>
      <c r="K511" s="476" t="s">
        <v>28</v>
      </c>
      <c r="L511" s="184">
        <v>43800</v>
      </c>
      <c r="N511" s="480">
        <v>161065.32</v>
      </c>
      <c r="O511" s="478" t="str">
        <f>IFERROR(VLOOKUP(A511,[1]Approval!A:C,3,FALSE),"")</f>
        <v/>
      </c>
      <c r="P511" s="184" t="str">
        <f>IFERROR(VLOOKUP(A511,[1]Approval!A:J,10,FALSE),"")</f>
        <v/>
      </c>
      <c r="R511" s="425">
        <f>2020-YEAR(Table227[[#This Row],[In-
Service
Date]])</f>
        <v>1</v>
      </c>
      <c r="S511" s="308">
        <f>+Table227[[#This Row],[Proj To Date
Actuals]]*1.02^R511</f>
        <v>164286.62640000001</v>
      </c>
    </row>
    <row r="512" spans="1:19" x14ac:dyDescent="0.25">
      <c r="A512" s="476" t="s">
        <v>1474</v>
      </c>
      <c r="B512" s="475" t="s">
        <v>1474</v>
      </c>
      <c r="C512" s="422" t="e">
        <f>VLOOKUP(B512,'Matter &amp; CI#'!$D$4:$E$595,2,FALSE)</f>
        <v>#N/A</v>
      </c>
      <c r="D512" s="476" t="s">
        <v>1475</v>
      </c>
      <c r="E512" s="476" t="s">
        <v>10</v>
      </c>
      <c r="F512" s="476" t="s">
        <v>9</v>
      </c>
      <c r="G512" s="475" t="s">
        <v>2013</v>
      </c>
      <c r="H512" s="516"/>
      <c r="I512" s="477" t="s">
        <v>5</v>
      </c>
      <c r="J512" s="476" t="s">
        <v>182</v>
      </c>
      <c r="K512" s="476" t="s">
        <v>28</v>
      </c>
      <c r="L512" s="184">
        <v>43824</v>
      </c>
      <c r="N512" s="480">
        <v>4099336.56</v>
      </c>
      <c r="O512" s="478" t="str">
        <f>IFERROR(VLOOKUP(A512,[1]Approval!A:C,3,FALSE),"")</f>
        <v/>
      </c>
      <c r="P512" s="184" t="str">
        <f>IFERROR(VLOOKUP(A512,[1]Approval!A:J,10,FALSE),"")</f>
        <v/>
      </c>
      <c r="R512" s="425">
        <f>2020-YEAR(Table227[[#This Row],[In-
Service
Date]])</f>
        <v>1</v>
      </c>
      <c r="S512" s="308">
        <f>+Table227[[#This Row],[Proj To Date
Actuals]]*1.02^R512</f>
        <v>4181323.2912000003</v>
      </c>
    </row>
    <row r="513" spans="1:19" x14ac:dyDescent="0.25">
      <c r="A513" s="476" t="s">
        <v>562</v>
      </c>
      <c r="B513" s="475" t="s">
        <v>4165</v>
      </c>
      <c r="C513" s="422" t="e">
        <f>VLOOKUP(B513,'Matter &amp; CI#'!$D$4:$E$595,2,FALSE)</f>
        <v>#N/A</v>
      </c>
      <c r="D513" s="476" t="s">
        <v>563</v>
      </c>
      <c r="E513" s="476" t="s">
        <v>10</v>
      </c>
      <c r="F513" s="476" t="s">
        <v>9</v>
      </c>
      <c r="G513" s="475" t="s">
        <v>2013</v>
      </c>
      <c r="H513" s="516"/>
      <c r="I513" s="477" t="s">
        <v>5</v>
      </c>
      <c r="J513" s="476" t="s">
        <v>6</v>
      </c>
      <c r="K513" s="476" t="s">
        <v>28</v>
      </c>
      <c r="L513" s="184">
        <v>43830</v>
      </c>
      <c r="N513" s="480">
        <v>89790.02</v>
      </c>
      <c r="O513" s="478" t="str">
        <f>IFERROR(VLOOKUP(A513,[1]Approval!A:C,3,FALSE),"")</f>
        <v/>
      </c>
      <c r="P513" s="184" t="str">
        <f>IFERROR(VLOOKUP(A513,[1]Approval!A:J,10,FALSE),"")</f>
        <v/>
      </c>
      <c r="R513" s="425">
        <f>2020-YEAR(Table227[[#This Row],[In-
Service
Date]])</f>
        <v>1</v>
      </c>
      <c r="S513" s="308">
        <f>+Table227[[#This Row],[Proj To Date
Actuals]]*1.02^R513</f>
        <v>91585.820400000011</v>
      </c>
    </row>
    <row r="514" spans="1:19" x14ac:dyDescent="0.25">
      <c r="A514" s="476" t="s">
        <v>1470</v>
      </c>
      <c r="B514" s="475" t="s">
        <v>1470</v>
      </c>
      <c r="C514" s="422" t="e">
        <f>VLOOKUP(B514,'Matter &amp; CI#'!$D$4:$E$595,2,FALSE)</f>
        <v>#N/A</v>
      </c>
      <c r="D514" s="476" t="s">
        <v>1471</v>
      </c>
      <c r="E514" s="476" t="s">
        <v>10</v>
      </c>
      <c r="F514" s="476" t="s">
        <v>9</v>
      </c>
      <c r="G514" s="475" t="s">
        <v>2013</v>
      </c>
      <c r="H514" s="516"/>
      <c r="I514" s="477" t="s">
        <v>5</v>
      </c>
      <c r="J514" s="476" t="s">
        <v>6</v>
      </c>
      <c r="K514" s="476" t="s">
        <v>28</v>
      </c>
      <c r="L514" s="184">
        <v>43830</v>
      </c>
      <c r="N514" s="480">
        <v>156128.29999999999</v>
      </c>
      <c r="O514" s="478" t="str">
        <f>IFERROR(VLOOKUP(A514,[1]Approval!A:C,3,FALSE),"")</f>
        <v/>
      </c>
      <c r="P514" s="184" t="str">
        <f>IFERROR(VLOOKUP(A514,[1]Approval!A:J,10,FALSE),"")</f>
        <v/>
      </c>
      <c r="R514" s="425">
        <f>2020-YEAR(Table227[[#This Row],[In-
Service
Date]])</f>
        <v>1</v>
      </c>
      <c r="S514" s="308">
        <f>+Table227[[#This Row],[Proj To Date
Actuals]]*1.02^R514</f>
        <v>159250.86599999998</v>
      </c>
    </row>
    <row r="515" spans="1:19" x14ac:dyDescent="0.25">
      <c r="A515" s="476" t="s">
        <v>3706</v>
      </c>
      <c r="B515" s="475" t="s">
        <v>3706</v>
      </c>
      <c r="C515" s="422" t="e">
        <f>VLOOKUP(B515,'Matter &amp; CI#'!$D$4:$E$595,2,FALSE)</f>
        <v>#N/A</v>
      </c>
      <c r="D515" s="476" t="s">
        <v>3707</v>
      </c>
      <c r="E515" s="476" t="s">
        <v>10</v>
      </c>
      <c r="F515" s="476" t="s">
        <v>9</v>
      </c>
      <c r="G515" s="484" t="s">
        <v>2013</v>
      </c>
      <c r="H515" s="517"/>
      <c r="I515" s="477" t="s">
        <v>5</v>
      </c>
      <c r="J515" s="476" t="s">
        <v>43</v>
      </c>
      <c r="K515" s="476" t="s">
        <v>28</v>
      </c>
      <c r="L515" s="184">
        <v>43831</v>
      </c>
      <c r="N515" s="480">
        <v>374644.01</v>
      </c>
      <c r="O515" s="478" t="str">
        <f>IFERROR(VLOOKUP(A515,[1]Approval!A:C,3,FALSE),"")</f>
        <v/>
      </c>
      <c r="P515" s="184" t="str">
        <f>IFERROR(VLOOKUP(A515,[1]Approval!A:J,10,FALSE),"")</f>
        <v/>
      </c>
      <c r="R515" s="425">
        <f>2020-YEAR(Table227[[#This Row],[In-
Service
Date]])</f>
        <v>0</v>
      </c>
      <c r="S515" s="308">
        <f>+Table227[[#This Row],[Proj To Date
Actuals]]*1.02^R515</f>
        <v>374644.01</v>
      </c>
    </row>
    <row r="516" spans="1:19" x14ac:dyDescent="0.25">
      <c r="A516" s="476" t="s">
        <v>3704</v>
      </c>
      <c r="B516" s="475" t="s">
        <v>3704</v>
      </c>
      <c r="C516" s="422" t="e">
        <f>VLOOKUP(B516,'Matter &amp; CI#'!$D$4:$E$595,2,FALSE)</f>
        <v>#N/A</v>
      </c>
      <c r="D516" s="476" t="s">
        <v>3705</v>
      </c>
      <c r="E516" s="476" t="s">
        <v>10</v>
      </c>
      <c r="F516" s="476" t="s">
        <v>9</v>
      </c>
      <c r="G516" s="484" t="s">
        <v>2013</v>
      </c>
      <c r="H516" s="517"/>
      <c r="I516" s="477" t="s">
        <v>5</v>
      </c>
      <c r="J516" s="476" t="s">
        <v>182</v>
      </c>
      <c r="K516" s="476" t="s">
        <v>28</v>
      </c>
      <c r="L516" s="184">
        <v>43831</v>
      </c>
      <c r="N516" s="480">
        <v>46421.88</v>
      </c>
      <c r="O516" s="478" t="str">
        <f>IFERROR(VLOOKUP(A516,[1]Approval!A:C,3,FALSE),"")</f>
        <v/>
      </c>
      <c r="P516" s="184" t="str">
        <f>IFERROR(VLOOKUP(A516,[1]Approval!A:J,10,FALSE),"")</f>
        <v/>
      </c>
      <c r="R516" s="425">
        <f>2020-YEAR(Table227[[#This Row],[In-
Service
Date]])</f>
        <v>0</v>
      </c>
      <c r="S516" s="308">
        <f>+Table227[[#This Row],[Proj To Date
Actuals]]*1.02^R516</f>
        <v>46421.88</v>
      </c>
    </row>
    <row r="517" spans="1:19" x14ac:dyDescent="0.25">
      <c r="A517" s="476" t="s">
        <v>3736</v>
      </c>
      <c r="B517" s="475" t="s">
        <v>3736</v>
      </c>
      <c r="C517" s="422" t="e">
        <f>VLOOKUP(B517,'Matter &amp; CI#'!$D$4:$E$595,2,FALSE)</f>
        <v>#N/A</v>
      </c>
      <c r="D517" s="476" t="s">
        <v>3737</v>
      </c>
      <c r="E517" s="476" t="s">
        <v>10</v>
      </c>
      <c r="F517" s="476" t="s">
        <v>9</v>
      </c>
      <c r="G517" s="484" t="s">
        <v>2013</v>
      </c>
      <c r="H517" s="517" t="s">
        <v>4786</v>
      </c>
      <c r="I517" s="477" t="s">
        <v>5</v>
      </c>
      <c r="J517" s="476" t="s">
        <v>131</v>
      </c>
      <c r="K517" s="476" t="s">
        <v>28</v>
      </c>
      <c r="L517" s="184">
        <v>43832</v>
      </c>
      <c r="N517" s="480">
        <v>169.08</v>
      </c>
      <c r="O517" s="478" t="str">
        <f>IFERROR(VLOOKUP(A517,[1]Approval!A:C,3,FALSE),"")</f>
        <v/>
      </c>
      <c r="P517" s="184" t="str">
        <f>IFERROR(VLOOKUP(A517,[1]Approval!A:J,10,FALSE),"")</f>
        <v/>
      </c>
      <c r="R517" s="425">
        <f>2020-YEAR(Table227[[#This Row],[In-
Service
Date]])</f>
        <v>0</v>
      </c>
      <c r="S517" s="308">
        <f>+Table227[[#This Row],[Proj To Date
Actuals]]*1.02^R517</f>
        <v>169.08</v>
      </c>
    </row>
    <row r="518" spans="1:19" x14ac:dyDescent="0.25">
      <c r="A518" s="476" t="s">
        <v>3750</v>
      </c>
      <c r="B518" s="475" t="s">
        <v>3750</v>
      </c>
      <c r="C518" s="422" t="e">
        <f>VLOOKUP(B518,'Matter &amp; CI#'!$D$4:$E$595,2,FALSE)</f>
        <v>#N/A</v>
      </c>
      <c r="D518" s="476" t="s">
        <v>3751</v>
      </c>
      <c r="E518" s="476" t="s">
        <v>10</v>
      </c>
      <c r="F518" s="476" t="s">
        <v>9</v>
      </c>
      <c r="G518" s="484" t="s">
        <v>2013</v>
      </c>
      <c r="H518" s="517" t="s">
        <v>4787</v>
      </c>
      <c r="I518" s="477" t="s">
        <v>5</v>
      </c>
      <c r="J518" s="476" t="s">
        <v>14</v>
      </c>
      <c r="K518" s="476" t="s">
        <v>28</v>
      </c>
      <c r="L518" s="184">
        <v>43862</v>
      </c>
      <c r="N518" s="480">
        <v>44876.81</v>
      </c>
      <c r="O518" s="478" t="str">
        <f>IFERROR(VLOOKUP(A518,[1]Approval!A:C,3,FALSE),"")</f>
        <v/>
      </c>
      <c r="P518" s="184" t="str">
        <f>IFERROR(VLOOKUP(A518,[1]Approval!A:J,10,FALSE),"")</f>
        <v/>
      </c>
      <c r="R518" s="425">
        <f>2020-YEAR(Table227[[#This Row],[In-
Service
Date]])</f>
        <v>0</v>
      </c>
      <c r="S518" s="308">
        <f>+Table227[[#This Row],[Proj To Date
Actuals]]*1.02^R518</f>
        <v>44876.81</v>
      </c>
    </row>
    <row r="519" spans="1:19" x14ac:dyDescent="0.25">
      <c r="A519" s="476" t="s">
        <v>3865</v>
      </c>
      <c r="B519" s="475" t="s">
        <v>3865</v>
      </c>
      <c r="C519" s="422" t="e">
        <f>VLOOKUP(B519,'Matter &amp; CI#'!$D$4:$E$595,2,FALSE)</f>
        <v>#N/A</v>
      </c>
      <c r="D519" s="476" t="s">
        <v>3866</v>
      </c>
      <c r="E519" s="476" t="s">
        <v>10</v>
      </c>
      <c r="F519" s="476" t="s">
        <v>9</v>
      </c>
      <c r="G519" s="484" t="s">
        <v>2013</v>
      </c>
      <c r="H519" s="517"/>
      <c r="I519" s="477" t="s">
        <v>5</v>
      </c>
      <c r="J519" s="476" t="s">
        <v>6</v>
      </c>
      <c r="K519" s="476" t="s">
        <v>28</v>
      </c>
      <c r="L519" s="184">
        <v>43890</v>
      </c>
      <c r="N519" s="481">
        <v>518394.67</v>
      </c>
      <c r="O519" s="478" t="str">
        <f>IFERROR(VLOOKUP(A519,[1]Approval!A:C,3,FALSE),"")</f>
        <v/>
      </c>
      <c r="P519" s="184" t="str">
        <f>IFERROR(VLOOKUP(A519,[1]Approval!A:J,10,FALSE),"")</f>
        <v/>
      </c>
      <c r="R519" s="425">
        <f>2020-YEAR(Table227[[#This Row],[In-
Service
Date]])</f>
        <v>0</v>
      </c>
      <c r="S519" s="308">
        <f>+Table227[[#This Row],[Proj To Date
Actuals]]*1.02^R519</f>
        <v>518394.67</v>
      </c>
    </row>
    <row r="520" spans="1:19" x14ac:dyDescent="0.25">
      <c r="A520" s="476" t="s">
        <v>3663</v>
      </c>
      <c r="B520" s="475" t="s">
        <v>3663</v>
      </c>
      <c r="C520" s="422" t="e">
        <f>VLOOKUP(B520,'Matter &amp; CI#'!$D$4:$E$595,2,FALSE)</f>
        <v>#N/A</v>
      </c>
      <c r="D520" s="476" t="s">
        <v>3664</v>
      </c>
      <c r="E520" s="476" t="s">
        <v>10</v>
      </c>
      <c r="F520" s="476" t="s">
        <v>9</v>
      </c>
      <c r="G520" s="484" t="s">
        <v>2013</v>
      </c>
      <c r="H520" s="517"/>
      <c r="I520" s="477" t="s">
        <v>5</v>
      </c>
      <c r="J520" s="476" t="s">
        <v>12</v>
      </c>
      <c r="K520" s="476" t="s">
        <v>28</v>
      </c>
      <c r="L520" s="184">
        <v>43890</v>
      </c>
      <c r="N520" s="480">
        <v>18517.080000000002</v>
      </c>
      <c r="O520" s="478" t="str">
        <f>IFERROR(VLOOKUP(A520,[1]Approval!A:C,3,FALSE),"")</f>
        <v/>
      </c>
      <c r="P520" s="184" t="str">
        <f>IFERROR(VLOOKUP(A520,[1]Approval!A:J,10,FALSE),"")</f>
        <v/>
      </c>
      <c r="R520" s="425">
        <f>2020-YEAR(Table227[[#This Row],[In-
Service
Date]])</f>
        <v>0</v>
      </c>
      <c r="S520" s="308">
        <f>+Table227[[#This Row],[Proj To Date
Actuals]]*1.02^R520</f>
        <v>18517.080000000002</v>
      </c>
    </row>
    <row r="521" spans="1:19" x14ac:dyDescent="0.25">
      <c r="A521" s="476" t="s">
        <v>3823</v>
      </c>
      <c r="B521" s="475" t="s">
        <v>3823</v>
      </c>
      <c r="C521" s="422" t="e">
        <f>VLOOKUP(B521,'Matter &amp; CI#'!$D$4:$E$595,2,FALSE)</f>
        <v>#N/A</v>
      </c>
      <c r="D521" s="476" t="s">
        <v>3824</v>
      </c>
      <c r="E521" s="476" t="s">
        <v>89</v>
      </c>
      <c r="F521" s="476" t="s">
        <v>9</v>
      </c>
      <c r="G521" s="484" t="s">
        <v>2013</v>
      </c>
      <c r="H521" s="517"/>
      <c r="I521" s="477" t="s">
        <v>5</v>
      </c>
      <c r="J521" s="476" t="s">
        <v>6</v>
      </c>
      <c r="K521" s="476" t="s">
        <v>28</v>
      </c>
      <c r="L521" s="184">
        <v>43890</v>
      </c>
      <c r="N521" s="480">
        <v>6312150.5099999998</v>
      </c>
      <c r="O521" s="478" t="str">
        <f>IFERROR(VLOOKUP(A521,[1]Approval!A:C,3,FALSE),"")</f>
        <v/>
      </c>
      <c r="P521" s="184" t="str">
        <f>IFERROR(VLOOKUP(A521,[1]Approval!A:J,10,FALSE),"")</f>
        <v/>
      </c>
      <c r="R521" s="425">
        <f>2020-YEAR(Table227[[#This Row],[In-
Service
Date]])</f>
        <v>0</v>
      </c>
      <c r="S521" s="308">
        <f>+Table227[[#This Row],[Proj To Date
Actuals]]*1.02^R521</f>
        <v>6312150.5099999998</v>
      </c>
    </row>
    <row r="522" spans="1:19" x14ac:dyDescent="0.25">
      <c r="A522" s="476" t="s">
        <v>3768</v>
      </c>
      <c r="B522" s="475" t="s">
        <v>3768</v>
      </c>
      <c r="C522" s="422" t="e">
        <f>VLOOKUP(B522,'Matter &amp; CI#'!$D$4:$E$595,2,FALSE)</f>
        <v>#N/A</v>
      </c>
      <c r="D522" s="476" t="s">
        <v>3769</v>
      </c>
      <c r="E522" s="476" t="s">
        <v>10</v>
      </c>
      <c r="F522" s="476" t="s">
        <v>9</v>
      </c>
      <c r="G522" s="484" t="s">
        <v>2013</v>
      </c>
      <c r="H522" s="517" t="s">
        <v>4788</v>
      </c>
      <c r="I522" s="477" t="s">
        <v>5</v>
      </c>
      <c r="J522" s="476" t="s">
        <v>14</v>
      </c>
      <c r="K522" s="476" t="s">
        <v>28</v>
      </c>
      <c r="L522" s="184">
        <v>43890</v>
      </c>
      <c r="N522" s="480">
        <v>162690</v>
      </c>
      <c r="O522" s="478" t="str">
        <f>IFERROR(VLOOKUP(A522,[1]Approval!A:C,3,FALSE),"")</f>
        <v/>
      </c>
      <c r="P522" s="184" t="str">
        <f>IFERROR(VLOOKUP(A522,[1]Approval!A:J,10,FALSE),"")</f>
        <v/>
      </c>
      <c r="R522" s="425">
        <f>2020-YEAR(Table227[[#This Row],[In-
Service
Date]])</f>
        <v>0</v>
      </c>
      <c r="S522" s="308">
        <f>+Table227[[#This Row],[Proj To Date
Actuals]]*1.02^R522</f>
        <v>162690</v>
      </c>
    </row>
    <row r="523" spans="1:19" x14ac:dyDescent="0.25">
      <c r="A523" s="476" t="s">
        <v>3872</v>
      </c>
      <c r="B523" s="475" t="s">
        <v>3872</v>
      </c>
      <c r="C523" s="422" t="e">
        <f>VLOOKUP(B523,'Matter &amp; CI#'!$D$4:$E$595,2,FALSE)</f>
        <v>#N/A</v>
      </c>
      <c r="D523" s="476" t="s">
        <v>3873</v>
      </c>
      <c r="E523" s="476" t="s">
        <v>10</v>
      </c>
      <c r="F523" s="476" t="s">
        <v>9</v>
      </c>
      <c r="G523" s="484" t="s">
        <v>2013</v>
      </c>
      <c r="H523" s="517" t="s">
        <v>4789</v>
      </c>
      <c r="I523" s="477" t="s">
        <v>5</v>
      </c>
      <c r="J523" s="476" t="s">
        <v>43</v>
      </c>
      <c r="K523" s="476" t="s">
        <v>28</v>
      </c>
      <c r="L523" s="184">
        <v>43891</v>
      </c>
      <c r="N523" s="481">
        <v>242339.67</v>
      </c>
      <c r="O523" s="478" t="str">
        <f>IFERROR(VLOOKUP(A523,[1]Approval!A:C,3,FALSE),"")</f>
        <v/>
      </c>
      <c r="P523" s="184" t="str">
        <f>IFERROR(VLOOKUP(A523,[1]Approval!A:J,10,FALSE),"")</f>
        <v/>
      </c>
      <c r="R523" s="425">
        <f>2020-YEAR(Table227[[#This Row],[In-
Service
Date]])</f>
        <v>0</v>
      </c>
      <c r="S523" s="308">
        <f>+Table227[[#This Row],[Proj To Date
Actuals]]*1.02^R523</f>
        <v>242339.67</v>
      </c>
    </row>
    <row r="524" spans="1:19" x14ac:dyDescent="0.25">
      <c r="A524" s="476" t="s">
        <v>3863</v>
      </c>
      <c r="B524" s="475" t="s">
        <v>3863</v>
      </c>
      <c r="C524" s="422" t="e">
        <f>VLOOKUP(B524,'Matter &amp; CI#'!$D$4:$E$595,2,FALSE)</f>
        <v>#N/A</v>
      </c>
      <c r="D524" s="476" t="s">
        <v>3864</v>
      </c>
      <c r="E524" s="476" t="s">
        <v>10</v>
      </c>
      <c r="F524" s="476" t="s">
        <v>9</v>
      </c>
      <c r="G524" s="484" t="s">
        <v>2013</v>
      </c>
      <c r="H524" s="517" t="s">
        <v>4790</v>
      </c>
      <c r="I524" s="477" t="s">
        <v>5</v>
      </c>
      <c r="J524" s="476" t="s">
        <v>6</v>
      </c>
      <c r="K524" s="476" t="s">
        <v>28</v>
      </c>
      <c r="L524" s="184">
        <v>43920</v>
      </c>
      <c r="N524" s="481">
        <v>223595.54</v>
      </c>
      <c r="O524" s="478" t="str">
        <f>IFERROR(VLOOKUP(A524,[1]Approval!A:C,3,FALSE),"")</f>
        <v/>
      </c>
      <c r="P524" s="184" t="str">
        <f>IFERROR(VLOOKUP(A524,[1]Approval!A:J,10,FALSE),"")</f>
        <v/>
      </c>
      <c r="R524" s="425">
        <f>2020-YEAR(Table227[[#This Row],[In-
Service
Date]])</f>
        <v>0</v>
      </c>
      <c r="S524" s="308">
        <f>+Table227[[#This Row],[Proj To Date
Actuals]]*1.02^R524</f>
        <v>223595.54</v>
      </c>
    </row>
    <row r="525" spans="1:19" x14ac:dyDescent="0.25">
      <c r="A525" s="476" t="s">
        <v>3870</v>
      </c>
      <c r="B525" s="475" t="s">
        <v>3870</v>
      </c>
      <c r="C525" s="422" t="e">
        <f>VLOOKUP(B525,'Matter &amp; CI#'!$D$4:$E$595,2,FALSE)</f>
        <v>#N/A</v>
      </c>
      <c r="D525" s="476" t="s">
        <v>3871</v>
      </c>
      <c r="E525" s="476" t="s">
        <v>34</v>
      </c>
      <c r="F525" s="476" t="s">
        <v>9</v>
      </c>
      <c r="G525" s="484" t="s">
        <v>2013</v>
      </c>
      <c r="H525" s="517"/>
      <c r="I525" s="477" t="s">
        <v>5</v>
      </c>
      <c r="J525" s="476" t="s">
        <v>6</v>
      </c>
      <c r="K525" s="476" t="s">
        <v>28</v>
      </c>
      <c r="L525" s="184">
        <v>43920</v>
      </c>
      <c r="N525" s="481">
        <v>91440.17</v>
      </c>
      <c r="O525" s="478" t="str">
        <f>IFERROR(VLOOKUP(A525,[1]Approval!A:C,3,FALSE),"")</f>
        <v/>
      </c>
      <c r="P525" s="184" t="str">
        <f>IFERROR(VLOOKUP(A525,[1]Approval!A:J,10,FALSE),"")</f>
        <v/>
      </c>
      <c r="R525" s="425">
        <f>2020-YEAR(Table227[[#This Row],[In-
Service
Date]])</f>
        <v>0</v>
      </c>
      <c r="S525" s="308">
        <f>+Table227[[#This Row],[Proj To Date
Actuals]]*1.02^R525</f>
        <v>91440.17</v>
      </c>
    </row>
    <row r="526" spans="1:19" x14ac:dyDescent="0.25">
      <c r="A526" s="476" t="s">
        <v>3766</v>
      </c>
      <c r="B526" s="475" t="s">
        <v>3766</v>
      </c>
      <c r="C526" s="422" t="e">
        <f>VLOOKUP(B526,'Matter &amp; CI#'!$D$4:$E$595,2,FALSE)</f>
        <v>#N/A</v>
      </c>
      <c r="D526" s="476" t="s">
        <v>3767</v>
      </c>
      <c r="E526" s="476" t="s">
        <v>10</v>
      </c>
      <c r="F526" s="476" t="s">
        <v>9</v>
      </c>
      <c r="G526" s="484" t="s">
        <v>2013</v>
      </c>
      <c r="H526" s="517" t="s">
        <v>4791</v>
      </c>
      <c r="I526" s="477" t="s">
        <v>5</v>
      </c>
      <c r="J526" s="476" t="s">
        <v>6</v>
      </c>
      <c r="K526" s="476" t="s">
        <v>28</v>
      </c>
      <c r="L526" s="184">
        <v>43921</v>
      </c>
      <c r="N526" s="480">
        <v>1367533.8</v>
      </c>
      <c r="O526" s="478" t="str">
        <f>IFERROR(VLOOKUP(A526,[1]Approval!A:C,3,FALSE),"")</f>
        <v/>
      </c>
      <c r="P526" s="184" t="str">
        <f>IFERROR(VLOOKUP(A526,[1]Approval!A:J,10,FALSE),"")</f>
        <v/>
      </c>
      <c r="R526" s="425">
        <f>2020-YEAR(Table227[[#This Row],[In-
Service
Date]])</f>
        <v>0</v>
      </c>
      <c r="S526" s="308">
        <f>+Table227[[#This Row],[Proj To Date
Actuals]]*1.02^R526</f>
        <v>1367533.8</v>
      </c>
    </row>
    <row r="527" spans="1:19" x14ac:dyDescent="0.25">
      <c r="A527" s="476" t="s">
        <v>3740</v>
      </c>
      <c r="B527" s="475" t="s">
        <v>3740</v>
      </c>
      <c r="C527" s="422" t="e">
        <f>VLOOKUP(B527,'Matter &amp; CI#'!$D$4:$E$595,2,FALSE)</f>
        <v>#N/A</v>
      </c>
      <c r="D527" s="476" t="s">
        <v>3741</v>
      </c>
      <c r="E527" s="476" t="s">
        <v>3675</v>
      </c>
      <c r="F527" s="476" t="s">
        <v>9</v>
      </c>
      <c r="G527" s="484" t="s">
        <v>2013</v>
      </c>
      <c r="H527" s="517" t="s">
        <v>4792</v>
      </c>
      <c r="I527" s="477" t="s">
        <v>5</v>
      </c>
      <c r="J527" s="476" t="s">
        <v>6</v>
      </c>
      <c r="K527" s="476" t="s">
        <v>28</v>
      </c>
      <c r="L527" s="184">
        <v>43921</v>
      </c>
      <c r="N527" s="480">
        <v>538075.06999999995</v>
      </c>
      <c r="O527" s="478" t="str">
        <f>IFERROR(VLOOKUP(A527,[1]Approval!A:C,3,FALSE),"")</f>
        <v/>
      </c>
      <c r="P527" s="184" t="str">
        <f>IFERROR(VLOOKUP(A527,[1]Approval!A:J,10,FALSE),"")</f>
        <v/>
      </c>
      <c r="R527" s="425">
        <f>2020-YEAR(Table227[[#This Row],[In-
Service
Date]])</f>
        <v>0</v>
      </c>
      <c r="S527" s="308">
        <f>+Table227[[#This Row],[Proj To Date
Actuals]]*1.02^R527</f>
        <v>538075.06999999995</v>
      </c>
    </row>
    <row r="528" spans="1:19" x14ac:dyDescent="0.25">
      <c r="A528" s="476" t="s">
        <v>3673</v>
      </c>
      <c r="B528" s="475" t="s">
        <v>3673</v>
      </c>
      <c r="C528" s="422" t="e">
        <f>VLOOKUP(B528,'Matter &amp; CI#'!$D$4:$E$595,2,FALSE)</f>
        <v>#N/A</v>
      </c>
      <c r="D528" s="476" t="s">
        <v>3674</v>
      </c>
      <c r="E528" s="476" t="s">
        <v>3675</v>
      </c>
      <c r="F528" s="476" t="s">
        <v>9</v>
      </c>
      <c r="G528" s="484" t="s">
        <v>2013</v>
      </c>
      <c r="H528" s="517" t="s">
        <v>4793</v>
      </c>
      <c r="I528" s="477" t="s">
        <v>5</v>
      </c>
      <c r="J528" s="476" t="s">
        <v>6</v>
      </c>
      <c r="K528" s="476" t="s">
        <v>28</v>
      </c>
      <c r="L528" s="184">
        <v>43942</v>
      </c>
      <c r="N528" s="480">
        <v>27684.39</v>
      </c>
      <c r="O528" s="478" t="str">
        <f>IFERROR(VLOOKUP(A528,[1]Approval!A:C,3,FALSE),"")</f>
        <v/>
      </c>
      <c r="P528" s="184" t="str">
        <f>IFERROR(VLOOKUP(A528,[1]Approval!A:J,10,FALSE),"")</f>
        <v/>
      </c>
      <c r="R528" s="425">
        <f>2020-YEAR(Table227[[#This Row],[In-
Service
Date]])</f>
        <v>0</v>
      </c>
      <c r="S528" s="308">
        <f>+Table227[[#This Row],[Proj To Date
Actuals]]*1.02^R528</f>
        <v>27684.39</v>
      </c>
    </row>
    <row r="529" spans="1:19" x14ac:dyDescent="0.25">
      <c r="A529" s="476" t="s">
        <v>3857</v>
      </c>
      <c r="B529" s="475" t="s">
        <v>3857</v>
      </c>
      <c r="C529" s="422" t="e">
        <f>VLOOKUP(B529,'Matter &amp; CI#'!$D$4:$E$595,2,FALSE)</f>
        <v>#N/A</v>
      </c>
      <c r="D529" s="476" t="s">
        <v>3858</v>
      </c>
      <c r="E529" s="476" t="s">
        <v>33</v>
      </c>
      <c r="F529" s="476" t="s">
        <v>9</v>
      </c>
      <c r="G529" s="484" t="s">
        <v>2013</v>
      </c>
      <c r="H529" s="517"/>
      <c r="I529" s="477" t="s">
        <v>5</v>
      </c>
      <c r="J529" s="476" t="s">
        <v>6</v>
      </c>
      <c r="K529" s="476" t="s">
        <v>28</v>
      </c>
      <c r="L529" s="184">
        <v>43951</v>
      </c>
      <c r="N529" s="480">
        <v>198708.22</v>
      </c>
      <c r="O529" s="478" t="str">
        <f>IFERROR(VLOOKUP(A529,[1]Approval!A:C,3,FALSE),"")</f>
        <v/>
      </c>
      <c r="P529" s="184" t="str">
        <f>IFERROR(VLOOKUP(A529,[1]Approval!A:J,10,FALSE),"")</f>
        <v/>
      </c>
      <c r="R529" s="425">
        <f>2020-YEAR(Table227[[#This Row],[In-
Service
Date]])</f>
        <v>0</v>
      </c>
      <c r="S529" s="308">
        <f>+Table227[[#This Row],[Proj To Date
Actuals]]*1.02^R529</f>
        <v>198708.22</v>
      </c>
    </row>
    <row r="530" spans="1:19" x14ac:dyDescent="0.25">
      <c r="A530" s="476" t="s">
        <v>3678</v>
      </c>
      <c r="B530" s="475" t="s">
        <v>3678</v>
      </c>
      <c r="C530" s="422" t="e">
        <f>VLOOKUP(B530,'Matter &amp; CI#'!$D$4:$E$595,2,FALSE)</f>
        <v>#N/A</v>
      </c>
      <c r="D530" s="476" t="s">
        <v>3679</v>
      </c>
      <c r="E530" s="476" t="s">
        <v>3675</v>
      </c>
      <c r="F530" s="476" t="s">
        <v>9</v>
      </c>
      <c r="G530" s="484" t="s">
        <v>2013</v>
      </c>
      <c r="H530" s="517" t="s">
        <v>4794</v>
      </c>
      <c r="I530" s="477" t="s">
        <v>5</v>
      </c>
      <c r="J530" s="476" t="s">
        <v>6</v>
      </c>
      <c r="K530" s="476" t="s">
        <v>28</v>
      </c>
      <c r="L530" s="184">
        <v>43952</v>
      </c>
      <c r="N530" s="480">
        <v>58086.41</v>
      </c>
      <c r="O530" s="478" t="str">
        <f>IFERROR(VLOOKUP(A530,[1]Approval!A:C,3,FALSE),"")</f>
        <v/>
      </c>
      <c r="P530" s="184" t="str">
        <f>IFERROR(VLOOKUP(A530,[1]Approval!A:J,10,FALSE),"")</f>
        <v/>
      </c>
      <c r="R530" s="425">
        <f>2020-YEAR(Table227[[#This Row],[In-
Service
Date]])</f>
        <v>0</v>
      </c>
      <c r="S530" s="308">
        <f>+Table227[[#This Row],[Proj To Date
Actuals]]*1.02^R530</f>
        <v>58086.41</v>
      </c>
    </row>
    <row r="531" spans="1:19" x14ac:dyDescent="0.25">
      <c r="A531" s="476" t="s">
        <v>3680</v>
      </c>
      <c r="B531" s="475" t="s">
        <v>3680</v>
      </c>
      <c r="C531" s="422" t="e">
        <f>VLOOKUP(B531,'Matter &amp; CI#'!$D$4:$E$595,2,FALSE)</f>
        <v>#N/A</v>
      </c>
      <c r="D531" s="476" t="s">
        <v>3681</v>
      </c>
      <c r="E531" s="476" t="s">
        <v>3675</v>
      </c>
      <c r="F531" s="476" t="s">
        <v>9</v>
      </c>
      <c r="G531" s="484" t="s">
        <v>2013</v>
      </c>
      <c r="H531" s="517" t="s">
        <v>4794</v>
      </c>
      <c r="I531" s="477" t="s">
        <v>5</v>
      </c>
      <c r="J531" s="476" t="s">
        <v>6</v>
      </c>
      <c r="K531" s="476" t="s">
        <v>28</v>
      </c>
      <c r="L531" s="184">
        <v>43982</v>
      </c>
      <c r="N531" s="480">
        <v>16238.4</v>
      </c>
      <c r="O531" s="478" t="str">
        <f>IFERROR(VLOOKUP(A531,[1]Approval!A:C,3,FALSE),"")</f>
        <v/>
      </c>
      <c r="P531" s="184" t="str">
        <f>IFERROR(VLOOKUP(A531,[1]Approval!A:J,10,FALSE),"")</f>
        <v/>
      </c>
      <c r="R531" s="425">
        <f>2020-YEAR(Table227[[#This Row],[In-
Service
Date]])</f>
        <v>0</v>
      </c>
      <c r="S531" s="308">
        <f>+Table227[[#This Row],[Proj To Date
Actuals]]*1.02^R531</f>
        <v>16238.4</v>
      </c>
    </row>
    <row r="532" spans="1:19" x14ac:dyDescent="0.25">
      <c r="A532" s="476" t="s">
        <v>3676</v>
      </c>
      <c r="B532" s="475" t="s">
        <v>3676</v>
      </c>
      <c r="C532" s="422" t="e">
        <f>VLOOKUP(B532,'Matter &amp; CI#'!$D$4:$E$595,2,FALSE)</f>
        <v>#N/A</v>
      </c>
      <c r="D532" s="476" t="s">
        <v>3677</v>
      </c>
      <c r="E532" s="476" t="s">
        <v>3675</v>
      </c>
      <c r="F532" s="476" t="s">
        <v>9</v>
      </c>
      <c r="G532" s="484" t="s">
        <v>2013</v>
      </c>
      <c r="H532" s="517" t="s">
        <v>4794</v>
      </c>
      <c r="I532" s="477" t="s">
        <v>5</v>
      </c>
      <c r="J532" s="476" t="s">
        <v>6</v>
      </c>
      <c r="K532" s="476" t="s">
        <v>28</v>
      </c>
      <c r="L532" s="184">
        <v>43984</v>
      </c>
      <c r="N532" s="480">
        <v>25224.15</v>
      </c>
      <c r="O532" s="478" t="str">
        <f>IFERROR(VLOOKUP(A532,[1]Approval!A:C,3,FALSE),"")</f>
        <v/>
      </c>
      <c r="P532" s="184" t="str">
        <f>IFERROR(VLOOKUP(A532,[1]Approval!A:J,10,FALSE),"")</f>
        <v/>
      </c>
      <c r="R532" s="425">
        <f>2020-YEAR(Table227[[#This Row],[In-
Service
Date]])</f>
        <v>0</v>
      </c>
      <c r="S532" s="308">
        <f>+Table227[[#This Row],[Proj To Date
Actuals]]*1.02^R532</f>
        <v>25224.15</v>
      </c>
    </row>
    <row r="533" spans="1:19" x14ac:dyDescent="0.25">
      <c r="A533" s="476" t="s">
        <v>3764</v>
      </c>
      <c r="B533" s="475" t="s">
        <v>3764</v>
      </c>
      <c r="C533" s="422" t="e">
        <f>VLOOKUP(B533,'Matter &amp; CI#'!$D$4:$E$595,2,FALSE)</f>
        <v>#N/A</v>
      </c>
      <c r="D533" s="476" t="s">
        <v>3765</v>
      </c>
      <c r="E533" s="476" t="s">
        <v>34</v>
      </c>
      <c r="F533" s="476" t="s">
        <v>9</v>
      </c>
      <c r="G533" s="484" t="s">
        <v>2013</v>
      </c>
      <c r="H533" s="517" t="s">
        <v>4795</v>
      </c>
      <c r="I533" s="477" t="s">
        <v>5</v>
      </c>
      <c r="J533" s="476" t="s">
        <v>6</v>
      </c>
      <c r="K533" s="476" t="s">
        <v>28</v>
      </c>
      <c r="L533" s="184">
        <v>44012</v>
      </c>
      <c r="N533" s="480">
        <v>77420.41</v>
      </c>
      <c r="O533" s="478" t="str">
        <f>IFERROR(VLOOKUP(A533,[1]Approval!A:C,3,FALSE),"")</f>
        <v/>
      </c>
      <c r="P533" s="184" t="str">
        <f>IFERROR(VLOOKUP(A533,[1]Approval!A:J,10,FALSE),"")</f>
        <v/>
      </c>
      <c r="R533" s="425">
        <f>2020-YEAR(Table227[[#This Row],[In-
Service
Date]])</f>
        <v>0</v>
      </c>
      <c r="S533" s="308">
        <f>+Table227[[#This Row],[Proj To Date
Actuals]]*1.02^R533</f>
        <v>77420.41</v>
      </c>
    </row>
    <row r="534" spans="1:19" x14ac:dyDescent="0.25">
      <c r="A534" s="476" t="s">
        <v>3744</v>
      </c>
      <c r="B534" s="475" t="s">
        <v>3744</v>
      </c>
      <c r="C534" s="422" t="e">
        <f>VLOOKUP(B534,'Matter &amp; CI#'!$D$4:$E$595,2,FALSE)</f>
        <v>#N/A</v>
      </c>
      <c r="D534" s="476" t="s">
        <v>3745</v>
      </c>
      <c r="E534" s="476" t="s">
        <v>3675</v>
      </c>
      <c r="F534" s="476" t="s">
        <v>9</v>
      </c>
      <c r="G534" s="484" t="s">
        <v>2013</v>
      </c>
      <c r="H534" s="517" t="s">
        <v>4794</v>
      </c>
      <c r="I534" s="477" t="s">
        <v>5</v>
      </c>
      <c r="J534" s="476" t="s">
        <v>6</v>
      </c>
      <c r="K534" s="476" t="s">
        <v>28</v>
      </c>
      <c r="L534" s="184">
        <v>44012</v>
      </c>
      <c r="N534" s="480">
        <v>27170.77</v>
      </c>
      <c r="O534" s="478" t="str">
        <f>IFERROR(VLOOKUP(A534,[1]Approval!A:C,3,FALSE),"")</f>
        <v/>
      </c>
      <c r="P534" s="184" t="str">
        <f>IFERROR(VLOOKUP(A534,[1]Approval!A:J,10,FALSE),"")</f>
        <v/>
      </c>
      <c r="R534" s="425">
        <f>2020-YEAR(Table227[[#This Row],[In-
Service
Date]])</f>
        <v>0</v>
      </c>
      <c r="S534" s="308">
        <f>+Table227[[#This Row],[Proj To Date
Actuals]]*1.02^R534</f>
        <v>27170.77</v>
      </c>
    </row>
    <row r="535" spans="1:19" x14ac:dyDescent="0.25">
      <c r="A535" s="476" t="s">
        <v>3798</v>
      </c>
      <c r="B535" s="475" t="s">
        <v>3798</v>
      </c>
      <c r="C535" s="422" t="e">
        <f>VLOOKUP(B535,'Matter &amp; CI#'!$D$4:$E$595,2,FALSE)</f>
        <v>#N/A</v>
      </c>
      <c r="D535" s="476" t="s">
        <v>3799</v>
      </c>
      <c r="E535" s="476" t="s">
        <v>10</v>
      </c>
      <c r="F535" s="476" t="s">
        <v>9</v>
      </c>
      <c r="G535" s="484" t="s">
        <v>2013</v>
      </c>
      <c r="H535" s="517" t="s">
        <v>4794</v>
      </c>
      <c r="I535" s="477" t="s">
        <v>5</v>
      </c>
      <c r="J535" s="476" t="s">
        <v>6</v>
      </c>
      <c r="K535" s="476" t="s">
        <v>28</v>
      </c>
      <c r="L535" s="184">
        <v>44012</v>
      </c>
      <c r="N535" s="480">
        <v>18959.21</v>
      </c>
      <c r="O535" s="478" t="str">
        <f>IFERROR(VLOOKUP(A535,[1]Approval!A:C,3,FALSE),"")</f>
        <v/>
      </c>
      <c r="P535" s="184" t="str">
        <f>IFERROR(VLOOKUP(A535,[1]Approval!A:J,10,FALSE),"")</f>
        <v/>
      </c>
      <c r="R535" s="425">
        <f>2020-YEAR(Table227[[#This Row],[In-
Service
Date]])</f>
        <v>0</v>
      </c>
      <c r="S535" s="308">
        <f>+Table227[[#This Row],[Proj To Date
Actuals]]*1.02^R535</f>
        <v>18959.21</v>
      </c>
    </row>
    <row r="536" spans="1:19" x14ac:dyDescent="0.25">
      <c r="A536" s="476" t="s">
        <v>3718</v>
      </c>
      <c r="B536" s="475" t="s">
        <v>3718</v>
      </c>
      <c r="C536" s="422" t="e">
        <f>VLOOKUP(B536,'Matter &amp; CI#'!$D$4:$E$595,2,FALSE)</f>
        <v>#N/A</v>
      </c>
      <c r="D536" s="476" t="s">
        <v>3719</v>
      </c>
      <c r="E536" s="476" t="s">
        <v>3675</v>
      </c>
      <c r="F536" s="476" t="s">
        <v>9</v>
      </c>
      <c r="G536" s="484" t="s">
        <v>2013</v>
      </c>
      <c r="H536" s="517" t="s">
        <v>4794</v>
      </c>
      <c r="I536" s="477" t="s">
        <v>5</v>
      </c>
      <c r="J536" s="476" t="s">
        <v>6</v>
      </c>
      <c r="K536" s="476" t="s">
        <v>28</v>
      </c>
      <c r="L536" s="184">
        <v>44012</v>
      </c>
      <c r="N536" s="480">
        <v>24927.15</v>
      </c>
      <c r="O536" s="478" t="str">
        <f>IFERROR(VLOOKUP(A536,[1]Approval!A:C,3,FALSE),"")</f>
        <v/>
      </c>
      <c r="P536" s="184" t="str">
        <f>IFERROR(VLOOKUP(A536,[1]Approval!A:J,10,FALSE),"")</f>
        <v/>
      </c>
      <c r="R536" s="425">
        <f>2020-YEAR(Table227[[#This Row],[In-
Service
Date]])</f>
        <v>0</v>
      </c>
      <c r="S536" s="308">
        <f>+Table227[[#This Row],[Proj To Date
Actuals]]*1.02^R536</f>
        <v>24927.15</v>
      </c>
    </row>
    <row r="537" spans="1:19" x14ac:dyDescent="0.25">
      <c r="A537" s="476" t="s">
        <v>3876</v>
      </c>
      <c r="B537" s="475" t="s">
        <v>3876</v>
      </c>
      <c r="C537" s="422" t="e">
        <f>VLOOKUP(B537,'Matter &amp; CI#'!$D$4:$E$595,2,FALSE)</f>
        <v>#N/A</v>
      </c>
      <c r="D537" s="476" t="s">
        <v>3877</v>
      </c>
      <c r="E537" s="476" t="s">
        <v>3675</v>
      </c>
      <c r="F537" s="476" t="s">
        <v>9</v>
      </c>
      <c r="G537" s="484" t="s">
        <v>2013</v>
      </c>
      <c r="H537" s="517" t="s">
        <v>4794</v>
      </c>
      <c r="I537" s="477" t="s">
        <v>5</v>
      </c>
      <c r="J537" s="476" t="s">
        <v>6</v>
      </c>
      <c r="K537" s="476" t="s">
        <v>28</v>
      </c>
      <c r="L537" s="184">
        <v>44013</v>
      </c>
      <c r="N537" s="481">
        <v>29685.18</v>
      </c>
      <c r="O537" s="478" t="str">
        <f>IFERROR(VLOOKUP(A537,[1]Approval!A:C,3,FALSE),"")</f>
        <v/>
      </c>
      <c r="P537" s="184" t="str">
        <f>IFERROR(VLOOKUP(A537,[1]Approval!A:J,10,FALSE),"")</f>
        <v/>
      </c>
      <c r="R537" s="425">
        <f>2020-YEAR(Table227[[#This Row],[In-
Service
Date]])</f>
        <v>0</v>
      </c>
      <c r="S537" s="308">
        <f>+Table227[[#This Row],[Proj To Date
Actuals]]*1.02^R537</f>
        <v>29685.18</v>
      </c>
    </row>
    <row r="538" spans="1:19" x14ac:dyDescent="0.25">
      <c r="A538" s="476" t="s">
        <v>3839</v>
      </c>
      <c r="B538" s="475" t="s">
        <v>3839</v>
      </c>
      <c r="C538" s="422" t="e">
        <f>VLOOKUP(B538,'Matter &amp; CI#'!$D$4:$E$595,2,FALSE)</f>
        <v>#N/A</v>
      </c>
      <c r="D538" s="476" t="s">
        <v>3840</v>
      </c>
      <c r="E538" s="476" t="s">
        <v>10</v>
      </c>
      <c r="F538" s="476" t="s">
        <v>9</v>
      </c>
      <c r="G538" s="484" t="s">
        <v>2013</v>
      </c>
      <c r="H538" s="517" t="s">
        <v>4797</v>
      </c>
      <c r="I538" s="477" t="s">
        <v>5</v>
      </c>
      <c r="J538" s="476" t="s">
        <v>14</v>
      </c>
      <c r="K538" s="476" t="s">
        <v>28</v>
      </c>
      <c r="L538" s="184">
        <v>44043</v>
      </c>
      <c r="N538" s="480">
        <v>19203.18</v>
      </c>
      <c r="O538" s="478" t="str">
        <f>IFERROR(VLOOKUP(A538,[1]Approval!A:C,3,FALSE),"")</f>
        <v/>
      </c>
      <c r="P538" s="184" t="str">
        <f>IFERROR(VLOOKUP(A538,[1]Approval!A:J,10,FALSE),"")</f>
        <v/>
      </c>
      <c r="R538" s="425">
        <f>2020-YEAR(Table227[[#This Row],[In-
Service
Date]])</f>
        <v>0</v>
      </c>
      <c r="S538" s="308">
        <f>+Table227[[#This Row],[Proj To Date
Actuals]]*1.02^R538</f>
        <v>19203.18</v>
      </c>
    </row>
    <row r="539" spans="1:19" x14ac:dyDescent="0.25">
      <c r="A539" s="476" t="s">
        <v>3835</v>
      </c>
      <c r="B539" s="475" t="s">
        <v>3835</v>
      </c>
      <c r="C539" s="422" t="e">
        <f>VLOOKUP(B539,'Matter &amp; CI#'!$D$4:$E$595,2,FALSE)</f>
        <v>#N/A</v>
      </c>
      <c r="D539" s="476" t="s">
        <v>3836</v>
      </c>
      <c r="E539" s="476" t="s">
        <v>10</v>
      </c>
      <c r="F539" s="476" t="s">
        <v>9</v>
      </c>
      <c r="G539" s="484" t="s">
        <v>2013</v>
      </c>
      <c r="H539" s="517" t="s">
        <v>4798</v>
      </c>
      <c r="I539" s="477" t="s">
        <v>5</v>
      </c>
      <c r="J539" s="476" t="s">
        <v>43</v>
      </c>
      <c r="K539" s="476" t="s">
        <v>28</v>
      </c>
      <c r="L539" s="184">
        <v>44043</v>
      </c>
      <c r="N539" s="480">
        <v>67807.77</v>
      </c>
      <c r="O539" s="478" t="str">
        <f>IFERROR(VLOOKUP(A539,[1]Approval!A:C,3,FALSE),"")</f>
        <v/>
      </c>
      <c r="P539" s="184" t="str">
        <f>IFERROR(VLOOKUP(A539,[1]Approval!A:J,10,FALSE),"")</f>
        <v/>
      </c>
      <c r="R539" s="425">
        <f>2020-YEAR(Table227[[#This Row],[In-
Service
Date]])</f>
        <v>0</v>
      </c>
      <c r="S539" s="308">
        <f>+Table227[[#This Row],[Proj To Date
Actuals]]*1.02^R539</f>
        <v>67807.77</v>
      </c>
    </row>
    <row r="540" spans="1:19" x14ac:dyDescent="0.25">
      <c r="A540" s="476" t="s">
        <v>3833</v>
      </c>
      <c r="B540" s="475" t="s">
        <v>3833</v>
      </c>
      <c r="C540" s="422" t="e">
        <f>VLOOKUP(B540,'Matter &amp; CI#'!$D$4:$E$595,2,FALSE)</f>
        <v>#N/A</v>
      </c>
      <c r="D540" s="476" t="s">
        <v>3834</v>
      </c>
      <c r="E540" s="476" t="s">
        <v>3675</v>
      </c>
      <c r="F540" s="476" t="s">
        <v>9</v>
      </c>
      <c r="G540" s="484" t="s">
        <v>2013</v>
      </c>
      <c r="H540" s="517" t="s">
        <v>4794</v>
      </c>
      <c r="I540" s="477" t="s">
        <v>5</v>
      </c>
      <c r="J540" s="476" t="s">
        <v>6</v>
      </c>
      <c r="K540" s="476" t="s">
        <v>28</v>
      </c>
      <c r="L540" s="184">
        <v>44043</v>
      </c>
      <c r="N540" s="480">
        <v>20057.259999999998</v>
      </c>
      <c r="O540" s="478" t="str">
        <f>IFERROR(VLOOKUP(A540,[1]Approval!A:C,3,FALSE),"")</f>
        <v/>
      </c>
      <c r="P540" s="184" t="str">
        <f>IFERROR(VLOOKUP(A540,[1]Approval!A:J,10,FALSE),"")</f>
        <v/>
      </c>
      <c r="R540" s="425">
        <f>2020-YEAR(Table227[[#This Row],[In-
Service
Date]])</f>
        <v>0</v>
      </c>
      <c r="S540" s="308">
        <f>+Table227[[#This Row],[Proj To Date
Actuals]]*1.02^R540</f>
        <v>20057.259999999998</v>
      </c>
    </row>
    <row r="541" spans="1:19" x14ac:dyDescent="0.25">
      <c r="A541" s="476" t="s">
        <v>3837</v>
      </c>
      <c r="B541" s="475" t="s">
        <v>3837</v>
      </c>
      <c r="C541" s="422" t="e">
        <f>VLOOKUP(B541,'Matter &amp; CI#'!$D$4:$E$595,2,FALSE)</f>
        <v>#N/A</v>
      </c>
      <c r="D541" s="476" t="s">
        <v>3838</v>
      </c>
      <c r="E541" s="476" t="s">
        <v>3675</v>
      </c>
      <c r="F541" s="476" t="s">
        <v>9</v>
      </c>
      <c r="G541" s="484" t="s">
        <v>2013</v>
      </c>
      <c r="H541" s="517" t="s">
        <v>4799</v>
      </c>
      <c r="I541" s="477" t="s">
        <v>5</v>
      </c>
      <c r="J541" s="476" t="s">
        <v>6</v>
      </c>
      <c r="K541" s="476" t="s">
        <v>28</v>
      </c>
      <c r="L541" s="184">
        <v>44043</v>
      </c>
      <c r="N541" s="480">
        <v>7707.97</v>
      </c>
      <c r="O541" s="478" t="str">
        <f>IFERROR(VLOOKUP(A541,[1]Approval!A:C,3,FALSE),"")</f>
        <v/>
      </c>
      <c r="P541" s="184" t="str">
        <f>IFERROR(VLOOKUP(A541,[1]Approval!A:J,10,FALSE),"")</f>
        <v/>
      </c>
      <c r="R541" s="425">
        <f>2020-YEAR(Table227[[#This Row],[In-
Service
Date]])</f>
        <v>0</v>
      </c>
      <c r="S541" s="308">
        <f>+Table227[[#This Row],[Proj To Date
Actuals]]*1.02^R541</f>
        <v>7707.97</v>
      </c>
    </row>
    <row r="542" spans="1:19" x14ac:dyDescent="0.25">
      <c r="A542" s="476" t="s">
        <v>3732</v>
      </c>
      <c r="B542" s="475" t="s">
        <v>3732</v>
      </c>
      <c r="C542" s="422" t="e">
        <f>VLOOKUP(B542,'Matter &amp; CI#'!$D$4:$E$595,2,FALSE)</f>
        <v>#N/A</v>
      </c>
      <c r="D542" s="476" t="s">
        <v>3733</v>
      </c>
      <c r="E542" s="476" t="s">
        <v>10</v>
      </c>
      <c r="F542" s="476" t="s">
        <v>9</v>
      </c>
      <c r="G542" s="484" t="s">
        <v>2013</v>
      </c>
      <c r="H542" s="517" t="s">
        <v>4837</v>
      </c>
      <c r="I542" s="477" t="s">
        <v>5</v>
      </c>
      <c r="J542" s="476" t="s">
        <v>6</v>
      </c>
      <c r="K542" s="476" t="s">
        <v>28</v>
      </c>
      <c r="L542" s="184">
        <v>44074</v>
      </c>
      <c r="N542" s="480">
        <v>455351.52</v>
      </c>
      <c r="O542" s="478" t="str">
        <f>IFERROR(VLOOKUP(A542,[1]Approval!A:C,3,FALSE),"")</f>
        <v/>
      </c>
      <c r="P542" s="184" t="str">
        <f>IFERROR(VLOOKUP(A542,[1]Approval!A:J,10,FALSE),"")</f>
        <v/>
      </c>
      <c r="R542" s="425">
        <f>2020-YEAR(Table227[[#This Row],[In-
Service
Date]])</f>
        <v>0</v>
      </c>
      <c r="S542" s="308">
        <f>+Table227[[#This Row],[Proj To Date
Actuals]]*1.02^R542</f>
        <v>455351.52</v>
      </c>
    </row>
    <row r="543" spans="1:19" x14ac:dyDescent="0.25">
      <c r="A543" s="476" t="s">
        <v>3722</v>
      </c>
      <c r="B543" s="475" t="s">
        <v>3722</v>
      </c>
      <c r="C543" s="422" t="e">
        <f>VLOOKUP(B543,'Matter &amp; CI#'!$D$4:$E$595,2,FALSE)</f>
        <v>#N/A</v>
      </c>
      <c r="D543" s="476" t="s">
        <v>3723</v>
      </c>
      <c r="E543" s="476" t="s">
        <v>10</v>
      </c>
      <c r="F543" s="476" t="s">
        <v>9</v>
      </c>
      <c r="G543" s="484" t="s">
        <v>2013</v>
      </c>
      <c r="H543" s="517" t="s">
        <v>4800</v>
      </c>
      <c r="I543" s="477" t="s">
        <v>5</v>
      </c>
      <c r="J543" s="476" t="s">
        <v>131</v>
      </c>
      <c r="K543" s="476" t="s">
        <v>28</v>
      </c>
      <c r="L543" s="184">
        <v>44074</v>
      </c>
      <c r="N543" s="480">
        <v>63546.49</v>
      </c>
      <c r="O543" s="478" t="str">
        <f>IFERROR(VLOOKUP(A543,[1]Approval!A:C,3,FALSE),"")</f>
        <v/>
      </c>
      <c r="P543" s="184" t="str">
        <f>IFERROR(VLOOKUP(A543,[1]Approval!A:J,10,FALSE),"")</f>
        <v/>
      </c>
      <c r="R543" s="425">
        <f>2020-YEAR(Table227[[#This Row],[In-
Service
Date]])</f>
        <v>0</v>
      </c>
      <c r="S543" s="308">
        <f>+Table227[[#This Row],[Proj To Date
Actuals]]*1.02^R543</f>
        <v>63546.49</v>
      </c>
    </row>
    <row r="544" spans="1:19" x14ac:dyDescent="0.25">
      <c r="A544" s="476" t="s">
        <v>3724</v>
      </c>
      <c r="B544" s="475" t="s">
        <v>3724</v>
      </c>
      <c r="C544" s="422" t="e">
        <f>VLOOKUP(B544,'Matter &amp; CI#'!$D$4:$E$595,2,FALSE)</f>
        <v>#N/A</v>
      </c>
      <c r="D544" s="476" t="s">
        <v>3725</v>
      </c>
      <c r="E544" s="476" t="s">
        <v>10</v>
      </c>
      <c r="F544" s="476" t="s">
        <v>9</v>
      </c>
      <c r="G544" s="484" t="s">
        <v>2013</v>
      </c>
      <c r="H544" s="517" t="s">
        <v>4801</v>
      </c>
      <c r="I544" s="477" t="s">
        <v>5</v>
      </c>
      <c r="J544" s="476" t="s">
        <v>6</v>
      </c>
      <c r="K544" s="476" t="s">
        <v>28</v>
      </c>
      <c r="L544" s="184">
        <v>44074</v>
      </c>
      <c r="N544" s="480">
        <v>489293.05</v>
      </c>
      <c r="O544" s="478" t="str">
        <f>IFERROR(VLOOKUP(A544,[1]Approval!A:C,3,FALSE),"")</f>
        <v/>
      </c>
      <c r="P544" s="184" t="str">
        <f>IFERROR(VLOOKUP(A544,[1]Approval!A:J,10,FALSE),"")</f>
        <v/>
      </c>
      <c r="R544" s="425">
        <f>2020-YEAR(Table227[[#This Row],[In-
Service
Date]])</f>
        <v>0</v>
      </c>
      <c r="S544" s="308">
        <f>+Table227[[#This Row],[Proj To Date
Actuals]]*1.02^R544</f>
        <v>489293.05</v>
      </c>
    </row>
    <row r="545" spans="1:19" x14ac:dyDescent="0.25">
      <c r="A545" s="476" t="s">
        <v>3829</v>
      </c>
      <c r="B545" s="475" t="s">
        <v>3829</v>
      </c>
      <c r="C545" s="422" t="e">
        <f>VLOOKUP(B545,'Matter &amp; CI#'!$D$4:$E$595,2,FALSE)</f>
        <v>#N/A</v>
      </c>
      <c r="D545" s="476" t="s">
        <v>3830</v>
      </c>
      <c r="E545" s="476" t="s">
        <v>10</v>
      </c>
      <c r="F545" s="476" t="s">
        <v>9</v>
      </c>
      <c r="G545" s="484" t="s">
        <v>2013</v>
      </c>
      <c r="H545" s="517" t="s">
        <v>4802</v>
      </c>
      <c r="I545" s="477" t="s">
        <v>5</v>
      </c>
      <c r="J545" s="476" t="s">
        <v>14</v>
      </c>
      <c r="K545" s="476" t="s">
        <v>28</v>
      </c>
      <c r="L545" s="184">
        <v>44104</v>
      </c>
      <c r="N545" s="480">
        <v>70714.570000000007</v>
      </c>
      <c r="O545" s="478" t="str">
        <f>IFERROR(VLOOKUP(A545,[1]Approval!A:C,3,FALSE),"")</f>
        <v/>
      </c>
      <c r="P545" s="184" t="str">
        <f>IFERROR(VLOOKUP(A545,[1]Approval!A:J,10,FALSE),"")</f>
        <v/>
      </c>
      <c r="R545" s="425">
        <f>2020-YEAR(Table227[[#This Row],[In-
Service
Date]])</f>
        <v>0</v>
      </c>
      <c r="S545" s="308">
        <f>+Table227[[#This Row],[Proj To Date
Actuals]]*1.02^R545</f>
        <v>70714.570000000007</v>
      </c>
    </row>
    <row r="546" spans="1:19" x14ac:dyDescent="0.25">
      <c r="A546" s="476" t="s">
        <v>3817</v>
      </c>
      <c r="B546" s="475" t="s">
        <v>3817</v>
      </c>
      <c r="C546" s="422" t="e">
        <f>VLOOKUP(B546,'Matter &amp; CI#'!$D$4:$E$595,2,FALSE)</f>
        <v>#N/A</v>
      </c>
      <c r="D546" s="476" t="s">
        <v>3818</v>
      </c>
      <c r="E546" s="476" t="s">
        <v>10</v>
      </c>
      <c r="F546" s="476" t="s">
        <v>9</v>
      </c>
      <c r="G546" s="484" t="s">
        <v>2013</v>
      </c>
      <c r="H546" s="517"/>
      <c r="I546" s="477" t="s">
        <v>5</v>
      </c>
      <c r="J546" s="476" t="s">
        <v>6</v>
      </c>
      <c r="K546" s="476" t="s">
        <v>28</v>
      </c>
      <c r="L546" s="184">
        <v>44104</v>
      </c>
      <c r="N546" s="480">
        <v>83657.98</v>
      </c>
      <c r="O546" s="478" t="str">
        <f>IFERROR(VLOOKUP(A546,[1]Approval!A:C,3,FALSE),"")</f>
        <v/>
      </c>
      <c r="P546" s="184" t="str">
        <f>IFERROR(VLOOKUP(A546,[1]Approval!A:J,10,FALSE),"")</f>
        <v/>
      </c>
      <c r="R546" s="425">
        <f>2020-YEAR(Table227[[#This Row],[In-
Service
Date]])</f>
        <v>0</v>
      </c>
      <c r="S546" s="308">
        <f>+Table227[[#This Row],[Proj To Date
Actuals]]*1.02^R546</f>
        <v>83657.98</v>
      </c>
    </row>
    <row r="547" spans="1:19" x14ac:dyDescent="0.25">
      <c r="A547" s="476" t="s">
        <v>1476</v>
      </c>
      <c r="B547" s="475" t="s">
        <v>1476</v>
      </c>
      <c r="C547" s="422" t="e">
        <f>VLOOKUP(B547,'Matter &amp; CI#'!$D$4:$E$595,2,FALSE)</f>
        <v>#N/A</v>
      </c>
      <c r="D547" s="476" t="s">
        <v>1477</v>
      </c>
      <c r="E547" s="476" t="s">
        <v>10</v>
      </c>
      <c r="F547" s="476" t="s">
        <v>9</v>
      </c>
      <c r="G547" s="485" t="s">
        <v>2013</v>
      </c>
      <c r="H547" s="518" t="s">
        <v>4803</v>
      </c>
      <c r="I547" s="477" t="s">
        <v>5</v>
      </c>
      <c r="J547" s="476" t="s">
        <v>13</v>
      </c>
      <c r="K547" s="476" t="s">
        <v>28</v>
      </c>
      <c r="L547" s="184">
        <v>44104</v>
      </c>
      <c r="N547" s="481">
        <v>63385.41</v>
      </c>
      <c r="O547" s="478" t="str">
        <f>IFERROR(VLOOKUP(A547,[1]Approval!A:C,3,FALSE),"")</f>
        <v/>
      </c>
      <c r="P547" s="184" t="str">
        <f>IFERROR(VLOOKUP(A547,[1]Approval!A:J,10,FALSE),"")</f>
        <v/>
      </c>
      <c r="R547" s="425">
        <f>2020-YEAR(Table227[[#This Row],[In-
Service
Date]])</f>
        <v>0</v>
      </c>
      <c r="S547" s="308">
        <f>+Table227[[#This Row],[Proj To Date
Actuals]]*1.02^R547</f>
        <v>63385.41</v>
      </c>
    </row>
    <row r="548" spans="1:19" x14ac:dyDescent="0.25">
      <c r="A548" s="476" t="s">
        <v>3758</v>
      </c>
      <c r="B548" s="475" t="s">
        <v>3758</v>
      </c>
      <c r="C548" s="422" t="e">
        <f>VLOOKUP(B548,'Matter &amp; CI#'!$D$4:$E$595,2,FALSE)</f>
        <v>#N/A</v>
      </c>
      <c r="D548" s="476" t="s">
        <v>3759</v>
      </c>
      <c r="E548" s="476" t="s">
        <v>10</v>
      </c>
      <c r="F548" s="476" t="s">
        <v>9</v>
      </c>
      <c r="G548" s="484" t="s">
        <v>2013</v>
      </c>
      <c r="H548" s="517" t="s">
        <v>4804</v>
      </c>
      <c r="I548" s="477" t="s">
        <v>5</v>
      </c>
      <c r="J548" s="476" t="s">
        <v>43</v>
      </c>
      <c r="K548" s="476" t="s">
        <v>28</v>
      </c>
      <c r="L548" s="184">
        <v>44104</v>
      </c>
      <c r="N548" s="480">
        <v>4015.24</v>
      </c>
      <c r="O548" s="478" t="str">
        <f>IFERROR(VLOOKUP(A548,[1]Approval!A:C,3,FALSE),"")</f>
        <v/>
      </c>
      <c r="P548" s="184" t="str">
        <f>IFERROR(VLOOKUP(A548,[1]Approval!A:J,10,FALSE),"")</f>
        <v/>
      </c>
      <c r="R548" s="425">
        <f>2020-YEAR(Table227[[#This Row],[In-
Service
Date]])</f>
        <v>0</v>
      </c>
      <c r="S548" s="308">
        <f>+Table227[[#This Row],[Proj To Date
Actuals]]*1.02^R548</f>
        <v>4015.24</v>
      </c>
    </row>
    <row r="549" spans="1:19" x14ac:dyDescent="0.25">
      <c r="A549" s="476" t="s">
        <v>3726</v>
      </c>
      <c r="B549" s="475" t="s">
        <v>3726</v>
      </c>
      <c r="C549" s="422" t="e">
        <f>VLOOKUP(B549,'Matter &amp; CI#'!$D$4:$E$595,2,FALSE)</f>
        <v>#N/A</v>
      </c>
      <c r="D549" s="476" t="s">
        <v>3727</v>
      </c>
      <c r="E549" s="476" t="s">
        <v>10</v>
      </c>
      <c r="F549" s="476" t="s">
        <v>9</v>
      </c>
      <c r="G549" s="484" t="s">
        <v>2013</v>
      </c>
      <c r="H549" s="517" t="s">
        <v>4805</v>
      </c>
      <c r="I549" s="477" t="s">
        <v>5</v>
      </c>
      <c r="J549" s="476" t="s">
        <v>6</v>
      </c>
      <c r="K549" s="476" t="s">
        <v>28</v>
      </c>
      <c r="L549" s="184">
        <v>44104</v>
      </c>
      <c r="N549" s="480">
        <v>55836.39</v>
      </c>
      <c r="O549" s="478" t="str">
        <f>IFERROR(VLOOKUP(A549,[1]Approval!A:C,3,FALSE),"")</f>
        <v/>
      </c>
      <c r="P549" s="184" t="str">
        <f>IFERROR(VLOOKUP(A549,[1]Approval!A:J,10,FALSE),"")</f>
        <v/>
      </c>
      <c r="R549" s="425">
        <f>2020-YEAR(Table227[[#This Row],[In-
Service
Date]])</f>
        <v>0</v>
      </c>
      <c r="S549" s="308">
        <f>+Table227[[#This Row],[Proj To Date
Actuals]]*1.02^R549</f>
        <v>55836.39</v>
      </c>
    </row>
    <row r="550" spans="1:19" x14ac:dyDescent="0.25">
      <c r="A550" s="476" t="s">
        <v>3688</v>
      </c>
      <c r="B550" s="475" t="s">
        <v>3688</v>
      </c>
      <c r="C550" s="422" t="e">
        <f>VLOOKUP(B550,'Matter &amp; CI#'!$D$4:$E$595,2,FALSE)</f>
        <v>#N/A</v>
      </c>
      <c r="D550" s="476" t="s">
        <v>3689</v>
      </c>
      <c r="E550" s="476" t="s">
        <v>10</v>
      </c>
      <c r="F550" s="476" t="s">
        <v>9</v>
      </c>
      <c r="G550" s="484" t="s">
        <v>2013</v>
      </c>
      <c r="H550" s="517"/>
      <c r="I550" s="477" t="s">
        <v>5</v>
      </c>
      <c r="J550" s="476" t="s">
        <v>182</v>
      </c>
      <c r="K550" s="476" t="s">
        <v>28</v>
      </c>
      <c r="L550" s="184">
        <v>44104</v>
      </c>
      <c r="N550" s="480">
        <v>534919.41</v>
      </c>
      <c r="O550" s="478" t="str">
        <f>IFERROR(VLOOKUP(A550,[1]Approval!A:C,3,FALSE),"")</f>
        <v/>
      </c>
      <c r="P550" s="184" t="str">
        <f>IFERROR(VLOOKUP(A550,[1]Approval!A:J,10,FALSE),"")</f>
        <v/>
      </c>
      <c r="R550" s="425">
        <f>2020-YEAR(Table227[[#This Row],[In-
Service
Date]])</f>
        <v>0</v>
      </c>
      <c r="S550" s="308">
        <f>+Table227[[#This Row],[Proj To Date
Actuals]]*1.02^R550</f>
        <v>534919.41</v>
      </c>
    </row>
    <row r="551" spans="1:19" x14ac:dyDescent="0.25">
      <c r="A551" s="476" t="s">
        <v>3867</v>
      </c>
      <c r="B551" s="475" t="s">
        <v>3867</v>
      </c>
      <c r="C551" s="422" t="e">
        <f>VLOOKUP(B551,'Matter &amp; CI#'!$D$4:$E$595,2,FALSE)</f>
        <v>#N/A</v>
      </c>
      <c r="D551" s="476" t="s">
        <v>3868</v>
      </c>
      <c r="E551" s="476" t="s">
        <v>228</v>
      </c>
      <c r="F551" s="476" t="s">
        <v>9</v>
      </c>
      <c r="G551" s="484" t="s">
        <v>2013</v>
      </c>
      <c r="H551" s="517" t="s">
        <v>4806</v>
      </c>
      <c r="I551" s="477" t="s">
        <v>5</v>
      </c>
      <c r="J551" s="476" t="s">
        <v>8</v>
      </c>
      <c r="K551" s="476" t="s">
        <v>28</v>
      </c>
      <c r="L551" s="184">
        <v>44135</v>
      </c>
      <c r="N551" s="481">
        <v>121909.13</v>
      </c>
      <c r="O551" s="478" t="str">
        <f>IFERROR(VLOOKUP(A551,[1]Approval!A:C,3,FALSE),"")</f>
        <v/>
      </c>
      <c r="P551" s="184" t="str">
        <f>IFERROR(VLOOKUP(A551,[1]Approval!A:J,10,FALSE),"")</f>
        <v/>
      </c>
      <c r="R551" s="425">
        <f>2020-YEAR(Table227[[#This Row],[In-
Service
Date]])</f>
        <v>0</v>
      </c>
      <c r="S551" s="308">
        <f>+Table227[[#This Row],[Proj To Date
Actuals]]*1.02^R551</f>
        <v>121909.13</v>
      </c>
    </row>
    <row r="552" spans="1:19" x14ac:dyDescent="0.25">
      <c r="A552" s="476" t="s">
        <v>3756</v>
      </c>
      <c r="B552" s="475" t="s">
        <v>3756</v>
      </c>
      <c r="C552" s="422" t="e">
        <f>VLOOKUP(B552,'Matter &amp; CI#'!$D$4:$E$595,2,FALSE)</f>
        <v>#N/A</v>
      </c>
      <c r="D552" s="476" t="s">
        <v>3757</v>
      </c>
      <c r="E552" s="476" t="s">
        <v>3675</v>
      </c>
      <c r="F552" s="476" t="s">
        <v>9</v>
      </c>
      <c r="G552" s="484" t="s">
        <v>2013</v>
      </c>
      <c r="H552" s="517" t="s">
        <v>4807</v>
      </c>
      <c r="I552" s="477" t="s">
        <v>5</v>
      </c>
      <c r="J552" s="476" t="s">
        <v>6</v>
      </c>
      <c r="K552" s="476" t="s">
        <v>28</v>
      </c>
      <c r="L552" s="184">
        <v>44135</v>
      </c>
      <c r="N552" s="480">
        <v>79589.98</v>
      </c>
      <c r="O552" s="478" t="str">
        <f>IFERROR(VLOOKUP(A552,[1]Approval!A:C,3,FALSE),"")</f>
        <v/>
      </c>
      <c r="P552" s="184" t="str">
        <f>IFERROR(VLOOKUP(A552,[1]Approval!A:J,10,FALSE),"")</f>
        <v/>
      </c>
      <c r="R552" s="425">
        <f>2020-YEAR(Table227[[#This Row],[In-
Service
Date]])</f>
        <v>0</v>
      </c>
      <c r="S552" s="308">
        <f>+Table227[[#This Row],[Proj To Date
Actuals]]*1.02^R552</f>
        <v>79589.98</v>
      </c>
    </row>
    <row r="553" spans="1:19" x14ac:dyDescent="0.25">
      <c r="A553" s="476" t="s">
        <v>3780</v>
      </c>
      <c r="B553" s="475" t="s">
        <v>3780</v>
      </c>
      <c r="C553" s="422" t="e">
        <f>VLOOKUP(B553,'Matter &amp; CI#'!$D$4:$E$595,2,FALSE)</f>
        <v>#N/A</v>
      </c>
      <c r="D553" s="476" t="s">
        <v>3781</v>
      </c>
      <c r="E553" s="476" t="s">
        <v>10</v>
      </c>
      <c r="F553" s="476" t="s">
        <v>9</v>
      </c>
      <c r="G553" s="484" t="s">
        <v>2013</v>
      </c>
      <c r="H553" s="517" t="s">
        <v>4808</v>
      </c>
      <c r="I553" s="477" t="s">
        <v>5</v>
      </c>
      <c r="J553" s="476" t="s">
        <v>14</v>
      </c>
      <c r="K553" s="476" t="s">
        <v>28</v>
      </c>
      <c r="L553" s="184">
        <v>44135</v>
      </c>
      <c r="N553" s="480">
        <v>9689.14</v>
      </c>
      <c r="O553" s="478" t="str">
        <f>IFERROR(VLOOKUP(A553,[1]Approval!A:C,3,FALSE),"")</f>
        <v/>
      </c>
      <c r="P553" s="184" t="str">
        <f>IFERROR(VLOOKUP(A553,[1]Approval!A:J,10,FALSE),"")</f>
        <v/>
      </c>
      <c r="R553" s="425">
        <f>2020-YEAR(Table227[[#This Row],[In-
Service
Date]])</f>
        <v>0</v>
      </c>
      <c r="S553" s="308">
        <f>+Table227[[#This Row],[Proj To Date
Actuals]]*1.02^R553</f>
        <v>9689.14</v>
      </c>
    </row>
    <row r="554" spans="1:19" x14ac:dyDescent="0.25">
      <c r="A554" s="476" t="s">
        <v>3845</v>
      </c>
      <c r="B554" s="475" t="s">
        <v>3845</v>
      </c>
      <c r="C554" s="422" t="e">
        <f>VLOOKUP(B554,'Matter &amp; CI#'!$D$4:$E$595,2,FALSE)</f>
        <v>#N/A</v>
      </c>
      <c r="D554" s="476" t="s">
        <v>3846</v>
      </c>
      <c r="E554" s="476" t="s">
        <v>10</v>
      </c>
      <c r="F554" s="476" t="s">
        <v>9</v>
      </c>
      <c r="G554" s="484" t="s">
        <v>2013</v>
      </c>
      <c r="H554" s="517" t="s">
        <v>4809</v>
      </c>
      <c r="I554" s="477" t="s">
        <v>5</v>
      </c>
      <c r="J554" s="476" t="s">
        <v>12</v>
      </c>
      <c r="K554" s="476" t="s">
        <v>28</v>
      </c>
      <c r="L554" s="184">
        <v>44135</v>
      </c>
      <c r="N554" s="480">
        <v>110.23</v>
      </c>
      <c r="O554" s="478" t="str">
        <f>IFERROR(VLOOKUP(A554,[1]Approval!A:C,3,FALSE),"")</f>
        <v/>
      </c>
      <c r="P554" s="184" t="str">
        <f>IFERROR(VLOOKUP(A554,[1]Approval!A:J,10,FALSE),"")</f>
        <v/>
      </c>
      <c r="R554" s="425">
        <f>2020-YEAR(Table227[[#This Row],[In-
Service
Date]])</f>
        <v>0</v>
      </c>
      <c r="S554" s="308">
        <f>+Table227[[#This Row],[Proj To Date
Actuals]]*1.02^R554</f>
        <v>110.23</v>
      </c>
    </row>
    <row r="555" spans="1:19" x14ac:dyDescent="0.25">
      <c r="A555" s="476" t="s">
        <v>3790</v>
      </c>
      <c r="B555" s="475" t="s">
        <v>3790</v>
      </c>
      <c r="C555" s="422" t="str">
        <f>VLOOKUP(B555,'Matter &amp; CI#'!$D$4:$E$595,2,FALSE)</f>
        <v>M09209</v>
      </c>
      <c r="D555" s="476" t="s">
        <v>3791</v>
      </c>
      <c r="E555" s="476" t="s">
        <v>10</v>
      </c>
      <c r="F555" s="476" t="s">
        <v>9</v>
      </c>
      <c r="G555" s="484" t="s">
        <v>2013</v>
      </c>
      <c r="H555" s="517" t="s">
        <v>4810</v>
      </c>
      <c r="I555" s="477" t="s">
        <v>5</v>
      </c>
      <c r="J555" s="476" t="s">
        <v>6</v>
      </c>
      <c r="K555" s="476" t="s">
        <v>28</v>
      </c>
      <c r="L555" s="184">
        <v>44165</v>
      </c>
      <c r="N555" s="480">
        <v>200520.82</v>
      </c>
      <c r="O555" s="478" t="str">
        <f>IFERROR(VLOOKUP(A555,[1]Approval!A:C,3,FALSE),"")</f>
        <v/>
      </c>
      <c r="P555" s="184" t="str">
        <f>IFERROR(VLOOKUP(A555,[1]Approval!A:J,10,FALSE),"")</f>
        <v/>
      </c>
      <c r="R555" s="425">
        <f>2020-YEAR(Table227[[#This Row],[In-
Service
Date]])</f>
        <v>0</v>
      </c>
      <c r="S555" s="308">
        <f>+Table227[[#This Row],[Proj To Date
Actuals]]*1.02^R555</f>
        <v>200520.82</v>
      </c>
    </row>
    <row r="556" spans="1:19" x14ac:dyDescent="0.25">
      <c r="A556" s="476" t="s">
        <v>3859</v>
      </c>
      <c r="B556" s="475" t="s">
        <v>3859</v>
      </c>
      <c r="C556" s="422" t="e">
        <f>VLOOKUP(B556,'Matter &amp; CI#'!$D$4:$E$595,2,FALSE)</f>
        <v>#N/A</v>
      </c>
      <c r="D556" s="476" t="s">
        <v>3860</v>
      </c>
      <c r="E556" s="476" t="s">
        <v>10</v>
      </c>
      <c r="F556" s="476" t="s">
        <v>9</v>
      </c>
      <c r="G556" s="484" t="s">
        <v>2013</v>
      </c>
      <c r="H556" s="517" t="s">
        <v>4811</v>
      </c>
      <c r="I556" s="477" t="s">
        <v>5</v>
      </c>
      <c r="J556" s="476" t="s">
        <v>131</v>
      </c>
      <c r="K556" s="476" t="s">
        <v>28</v>
      </c>
      <c r="L556" s="184">
        <v>44165</v>
      </c>
      <c r="N556" s="480">
        <v>3629.73</v>
      </c>
      <c r="O556" s="478" t="str">
        <f>IFERROR(VLOOKUP(A556,[1]Approval!A:C,3,FALSE),"")</f>
        <v/>
      </c>
      <c r="P556" s="184" t="str">
        <f>IFERROR(VLOOKUP(A556,[1]Approval!A:J,10,FALSE),"")</f>
        <v/>
      </c>
      <c r="R556" s="425">
        <f>2020-YEAR(Table227[[#This Row],[In-
Service
Date]])</f>
        <v>0</v>
      </c>
      <c r="S556" s="308">
        <f>+Table227[[#This Row],[Proj To Date
Actuals]]*1.02^R556</f>
        <v>3629.73</v>
      </c>
    </row>
    <row r="557" spans="1:19" x14ac:dyDescent="0.25">
      <c r="A557" s="476" t="s">
        <v>3686</v>
      </c>
      <c r="B557" s="475" t="s">
        <v>3686</v>
      </c>
      <c r="C557" s="422" t="e">
        <f>VLOOKUP(B557,'Matter &amp; CI#'!$D$4:$E$595,2,FALSE)</f>
        <v>#N/A</v>
      </c>
      <c r="D557" s="476" t="s">
        <v>3687</v>
      </c>
      <c r="E557" s="476" t="s">
        <v>10</v>
      </c>
      <c r="F557" s="476" t="s">
        <v>9</v>
      </c>
      <c r="G557" s="484" t="s">
        <v>2013</v>
      </c>
      <c r="H557" s="517" t="s">
        <v>4811</v>
      </c>
      <c r="I557" s="477" t="s">
        <v>5</v>
      </c>
      <c r="J557" s="476" t="s">
        <v>131</v>
      </c>
      <c r="K557" s="476" t="s">
        <v>28</v>
      </c>
      <c r="L557" s="184">
        <v>44165</v>
      </c>
      <c r="N557" s="480">
        <v>7931.89</v>
      </c>
      <c r="O557" s="478" t="str">
        <f>IFERROR(VLOOKUP(A557,[1]Approval!A:C,3,FALSE),"")</f>
        <v/>
      </c>
      <c r="P557" s="184" t="str">
        <f>IFERROR(VLOOKUP(A557,[1]Approval!A:J,10,FALSE),"")</f>
        <v/>
      </c>
      <c r="R557" s="425">
        <f>2020-YEAR(Table227[[#This Row],[In-
Service
Date]])</f>
        <v>0</v>
      </c>
      <c r="S557" s="308">
        <f>+Table227[[#This Row],[Proj To Date
Actuals]]*1.02^R557</f>
        <v>7931.89</v>
      </c>
    </row>
    <row r="558" spans="1:19" x14ac:dyDescent="0.25">
      <c r="A558" s="476" t="s">
        <v>3804</v>
      </c>
      <c r="B558" s="475" t="s">
        <v>3804</v>
      </c>
      <c r="C558" s="422" t="e">
        <f>VLOOKUP(B558,'Matter &amp; CI#'!$D$4:$E$595,2,FALSE)</f>
        <v>#N/A</v>
      </c>
      <c r="D558" s="476" t="s">
        <v>3805</v>
      </c>
      <c r="E558" s="476" t="s">
        <v>10</v>
      </c>
      <c r="F558" s="476" t="s">
        <v>9</v>
      </c>
      <c r="G558" s="484" t="s">
        <v>2013</v>
      </c>
      <c r="H558" s="517" t="s">
        <v>4812</v>
      </c>
      <c r="I558" s="477" t="s">
        <v>5</v>
      </c>
      <c r="J558" s="476" t="s">
        <v>131</v>
      </c>
      <c r="K558" s="476" t="s">
        <v>28</v>
      </c>
      <c r="L558" s="184">
        <v>44165</v>
      </c>
      <c r="N558" s="480">
        <v>11233.38</v>
      </c>
      <c r="O558" s="478" t="str">
        <f>IFERROR(VLOOKUP(A558,[1]Approval!A:C,3,FALSE),"")</f>
        <v/>
      </c>
      <c r="P558" s="184" t="str">
        <f>IFERROR(VLOOKUP(A558,[1]Approval!A:J,10,FALSE),"")</f>
        <v/>
      </c>
      <c r="R558" s="425">
        <f>2020-YEAR(Table227[[#This Row],[In-
Service
Date]])</f>
        <v>0</v>
      </c>
      <c r="S558" s="308">
        <f>+Table227[[#This Row],[Proj To Date
Actuals]]*1.02^R558</f>
        <v>11233.38</v>
      </c>
    </row>
    <row r="559" spans="1:19" x14ac:dyDescent="0.25">
      <c r="A559" s="476" t="s">
        <v>3861</v>
      </c>
      <c r="B559" s="475" t="s">
        <v>3861</v>
      </c>
      <c r="C559" s="422" t="e">
        <f>VLOOKUP(B559,'Matter &amp; CI#'!$D$4:$E$595,2,FALSE)</f>
        <v>#N/A</v>
      </c>
      <c r="D559" s="476" t="s">
        <v>3862</v>
      </c>
      <c r="E559" s="476" t="s">
        <v>10</v>
      </c>
      <c r="F559" s="476" t="s">
        <v>9</v>
      </c>
      <c r="G559" s="484" t="s">
        <v>2013</v>
      </c>
      <c r="H559" s="517" t="s">
        <v>4809</v>
      </c>
      <c r="I559" s="477" t="s">
        <v>5</v>
      </c>
      <c r="J559" s="476" t="s">
        <v>12</v>
      </c>
      <c r="K559" s="476" t="s">
        <v>28</v>
      </c>
      <c r="L559" s="184">
        <v>44165</v>
      </c>
      <c r="N559" s="480">
        <v>629.98</v>
      </c>
      <c r="O559" s="478" t="str">
        <f>IFERROR(VLOOKUP(A559,[1]Approval!A:C,3,FALSE),"")</f>
        <v/>
      </c>
      <c r="P559" s="184" t="str">
        <f>IFERROR(VLOOKUP(A559,[1]Approval!A:J,10,FALSE),"")</f>
        <v/>
      </c>
      <c r="R559" s="425">
        <f>2020-YEAR(Table227[[#This Row],[In-
Service
Date]])</f>
        <v>0</v>
      </c>
      <c r="S559" s="308">
        <f>+Table227[[#This Row],[Proj To Date
Actuals]]*1.02^R559</f>
        <v>629.98</v>
      </c>
    </row>
    <row r="560" spans="1:19" x14ac:dyDescent="0.25">
      <c r="A560" s="476" t="s">
        <v>3786</v>
      </c>
      <c r="B560" s="475" t="s">
        <v>3786</v>
      </c>
      <c r="C560" s="422" t="e">
        <f>VLOOKUP(B560,'Matter &amp; CI#'!$D$4:$E$595,2,FALSE)</f>
        <v>#N/A</v>
      </c>
      <c r="D560" s="476" t="s">
        <v>3787</v>
      </c>
      <c r="E560" s="476" t="s">
        <v>10</v>
      </c>
      <c r="F560" s="476" t="s">
        <v>9</v>
      </c>
      <c r="G560" s="484" t="s">
        <v>2013</v>
      </c>
      <c r="H560" s="517" t="s">
        <v>4813</v>
      </c>
      <c r="I560" s="477" t="s">
        <v>5</v>
      </c>
      <c r="J560" s="476" t="s">
        <v>6</v>
      </c>
      <c r="K560" s="476" t="s">
        <v>28</v>
      </c>
      <c r="L560" s="184">
        <v>44195</v>
      </c>
      <c r="N560" s="480">
        <v>981441.69</v>
      </c>
      <c r="O560" s="478" t="str">
        <f>IFERROR(VLOOKUP(A560,[1]Approval!A:C,3,FALSE),"")</f>
        <v/>
      </c>
      <c r="P560" s="184" t="str">
        <f>IFERROR(VLOOKUP(A560,[1]Approval!A:J,10,FALSE),"")</f>
        <v/>
      </c>
      <c r="R560" s="425">
        <f>2020-YEAR(Table227[[#This Row],[In-
Service
Date]])</f>
        <v>0</v>
      </c>
      <c r="S560" s="308">
        <f>+Table227[[#This Row],[Proj To Date
Actuals]]*1.02^R560</f>
        <v>981441.69</v>
      </c>
    </row>
    <row r="561" spans="1:19" x14ac:dyDescent="0.25">
      <c r="A561" s="476" t="s">
        <v>3825</v>
      </c>
      <c r="B561" s="475" t="s">
        <v>3825</v>
      </c>
      <c r="C561" s="422" t="e">
        <f>VLOOKUP(B561,'Matter &amp; CI#'!$D$4:$E$595,2,FALSE)</f>
        <v>#N/A</v>
      </c>
      <c r="D561" s="476" t="s">
        <v>3826</v>
      </c>
      <c r="E561" s="476" t="s">
        <v>10</v>
      </c>
      <c r="F561" s="476" t="s">
        <v>9</v>
      </c>
      <c r="G561" s="484" t="s">
        <v>2013</v>
      </c>
      <c r="H561" s="517"/>
      <c r="I561" s="477" t="s">
        <v>5</v>
      </c>
      <c r="J561" s="476" t="s">
        <v>14</v>
      </c>
      <c r="K561" s="476" t="s">
        <v>28</v>
      </c>
      <c r="L561" s="184">
        <v>44196</v>
      </c>
      <c r="N561" s="480">
        <v>119615.64</v>
      </c>
      <c r="O561" s="478" t="str">
        <f>IFERROR(VLOOKUP(A561,[1]Approval!A:C,3,FALSE),"")</f>
        <v/>
      </c>
      <c r="P561" s="184" t="str">
        <f>IFERROR(VLOOKUP(A561,[1]Approval!A:J,10,FALSE),"")</f>
        <v/>
      </c>
      <c r="R561" s="425">
        <f>2020-YEAR(Table227[[#This Row],[In-
Service
Date]])</f>
        <v>0</v>
      </c>
      <c r="S561" s="308">
        <f>+Table227[[#This Row],[Proj To Date
Actuals]]*1.02^R561</f>
        <v>119615.64</v>
      </c>
    </row>
    <row r="562" spans="1:19" x14ac:dyDescent="0.25">
      <c r="A562" s="476" t="s">
        <v>3878</v>
      </c>
      <c r="B562" s="475" t="s">
        <v>3878</v>
      </c>
      <c r="C562" s="422" t="e">
        <f>VLOOKUP(B562,'Matter &amp; CI#'!$D$4:$E$595,2,FALSE)</f>
        <v>#N/A</v>
      </c>
      <c r="D562" s="476" t="s">
        <v>3879</v>
      </c>
      <c r="E562" s="476" t="s">
        <v>10</v>
      </c>
      <c r="F562" s="476" t="s">
        <v>9</v>
      </c>
      <c r="G562" s="484" t="s">
        <v>2013</v>
      </c>
      <c r="H562" s="517" t="s">
        <v>4815</v>
      </c>
      <c r="I562" s="477" t="s">
        <v>5</v>
      </c>
      <c r="J562" s="476" t="s">
        <v>14</v>
      </c>
      <c r="K562" s="476" t="s">
        <v>28</v>
      </c>
      <c r="L562" s="184">
        <v>44196</v>
      </c>
      <c r="N562" s="481">
        <v>8617.4699999999993</v>
      </c>
      <c r="O562" s="478" t="str">
        <f>IFERROR(VLOOKUP(A562,[1]Approval!A:C,3,FALSE),"")</f>
        <v/>
      </c>
      <c r="P562" s="184" t="str">
        <f>IFERROR(VLOOKUP(A562,[1]Approval!A:J,10,FALSE),"")</f>
        <v/>
      </c>
      <c r="R562" s="425">
        <f>2020-YEAR(Table227[[#This Row],[In-
Service
Date]])</f>
        <v>0</v>
      </c>
      <c r="S562" s="308">
        <f>+Table227[[#This Row],[Proj To Date
Actuals]]*1.02^R562</f>
        <v>8617.4699999999993</v>
      </c>
    </row>
    <row r="563" spans="1:19" x14ac:dyDescent="0.25">
      <c r="A563" s="476" t="s">
        <v>3882</v>
      </c>
      <c r="B563" s="475" t="s">
        <v>3882</v>
      </c>
      <c r="C563" s="422" t="e">
        <f>VLOOKUP(B563,'Matter &amp; CI#'!$D$4:$E$595,2,FALSE)</f>
        <v>#N/A</v>
      </c>
      <c r="D563" s="476" t="s">
        <v>3883</v>
      </c>
      <c r="E563" s="476" t="s">
        <v>10</v>
      </c>
      <c r="F563" s="476" t="s">
        <v>9</v>
      </c>
      <c r="G563" s="484" t="s">
        <v>2013</v>
      </c>
      <c r="H563" s="517" t="s">
        <v>4816</v>
      </c>
      <c r="I563" s="477" t="s">
        <v>5</v>
      </c>
      <c r="J563" s="476" t="s">
        <v>6</v>
      </c>
      <c r="K563" s="476" t="s">
        <v>28</v>
      </c>
      <c r="L563" s="184">
        <v>44196</v>
      </c>
      <c r="N563" s="481">
        <v>186095.12</v>
      </c>
      <c r="O563" s="478" t="str">
        <f>IFERROR(VLOOKUP(A563,[1]Approval!A:C,3,FALSE),"")</f>
        <v/>
      </c>
      <c r="P563" s="184" t="str">
        <f>IFERROR(VLOOKUP(A563,[1]Approval!A:J,10,FALSE),"")</f>
        <v/>
      </c>
      <c r="R563" s="425">
        <f>2020-YEAR(Table227[[#This Row],[In-
Service
Date]])</f>
        <v>0</v>
      </c>
      <c r="S563" s="308">
        <f>+Table227[[#This Row],[Proj To Date
Actuals]]*1.02^R563</f>
        <v>186095.12</v>
      </c>
    </row>
    <row r="564" spans="1:19" x14ac:dyDescent="0.25">
      <c r="A564" s="476" t="s">
        <v>3808</v>
      </c>
      <c r="B564" s="475" t="s">
        <v>3808</v>
      </c>
      <c r="C564" s="422" t="e">
        <f>VLOOKUP(B564,'Matter &amp; CI#'!$D$4:$E$595,2,FALSE)</f>
        <v>#N/A</v>
      </c>
      <c r="D564" s="476" t="s">
        <v>1477</v>
      </c>
      <c r="E564" s="476" t="s">
        <v>10</v>
      </c>
      <c r="F564" s="476" t="s">
        <v>9</v>
      </c>
      <c r="G564" s="484" t="s">
        <v>2013</v>
      </c>
      <c r="H564" s="517" t="s">
        <v>4813</v>
      </c>
      <c r="I564" s="477" t="s">
        <v>5</v>
      </c>
      <c r="J564" s="476" t="s">
        <v>6</v>
      </c>
      <c r="K564" s="476" t="s">
        <v>28</v>
      </c>
      <c r="L564" s="184">
        <v>44196</v>
      </c>
      <c r="N564" s="480">
        <v>275161.05</v>
      </c>
      <c r="O564" s="478" t="str">
        <f>IFERROR(VLOOKUP(A564,[1]Approval!A:C,3,FALSE),"")</f>
        <v/>
      </c>
      <c r="P564" s="184" t="str">
        <f>IFERROR(VLOOKUP(A564,[1]Approval!A:J,10,FALSE),"")</f>
        <v/>
      </c>
      <c r="R564" s="425">
        <f>2020-YEAR(Table227[[#This Row],[In-
Service
Date]])</f>
        <v>0</v>
      </c>
      <c r="S564" s="308">
        <f>+Table227[[#This Row],[Proj To Date
Actuals]]*1.02^R564</f>
        <v>275161.05</v>
      </c>
    </row>
    <row r="565" spans="1:19" x14ac:dyDescent="0.25">
      <c r="A565" s="476" t="s">
        <v>3827</v>
      </c>
      <c r="B565" s="475" t="s">
        <v>3827</v>
      </c>
      <c r="C565" s="422" t="e">
        <f>VLOOKUP(B565,'Matter &amp; CI#'!$D$4:$E$595,2,FALSE)</f>
        <v>#N/A</v>
      </c>
      <c r="D565" s="476" t="s">
        <v>3828</v>
      </c>
      <c r="E565" s="476" t="s">
        <v>10</v>
      </c>
      <c r="F565" s="476" t="s">
        <v>9</v>
      </c>
      <c r="G565" s="484" t="s">
        <v>2013</v>
      </c>
      <c r="H565" s="517" t="s">
        <v>4818</v>
      </c>
      <c r="I565" s="477" t="s">
        <v>5</v>
      </c>
      <c r="J565" s="476" t="s">
        <v>43</v>
      </c>
      <c r="K565" s="476" t="s">
        <v>28</v>
      </c>
      <c r="L565" s="184">
        <v>43862</v>
      </c>
      <c r="N565" s="480">
        <v>314505.92</v>
      </c>
      <c r="O565" s="478" t="str">
        <f>IFERROR(VLOOKUP(A565,[1]Approval!A:C,3,FALSE),"")</f>
        <v/>
      </c>
      <c r="P565" s="184" t="str">
        <f>IFERROR(VLOOKUP(A565,[1]Approval!A:J,10,FALSE),"")</f>
        <v/>
      </c>
      <c r="R565" s="425">
        <f>2020-YEAR(Table227[[#This Row],[In-
Service
Date]])</f>
        <v>0</v>
      </c>
      <c r="S565" s="308">
        <f>+Table227[[#This Row],[Proj To Date
Actuals]]*1.02^R565</f>
        <v>314505.92</v>
      </c>
    </row>
    <row r="566" spans="1:19" x14ac:dyDescent="0.25">
      <c r="A566" s="476" t="s">
        <v>3714</v>
      </c>
      <c r="B566" s="475" t="s">
        <v>3714</v>
      </c>
      <c r="C566" s="422" t="e">
        <f>VLOOKUP(B566,'Matter &amp; CI#'!$D$4:$E$595,2,FALSE)</f>
        <v>#N/A</v>
      </c>
      <c r="D566" s="476" t="s">
        <v>3715</v>
      </c>
      <c r="E566" s="476" t="s">
        <v>10</v>
      </c>
      <c r="F566" s="476" t="s">
        <v>9</v>
      </c>
      <c r="G566" s="484" t="s">
        <v>2013</v>
      </c>
      <c r="H566" s="517" t="s">
        <v>4824</v>
      </c>
      <c r="I566" s="477" t="s">
        <v>5</v>
      </c>
      <c r="J566" s="476" t="s">
        <v>14</v>
      </c>
      <c r="K566" s="476" t="s">
        <v>28</v>
      </c>
      <c r="L566" s="184">
        <v>43952</v>
      </c>
      <c r="N566" s="480">
        <v>181211.92</v>
      </c>
      <c r="O566" s="478" t="str">
        <f>IFERROR(VLOOKUP(A566,[1]Approval!A:C,3,FALSE),"")</f>
        <v/>
      </c>
      <c r="P566" s="184" t="str">
        <f>IFERROR(VLOOKUP(A566,[1]Approval!A:J,10,FALSE),"")</f>
        <v/>
      </c>
      <c r="R566" s="425">
        <f>2020-YEAR(Table227[[#This Row],[In-
Service
Date]])</f>
        <v>0</v>
      </c>
      <c r="S566" s="308">
        <f>+Table227[[#This Row],[Proj To Date
Actuals]]*1.02^R566</f>
        <v>181211.92</v>
      </c>
    </row>
    <row r="567" spans="1:19" x14ac:dyDescent="0.25">
      <c r="A567" s="476" t="s">
        <v>3690</v>
      </c>
      <c r="B567" s="475" t="s">
        <v>3690</v>
      </c>
      <c r="C567" s="422" t="e">
        <f>VLOOKUP(B567,'Matter &amp; CI#'!$D$4:$E$595,2,FALSE)</f>
        <v>#N/A</v>
      </c>
      <c r="D567" s="476" t="s">
        <v>3691</v>
      </c>
      <c r="E567" s="476" t="s">
        <v>10</v>
      </c>
      <c r="F567" s="476" t="s">
        <v>9</v>
      </c>
      <c r="G567" s="484" t="s">
        <v>2013</v>
      </c>
      <c r="H567" s="517" t="s">
        <v>4829</v>
      </c>
      <c r="I567" s="477" t="s">
        <v>5</v>
      </c>
      <c r="J567" s="476" t="s">
        <v>131</v>
      </c>
      <c r="K567" s="476" t="s">
        <v>28</v>
      </c>
      <c r="L567" s="184">
        <v>44043</v>
      </c>
      <c r="N567" s="480">
        <v>1898.57</v>
      </c>
      <c r="O567" s="478" t="str">
        <f>IFERROR(VLOOKUP(A567,[1]Approval!A:C,3,FALSE),"")</f>
        <v/>
      </c>
      <c r="P567" s="184" t="str">
        <f>IFERROR(VLOOKUP(A567,[1]Approval!A:J,10,FALSE),"")</f>
        <v/>
      </c>
      <c r="R567" s="425">
        <f>2020-YEAR(Table227[[#This Row],[In-
Service
Date]])</f>
        <v>0</v>
      </c>
      <c r="S567" s="308">
        <f>+Table227[[#This Row],[Proj To Date
Actuals]]*1.02^R567</f>
        <v>1898.57</v>
      </c>
    </row>
    <row r="568" spans="1:19" x14ac:dyDescent="0.25">
      <c r="A568" s="476" t="s">
        <v>3831</v>
      </c>
      <c r="B568" s="475" t="s">
        <v>3831</v>
      </c>
      <c r="C568" s="422" t="e">
        <f>VLOOKUP(B568,'Matter &amp; CI#'!$D$4:$E$595,2,FALSE)</f>
        <v>#N/A</v>
      </c>
      <c r="D568" s="476" t="s">
        <v>3832</v>
      </c>
      <c r="E568" s="476" t="s">
        <v>10</v>
      </c>
      <c r="F568" s="476" t="s">
        <v>9</v>
      </c>
      <c r="G568" s="484" t="s">
        <v>2013</v>
      </c>
      <c r="H568" s="517" t="s">
        <v>4830</v>
      </c>
      <c r="I568" s="477" t="s">
        <v>5</v>
      </c>
      <c r="J568" s="476" t="s">
        <v>43</v>
      </c>
      <c r="K568" s="476" t="s">
        <v>28</v>
      </c>
      <c r="L568" s="184">
        <v>44074</v>
      </c>
      <c r="N568" s="480">
        <v>33421.86</v>
      </c>
      <c r="O568" s="478" t="str">
        <f>IFERROR(VLOOKUP(A568,[1]Approval!A:C,3,FALSE),"")</f>
        <v/>
      </c>
      <c r="P568" s="184" t="str">
        <f>IFERROR(VLOOKUP(A568,[1]Approval!A:J,10,FALSE),"")</f>
        <v/>
      </c>
      <c r="R568" s="425">
        <f>2020-YEAR(Table227[[#This Row],[In-
Service
Date]])</f>
        <v>0</v>
      </c>
      <c r="S568" s="308">
        <f>+Table227[[#This Row],[Proj To Date
Actuals]]*1.02^R568</f>
        <v>33421.86</v>
      </c>
    </row>
    <row r="569" spans="1:19" x14ac:dyDescent="0.25">
      <c r="A569" s="476" t="s">
        <v>3778</v>
      </c>
      <c r="B569" s="475" t="s">
        <v>3778</v>
      </c>
      <c r="C569" s="422" t="e">
        <f>VLOOKUP(B569,'Matter &amp; CI#'!$D$4:$E$595,2,FALSE)</f>
        <v>#N/A</v>
      </c>
      <c r="D569" s="476" t="s">
        <v>3779</v>
      </c>
      <c r="E569" s="476" t="s">
        <v>10</v>
      </c>
      <c r="F569" s="476" t="s">
        <v>9</v>
      </c>
      <c r="G569" s="484" t="s">
        <v>2013</v>
      </c>
      <c r="H569" s="517" t="s">
        <v>4831</v>
      </c>
      <c r="I569" s="477" t="s">
        <v>5</v>
      </c>
      <c r="J569" s="476" t="s">
        <v>43</v>
      </c>
      <c r="K569" s="476" t="s">
        <v>28</v>
      </c>
      <c r="L569" s="184">
        <v>44074</v>
      </c>
      <c r="N569" s="480">
        <v>146143.57</v>
      </c>
      <c r="O569" s="478" t="str">
        <f>IFERROR(VLOOKUP(A569,[1]Approval!A:C,3,FALSE),"")</f>
        <v/>
      </c>
      <c r="P569" s="184" t="str">
        <f>IFERROR(VLOOKUP(A569,[1]Approval!A:J,10,FALSE),"")</f>
        <v/>
      </c>
      <c r="R569" s="425">
        <f>2020-YEAR(Table227[[#This Row],[In-
Service
Date]])</f>
        <v>0</v>
      </c>
      <c r="S569" s="308">
        <f>+Table227[[#This Row],[Proj To Date
Actuals]]*1.02^R569</f>
        <v>146143.57</v>
      </c>
    </row>
    <row r="570" spans="1:19" x14ac:dyDescent="0.25">
      <c r="A570" s="476" t="s">
        <v>3841</v>
      </c>
      <c r="B570" s="475" t="s">
        <v>3841</v>
      </c>
      <c r="C570" s="422" t="e">
        <f>VLOOKUP(B570,'Matter &amp; CI#'!$D$4:$E$595,2,FALSE)</f>
        <v>#N/A</v>
      </c>
      <c r="D570" s="476" t="s">
        <v>3842</v>
      </c>
      <c r="E570" s="476" t="s">
        <v>10</v>
      </c>
      <c r="F570" s="476" t="s">
        <v>9</v>
      </c>
      <c r="G570" s="484" t="s">
        <v>2013</v>
      </c>
      <c r="H570" s="517" t="s">
        <v>4835</v>
      </c>
      <c r="I570" s="477" t="s">
        <v>5</v>
      </c>
      <c r="J570" s="476" t="s">
        <v>43</v>
      </c>
      <c r="K570" s="476" t="s">
        <v>28</v>
      </c>
      <c r="L570" s="184">
        <v>44136</v>
      </c>
      <c r="N570" s="480">
        <v>17878.84</v>
      </c>
      <c r="O570" s="478" t="str">
        <f>IFERROR(VLOOKUP(A570,[1]Approval!A:C,3,FALSE),"")</f>
        <v/>
      </c>
      <c r="P570" s="184" t="str">
        <f>IFERROR(VLOOKUP(A570,[1]Approval!A:J,10,FALSE),"")</f>
        <v/>
      </c>
      <c r="R570" s="425">
        <f>2020-YEAR(Table227[[#This Row],[In-
Service
Date]])</f>
        <v>0</v>
      </c>
      <c r="S570" s="308">
        <f>+Table227[[#This Row],[Proj To Date
Actuals]]*1.02^R570</f>
        <v>17878.84</v>
      </c>
    </row>
    <row r="571" spans="1:19" x14ac:dyDescent="0.25">
      <c r="A571" s="476" t="s">
        <v>3880</v>
      </c>
      <c r="B571" s="475" t="s">
        <v>3880</v>
      </c>
      <c r="C571" s="422" t="e">
        <f>VLOOKUP(B571,'Matter &amp; CI#'!$D$4:$E$595,2,FALSE)</f>
        <v>#N/A</v>
      </c>
      <c r="D571" s="476" t="s">
        <v>3881</v>
      </c>
      <c r="E571" s="476" t="s">
        <v>10</v>
      </c>
      <c r="F571" s="476" t="s">
        <v>9</v>
      </c>
      <c r="G571" s="484" t="s">
        <v>2013</v>
      </c>
      <c r="H571" s="517" t="s">
        <v>4836</v>
      </c>
      <c r="I571" s="477" t="s">
        <v>5</v>
      </c>
      <c r="J571" s="476" t="s">
        <v>14</v>
      </c>
      <c r="K571" s="476" t="s">
        <v>28</v>
      </c>
      <c r="L571" s="184">
        <v>44165</v>
      </c>
      <c r="N571" s="481">
        <v>20206.63</v>
      </c>
      <c r="O571" s="478" t="str">
        <f>IFERROR(VLOOKUP(A571,[1]Approval!A:C,3,FALSE),"")</f>
        <v/>
      </c>
      <c r="P571" s="184" t="str">
        <f>IFERROR(VLOOKUP(A571,[1]Approval!A:J,10,FALSE),"")</f>
        <v/>
      </c>
      <c r="R571" s="425">
        <f>2020-YEAR(Table227[[#This Row],[In-
Service
Date]])</f>
        <v>0</v>
      </c>
      <c r="S571" s="308">
        <f>+Table227[[#This Row],[Proj To Date
Actuals]]*1.02^R571</f>
        <v>20206.63</v>
      </c>
    </row>
    <row r="572" spans="1:19" x14ac:dyDescent="0.25">
      <c r="A572" s="476" t="s">
        <v>3851</v>
      </c>
      <c r="B572" s="475" t="s">
        <v>3851</v>
      </c>
      <c r="C572" s="422" t="e">
        <f>VLOOKUP(B572,'Matter &amp; CI#'!$D$4:$E$595,2,FALSE)</f>
        <v>#N/A</v>
      </c>
      <c r="D572" s="476" t="s">
        <v>3852</v>
      </c>
      <c r="E572" s="476" t="s">
        <v>10</v>
      </c>
      <c r="F572" s="476" t="s">
        <v>9</v>
      </c>
      <c r="G572" s="484" t="s">
        <v>2013</v>
      </c>
      <c r="H572" s="517" t="s">
        <v>4837</v>
      </c>
      <c r="I572" s="477" t="s">
        <v>5</v>
      </c>
      <c r="J572" s="476" t="s">
        <v>6</v>
      </c>
      <c r="K572" s="476" t="s">
        <v>28</v>
      </c>
      <c r="L572" s="184">
        <v>44165</v>
      </c>
      <c r="N572" s="480">
        <v>616911.30000000005</v>
      </c>
      <c r="O572" s="478" t="str">
        <f>IFERROR(VLOOKUP(A572,[1]Approval!A:C,3,FALSE),"")</f>
        <v/>
      </c>
      <c r="P572" s="184" t="str">
        <f>IFERROR(VLOOKUP(A572,[1]Approval!A:J,10,FALSE),"")</f>
        <v/>
      </c>
      <c r="R572" s="425">
        <f>2020-YEAR(Table227[[#This Row],[In-
Service
Date]])</f>
        <v>0</v>
      </c>
      <c r="S572" s="308">
        <f>+Table227[[#This Row],[Proj To Date
Actuals]]*1.02^R572</f>
        <v>616911.30000000005</v>
      </c>
    </row>
    <row r="573" spans="1:19" x14ac:dyDescent="0.25">
      <c r="A573" s="476" t="s">
        <v>261</v>
      </c>
      <c r="B573" s="475" t="s">
        <v>3927</v>
      </c>
      <c r="C573" s="422" t="e">
        <f>VLOOKUP(B573,'Matter &amp; CI#'!$D$4:$E$595,2,FALSE)</f>
        <v>#N/A</v>
      </c>
      <c r="D573" s="476" t="s">
        <v>262</v>
      </c>
      <c r="E573" s="476" t="s">
        <v>8</v>
      </c>
      <c r="F573" s="476" t="s">
        <v>24</v>
      </c>
      <c r="G573" s="475" t="s">
        <v>2013</v>
      </c>
      <c r="H573" s="516"/>
      <c r="I573" s="477" t="s">
        <v>5</v>
      </c>
      <c r="J573" s="476" t="s">
        <v>8</v>
      </c>
      <c r="K573" s="476" t="s">
        <v>7</v>
      </c>
      <c r="L573" s="184">
        <v>40564</v>
      </c>
      <c r="M573" s="184">
        <v>41859</v>
      </c>
      <c r="N573" s="480">
        <v>1052046.04</v>
      </c>
      <c r="O573" s="478" t="str">
        <f>IFERROR(VLOOKUP(A573,[1]Approval!A:C,3,FALSE),"")</f>
        <v>FIN Approval - Internal</v>
      </c>
      <c r="P573" s="184">
        <f>IFERROR(VLOOKUP(A573,[1]Approval!A:J,10,FALSE),"")</f>
        <v>41859</v>
      </c>
      <c r="R573" s="425">
        <f>2020-YEAR(Table227[[#This Row],[In-
Service
Date]])</f>
        <v>9</v>
      </c>
      <c r="S573" s="308">
        <f>+Table227[[#This Row],[Proj To Date
Actuals]]*1.02^R573</f>
        <v>1257292.4042525303</v>
      </c>
    </row>
    <row r="574" spans="1:19" x14ac:dyDescent="0.25">
      <c r="A574" s="476" t="s">
        <v>727</v>
      </c>
      <c r="B574" s="475" t="s">
        <v>3936</v>
      </c>
      <c r="C574" s="422" t="e">
        <f>VLOOKUP(B574,'Matter &amp; CI#'!$D$4:$E$595,2,FALSE)</f>
        <v>#N/A</v>
      </c>
      <c r="D574" s="476" t="s">
        <v>728</v>
      </c>
      <c r="E574" s="476" t="s">
        <v>73</v>
      </c>
      <c r="F574" s="476" t="s">
        <v>24</v>
      </c>
      <c r="G574" s="475" t="s">
        <v>2013</v>
      </c>
      <c r="H574" s="516"/>
      <c r="I574" s="477" t="s">
        <v>5</v>
      </c>
      <c r="J574" s="476" t="s">
        <v>8</v>
      </c>
      <c r="K574" s="476" t="s">
        <v>7</v>
      </c>
      <c r="L574" s="184">
        <v>40633</v>
      </c>
      <c r="M574" s="184">
        <v>43797</v>
      </c>
      <c r="N574" s="480">
        <v>247804.02</v>
      </c>
      <c r="O574" s="478" t="str">
        <f>IFERROR(VLOOKUP(A574,[1]Approval!A:C,3,FALSE),"")</f>
        <v>FIN Approval - Internal</v>
      </c>
      <c r="P574" s="184">
        <f>IFERROR(VLOOKUP(A574,[1]Approval!A:J,10,FALSE),"")</f>
        <v>43797</v>
      </c>
      <c r="R574" s="425">
        <f>2020-YEAR(Table227[[#This Row],[In-
Service
Date]])</f>
        <v>9</v>
      </c>
      <c r="S574" s="308">
        <f>+Table227[[#This Row],[Proj To Date
Actuals]]*1.02^R574</f>
        <v>296148.74277673446</v>
      </c>
    </row>
    <row r="575" spans="1:19" x14ac:dyDescent="0.25">
      <c r="A575" s="476" t="s">
        <v>65</v>
      </c>
      <c r="B575" s="475" t="s">
        <v>3939</v>
      </c>
      <c r="C575" s="422" t="e">
        <f>VLOOKUP(B575,'Matter &amp; CI#'!$D$4:$E$595,2,FALSE)</f>
        <v>#N/A</v>
      </c>
      <c r="D575" s="476" t="s">
        <v>66</v>
      </c>
      <c r="E575" s="476" t="s">
        <v>42</v>
      </c>
      <c r="F575" s="476" t="s">
        <v>24</v>
      </c>
      <c r="G575" s="475" t="s">
        <v>2013</v>
      </c>
      <c r="H575" s="516"/>
      <c r="I575" s="477" t="s">
        <v>5</v>
      </c>
      <c r="J575" s="476" t="s">
        <v>6</v>
      </c>
      <c r="K575" s="476" t="s">
        <v>7</v>
      </c>
      <c r="L575" s="184">
        <v>40663</v>
      </c>
      <c r="M575" s="184">
        <v>42909</v>
      </c>
      <c r="N575" s="480">
        <v>1756235.87</v>
      </c>
      <c r="O575" s="478" t="str">
        <f>IFERROR(VLOOKUP(A575,[1]Approval!A:C,3,FALSE),"")</f>
        <v>FIN Approval - Internal</v>
      </c>
      <c r="P575" s="184">
        <f>IFERROR(VLOOKUP(A575,[1]Approval!A:J,10,FALSE),"")</f>
        <v>42909</v>
      </c>
      <c r="R575" s="425">
        <f>2020-YEAR(Table227[[#This Row],[In-
Service
Date]])</f>
        <v>9</v>
      </c>
      <c r="S575" s="308">
        <f>+Table227[[#This Row],[Proj To Date
Actuals]]*1.02^R575</f>
        <v>2098864.436984939</v>
      </c>
    </row>
    <row r="576" spans="1:19" x14ac:dyDescent="0.25">
      <c r="A576" s="476" t="s">
        <v>1753</v>
      </c>
      <c r="B576" s="475" t="s">
        <v>3955</v>
      </c>
      <c r="C576" s="422" t="e">
        <f>VLOOKUP(B576,'Matter &amp; CI#'!$D$4:$E$595,2,FALSE)</f>
        <v>#N/A</v>
      </c>
      <c r="D576" s="476" t="s">
        <v>1754</v>
      </c>
      <c r="E576" s="476" t="s">
        <v>8</v>
      </c>
      <c r="F576" s="476" t="s">
        <v>24</v>
      </c>
      <c r="G576" s="475" t="s">
        <v>2013</v>
      </c>
      <c r="H576" s="516"/>
      <c r="I576" s="477" t="s">
        <v>5</v>
      </c>
      <c r="J576" s="476" t="s">
        <v>6</v>
      </c>
      <c r="K576" s="476" t="s">
        <v>7</v>
      </c>
      <c r="L576" s="184">
        <v>40683</v>
      </c>
      <c r="M576" s="184">
        <v>41843</v>
      </c>
      <c r="N576" s="480">
        <v>759692.52</v>
      </c>
      <c r="O576" s="478" t="str">
        <f>IFERROR(VLOOKUP(A576,[1]Approval!A:C,3,FALSE),"")</f>
        <v>FIN Approval - Internal</v>
      </c>
      <c r="P576" s="184">
        <f>IFERROR(VLOOKUP(A576,[1]Approval!A:J,10,FALSE),"")</f>
        <v>41843</v>
      </c>
      <c r="R576" s="425">
        <f>2020-YEAR(Table227[[#This Row],[In-
Service
Date]])</f>
        <v>9</v>
      </c>
      <c r="S576" s="308">
        <f>+Table227[[#This Row],[Proj To Date
Actuals]]*1.02^R576</f>
        <v>907902.88508995622</v>
      </c>
    </row>
    <row r="577" spans="1:19" x14ac:dyDescent="0.25">
      <c r="A577" s="476" t="s">
        <v>1745</v>
      </c>
      <c r="B577" s="475" t="s">
        <v>3933</v>
      </c>
      <c r="C577" s="422" t="e">
        <f>VLOOKUP(B577,'Matter &amp; CI#'!$D$4:$E$595,2,FALSE)</f>
        <v>#N/A</v>
      </c>
      <c r="D577" s="476" t="s">
        <v>1746</v>
      </c>
      <c r="E577" s="476" t="s">
        <v>8</v>
      </c>
      <c r="F577" s="476" t="s">
        <v>24</v>
      </c>
      <c r="G577" s="475" t="s">
        <v>2013</v>
      </c>
      <c r="H577" s="516"/>
      <c r="I577" s="477" t="s">
        <v>5</v>
      </c>
      <c r="J577" s="476" t="s">
        <v>6</v>
      </c>
      <c r="K577" s="476" t="s">
        <v>7</v>
      </c>
      <c r="L577" s="184">
        <v>40709</v>
      </c>
      <c r="M577" s="184">
        <v>41852</v>
      </c>
      <c r="N577" s="480">
        <v>1638107.45</v>
      </c>
      <c r="O577" s="478" t="str">
        <f>IFERROR(VLOOKUP(A577,[1]Approval!A:C,3,FALSE),"")</f>
        <v>zINVALID FIN Approval - Internal</v>
      </c>
      <c r="P577" s="184">
        <f>IFERROR(VLOOKUP(A577,[1]Approval!A:J,10,FALSE),"")</f>
        <v>41859</v>
      </c>
      <c r="R577" s="425">
        <f>2020-YEAR(Table227[[#This Row],[In-
Service
Date]])</f>
        <v>9</v>
      </c>
      <c r="S577" s="308">
        <f>+Table227[[#This Row],[Proj To Date
Actuals]]*1.02^R577</f>
        <v>1957690.0400998436</v>
      </c>
    </row>
    <row r="578" spans="1:19" x14ac:dyDescent="0.25">
      <c r="A578" s="476" t="s">
        <v>1508</v>
      </c>
      <c r="B578" s="475" t="s">
        <v>3934</v>
      </c>
      <c r="C578" s="422" t="e">
        <f>VLOOKUP(B578,'Matter &amp; CI#'!$D$4:$E$595,2,FALSE)</f>
        <v>#N/A</v>
      </c>
      <c r="D578" s="476" t="s">
        <v>1509</v>
      </c>
      <c r="E578" s="476" t="s">
        <v>73</v>
      </c>
      <c r="F578" s="476" t="s">
        <v>24</v>
      </c>
      <c r="G578" s="475" t="s">
        <v>2013</v>
      </c>
      <c r="H578" s="516"/>
      <c r="I578" s="477" t="s">
        <v>5</v>
      </c>
      <c r="J578" s="476" t="s">
        <v>6</v>
      </c>
      <c r="K578" s="476" t="s">
        <v>7</v>
      </c>
      <c r="L578" s="184">
        <v>40709</v>
      </c>
      <c r="M578" s="184">
        <v>42913</v>
      </c>
      <c r="N578" s="480">
        <v>419577.29</v>
      </c>
      <c r="O578" s="478" t="str">
        <f>IFERROR(VLOOKUP(A578,[1]Approval!A:C,3,FALSE),"")</f>
        <v>FIN Approval - Internal</v>
      </c>
      <c r="P578" s="184">
        <f>IFERROR(VLOOKUP(A578,[1]Approval!A:J,10,FALSE),"")</f>
        <v>42913</v>
      </c>
      <c r="R578" s="425">
        <f>2020-YEAR(Table227[[#This Row],[In-
Service
Date]])</f>
        <v>9</v>
      </c>
      <c r="S578" s="308">
        <f>+Table227[[#This Row],[Proj To Date
Actuals]]*1.02^R578</f>
        <v>501433.70124168816</v>
      </c>
    </row>
    <row r="579" spans="1:19" x14ac:dyDescent="0.25">
      <c r="A579" s="476" t="s">
        <v>1244</v>
      </c>
      <c r="B579" s="475" t="s">
        <v>3940</v>
      </c>
      <c r="C579" s="422" t="e">
        <f>VLOOKUP(B579,'Matter &amp; CI#'!$D$4:$E$595,2,FALSE)</f>
        <v>#N/A</v>
      </c>
      <c r="D579" s="476" t="s">
        <v>1245</v>
      </c>
      <c r="E579" s="476" t="s">
        <v>8</v>
      </c>
      <c r="F579" s="476" t="s">
        <v>24</v>
      </c>
      <c r="G579" s="475" t="s">
        <v>2013</v>
      </c>
      <c r="H579" s="516"/>
      <c r="I579" s="477" t="s">
        <v>5</v>
      </c>
      <c r="J579" s="476" t="s">
        <v>8</v>
      </c>
      <c r="K579" s="476" t="s">
        <v>7</v>
      </c>
      <c r="L579" s="184">
        <v>40709</v>
      </c>
      <c r="M579" s="184">
        <v>41859</v>
      </c>
      <c r="N579" s="480">
        <v>2447746.17</v>
      </c>
      <c r="O579" s="478" t="str">
        <f>IFERROR(VLOOKUP(A579,[1]Approval!A:C,3,FALSE),"")</f>
        <v>FIN Approval - Internal</v>
      </c>
      <c r="P579" s="184">
        <f>IFERROR(VLOOKUP(A579,[1]Approval!A:J,10,FALSE),"")</f>
        <v>41859</v>
      </c>
      <c r="R579" s="425">
        <f>2020-YEAR(Table227[[#This Row],[In-
Service
Date]])</f>
        <v>9</v>
      </c>
      <c r="S579" s="308">
        <f>+Table227[[#This Row],[Proj To Date
Actuals]]*1.02^R579</f>
        <v>2925283.2576407236</v>
      </c>
    </row>
    <row r="580" spans="1:19" x14ac:dyDescent="0.25">
      <c r="A580" s="476" t="s">
        <v>1516</v>
      </c>
      <c r="B580" s="475" t="s">
        <v>3942</v>
      </c>
      <c r="C580" s="422" t="e">
        <f>VLOOKUP(B580,'Matter &amp; CI#'!$D$4:$E$595,2,FALSE)</f>
        <v>#N/A</v>
      </c>
      <c r="D580" s="476" t="s">
        <v>1517</v>
      </c>
      <c r="E580" s="476" t="s">
        <v>34</v>
      </c>
      <c r="F580" s="476" t="s">
        <v>24</v>
      </c>
      <c r="G580" s="475" t="s">
        <v>2013</v>
      </c>
      <c r="H580" s="516"/>
      <c r="I580" s="477" t="s">
        <v>5</v>
      </c>
      <c r="J580" s="476" t="s">
        <v>6</v>
      </c>
      <c r="K580" s="476" t="s">
        <v>7</v>
      </c>
      <c r="L580" s="184">
        <v>40709</v>
      </c>
      <c r="M580" s="184">
        <v>42909</v>
      </c>
      <c r="N580" s="480">
        <v>484669.73</v>
      </c>
      <c r="O580" s="478" t="str">
        <f>IFERROR(VLOOKUP(A580,[1]Approval!A:C,3,FALSE),"")</f>
        <v>FIN Approval - Internal</v>
      </c>
      <c r="P580" s="184">
        <f>IFERROR(VLOOKUP(A580,[1]Approval!A:J,10,FALSE),"")</f>
        <v>42909</v>
      </c>
      <c r="R580" s="425">
        <f>2020-YEAR(Table227[[#This Row],[In-
Service
Date]])</f>
        <v>9</v>
      </c>
      <c r="S580" s="308">
        <f>+Table227[[#This Row],[Proj To Date
Actuals]]*1.02^R580</f>
        <v>579225.19255918183</v>
      </c>
    </row>
    <row r="581" spans="1:19" x14ac:dyDescent="0.25">
      <c r="A581" s="476" t="s">
        <v>1506</v>
      </c>
      <c r="B581" s="475" t="s">
        <v>3891</v>
      </c>
      <c r="C581" s="422" t="e">
        <f>VLOOKUP(B581,'Matter &amp; CI#'!$D$4:$E$595,2,FALSE)</f>
        <v>#N/A</v>
      </c>
      <c r="D581" s="476" t="s">
        <v>1507</v>
      </c>
      <c r="E581" s="476" t="s">
        <v>8</v>
      </c>
      <c r="F581" s="476" t="s">
        <v>24</v>
      </c>
      <c r="G581" s="475" t="s">
        <v>2013</v>
      </c>
      <c r="H581" s="516"/>
      <c r="I581" s="477" t="s">
        <v>5</v>
      </c>
      <c r="J581" s="476" t="s">
        <v>6</v>
      </c>
      <c r="K581" s="476" t="s">
        <v>7</v>
      </c>
      <c r="L581" s="184">
        <v>40723</v>
      </c>
      <c r="M581" s="184">
        <v>41852</v>
      </c>
      <c r="N581" s="480">
        <v>2129493.04</v>
      </c>
      <c r="O581" s="478" t="str">
        <f>IFERROR(VLOOKUP(A581,[1]Approval!A:C,3,FALSE),"")</f>
        <v>FIN Approval - Internal</v>
      </c>
      <c r="P581" s="184">
        <f>IFERROR(VLOOKUP(A581,[1]Approval!A:J,10,FALSE),"")</f>
        <v>41859</v>
      </c>
      <c r="R581" s="425">
        <f>2020-YEAR(Table227[[#This Row],[In-
Service
Date]])</f>
        <v>9</v>
      </c>
      <c r="S581" s="308">
        <f>+Table227[[#This Row],[Proj To Date
Actuals]]*1.02^R581</f>
        <v>2544941.3070369335</v>
      </c>
    </row>
    <row r="582" spans="1:19" x14ac:dyDescent="0.25">
      <c r="A582" s="476" t="s">
        <v>735</v>
      </c>
      <c r="B582" s="475" t="s">
        <v>3935</v>
      </c>
      <c r="C582" s="422" t="e">
        <f>VLOOKUP(B582,'Matter &amp; CI#'!$D$4:$E$595,2,FALSE)</f>
        <v>#N/A</v>
      </c>
      <c r="D582" s="476" t="s">
        <v>736</v>
      </c>
      <c r="E582" s="476" t="s">
        <v>50</v>
      </c>
      <c r="F582" s="476" t="s">
        <v>24</v>
      </c>
      <c r="G582" s="475" t="s">
        <v>2013</v>
      </c>
      <c r="H582" s="516"/>
      <c r="I582" s="477" t="s">
        <v>5</v>
      </c>
      <c r="J582" s="476" t="s">
        <v>8</v>
      </c>
      <c r="K582" s="476" t="s">
        <v>7</v>
      </c>
      <c r="L582" s="184">
        <v>40723</v>
      </c>
      <c r="M582" s="184">
        <v>42400</v>
      </c>
      <c r="N582" s="480">
        <v>8584762.1899999995</v>
      </c>
      <c r="O582" s="478" t="str">
        <f>IFERROR(VLOOKUP(A582,[1]Approval!A:C,3,FALSE),"")</f>
        <v>zINVALID FIN Approval - External</v>
      </c>
      <c r="P582" s="184">
        <f>IFERROR(VLOOKUP(A582,[1]Approval!A:J,10,FALSE),"")</f>
        <v>42418</v>
      </c>
      <c r="R582" s="425">
        <f>2020-YEAR(Table227[[#This Row],[In-
Service
Date]])</f>
        <v>9</v>
      </c>
      <c r="S582" s="308">
        <f>+Table227[[#This Row],[Proj To Date
Actuals]]*1.02^R582</f>
        <v>10259585.496658795</v>
      </c>
    </row>
    <row r="583" spans="1:19" x14ac:dyDescent="0.25">
      <c r="A583" s="476" t="s">
        <v>1759</v>
      </c>
      <c r="B583" s="475" t="s">
        <v>4016</v>
      </c>
      <c r="C583" s="422" t="e">
        <f>VLOOKUP(B583,'Matter &amp; CI#'!$D$4:$E$595,2,FALSE)</f>
        <v>#N/A</v>
      </c>
      <c r="D583" s="476" t="s">
        <v>1760</v>
      </c>
      <c r="E583" s="476" t="s">
        <v>8</v>
      </c>
      <c r="F583" s="476" t="s">
        <v>24</v>
      </c>
      <c r="G583" s="475" t="s">
        <v>2013</v>
      </c>
      <c r="H583" s="516"/>
      <c r="I583" s="477" t="s">
        <v>5</v>
      </c>
      <c r="J583" s="476" t="s">
        <v>29</v>
      </c>
      <c r="K583" s="476" t="s">
        <v>7</v>
      </c>
      <c r="L583" s="184">
        <v>40743</v>
      </c>
      <c r="M583" s="184">
        <v>41964</v>
      </c>
      <c r="N583" s="480">
        <v>283944.99</v>
      </c>
      <c r="O583" s="478" t="str">
        <f>IFERROR(VLOOKUP(A583,[1]Approval!A:C,3,FALSE),"")</f>
        <v>FIN Approval - Internal</v>
      </c>
      <c r="P583" s="184">
        <f>IFERROR(VLOOKUP(A583,[1]Approval!A:J,10,FALSE),"")</f>
        <v>41964</v>
      </c>
      <c r="R583" s="425">
        <f>2020-YEAR(Table227[[#This Row],[In-
Service
Date]])</f>
        <v>9</v>
      </c>
      <c r="S583" s="308">
        <f>+Table227[[#This Row],[Proj To Date
Actuals]]*1.02^R583</f>
        <v>339340.54744653637</v>
      </c>
    </row>
    <row r="584" spans="1:19" x14ac:dyDescent="0.25">
      <c r="A584" s="476" t="s">
        <v>984</v>
      </c>
      <c r="B584" s="475" t="s">
        <v>4020</v>
      </c>
      <c r="C584" s="422" t="e">
        <f>VLOOKUP(B584,'Matter &amp; CI#'!$D$4:$E$595,2,FALSE)</f>
        <v>#N/A</v>
      </c>
      <c r="D584" s="476" t="s">
        <v>985</v>
      </c>
      <c r="E584" s="476" t="s">
        <v>8</v>
      </c>
      <c r="F584" s="476" t="s">
        <v>24</v>
      </c>
      <c r="G584" s="475" t="s">
        <v>2013</v>
      </c>
      <c r="H584" s="516"/>
      <c r="I584" s="477" t="s">
        <v>5</v>
      </c>
      <c r="J584" s="476" t="s">
        <v>29</v>
      </c>
      <c r="K584" s="476" t="s">
        <v>7</v>
      </c>
      <c r="L584" s="184">
        <v>40743</v>
      </c>
      <c r="M584" s="184">
        <v>41859</v>
      </c>
      <c r="N584" s="480">
        <v>273421.82</v>
      </c>
      <c r="O584" s="478" t="str">
        <f>IFERROR(VLOOKUP(A584,[1]Approval!A:C,3,FALSE),"")</f>
        <v>FIN Approval - Internal</v>
      </c>
      <c r="P584" s="184">
        <f>IFERROR(VLOOKUP(A584,[1]Approval!A:J,10,FALSE),"")</f>
        <v>41859</v>
      </c>
      <c r="R584" s="425">
        <f>2020-YEAR(Table227[[#This Row],[In-
Service
Date]])</f>
        <v>9</v>
      </c>
      <c r="S584" s="308">
        <f>+Table227[[#This Row],[Proj To Date
Actuals]]*1.02^R584</f>
        <v>326764.38518118713</v>
      </c>
    </row>
    <row r="585" spans="1:19" x14ac:dyDescent="0.25">
      <c r="A585" s="476" t="s">
        <v>1526</v>
      </c>
      <c r="B585" s="475" t="s">
        <v>3932</v>
      </c>
      <c r="C585" s="422" t="e">
        <f>VLOOKUP(B585,'Matter &amp; CI#'!$D$4:$E$595,2,FALSE)</f>
        <v>#N/A</v>
      </c>
      <c r="D585" s="476" t="s">
        <v>1527</v>
      </c>
      <c r="E585" s="476" t="s">
        <v>42</v>
      </c>
      <c r="F585" s="476" t="s">
        <v>24</v>
      </c>
      <c r="G585" s="475" t="s">
        <v>2013</v>
      </c>
      <c r="H585" s="516"/>
      <c r="I585" s="477" t="s">
        <v>5</v>
      </c>
      <c r="J585" s="476" t="s">
        <v>6</v>
      </c>
      <c r="K585" s="476" t="s">
        <v>7</v>
      </c>
      <c r="L585" s="184">
        <v>40755</v>
      </c>
      <c r="M585" s="184">
        <v>42909</v>
      </c>
      <c r="N585" s="480">
        <v>1490348.72</v>
      </c>
      <c r="O585" s="478" t="str">
        <f>IFERROR(VLOOKUP(A585,[1]Approval!A:C,3,FALSE),"")</f>
        <v>FIN Approval - Internal</v>
      </c>
      <c r="P585" s="184">
        <f>IFERROR(VLOOKUP(A585,[1]Approval!A:J,10,FALSE),"")</f>
        <v>42909</v>
      </c>
      <c r="R585" s="425">
        <f>2020-YEAR(Table227[[#This Row],[In-
Service
Date]])</f>
        <v>9</v>
      </c>
      <c r="S585" s="308">
        <f>+Table227[[#This Row],[Proj To Date
Actuals]]*1.02^R585</f>
        <v>1781104.6799277731</v>
      </c>
    </row>
    <row r="586" spans="1:19" x14ac:dyDescent="0.25">
      <c r="A586" s="476" t="s">
        <v>59</v>
      </c>
      <c r="B586" s="475" t="s">
        <v>3983</v>
      </c>
      <c r="C586" s="422" t="e">
        <f>VLOOKUP(B586,'Matter &amp; CI#'!$D$4:$E$595,2,FALSE)</f>
        <v>#N/A</v>
      </c>
      <c r="D586" s="476" t="s">
        <v>60</v>
      </c>
      <c r="E586" s="476" t="s">
        <v>41</v>
      </c>
      <c r="F586" s="476" t="s">
        <v>24</v>
      </c>
      <c r="G586" s="475" t="s">
        <v>2013</v>
      </c>
      <c r="H586" s="516"/>
      <c r="I586" s="477" t="s">
        <v>5</v>
      </c>
      <c r="J586" s="476" t="s">
        <v>6</v>
      </c>
      <c r="K586" s="476" t="s">
        <v>7</v>
      </c>
      <c r="L586" s="184">
        <v>40755</v>
      </c>
      <c r="M586" s="184">
        <v>41471</v>
      </c>
      <c r="N586" s="480">
        <v>3275924.7</v>
      </c>
      <c r="O586" s="478" t="str">
        <f>IFERROR(VLOOKUP(A586,[1]Approval!A:C,3,FALSE),"")</f>
        <v>zINVALID FIN Approval - External</v>
      </c>
      <c r="P586" s="184">
        <f>IFERROR(VLOOKUP(A586,[1]Approval!A:J,10,FALSE),"")</f>
        <v>41471</v>
      </c>
      <c r="R586" s="425">
        <f>2020-YEAR(Table227[[#This Row],[In-
Service
Date]])</f>
        <v>9</v>
      </c>
      <c r="S586" s="308">
        <f>+Table227[[#This Row],[Proj To Date
Actuals]]*1.02^R586</f>
        <v>3915033.2643362731</v>
      </c>
    </row>
    <row r="587" spans="1:19" x14ac:dyDescent="0.25">
      <c r="A587" s="476" t="s">
        <v>1775</v>
      </c>
      <c r="B587" s="475" t="s">
        <v>3988</v>
      </c>
      <c r="C587" s="422" t="e">
        <f>VLOOKUP(B587,'Matter &amp; CI#'!$D$4:$E$595,2,FALSE)</f>
        <v>#N/A</v>
      </c>
      <c r="D587" s="476" t="s">
        <v>1776</v>
      </c>
      <c r="E587" s="476" t="s">
        <v>34</v>
      </c>
      <c r="F587" s="476" t="s">
        <v>24</v>
      </c>
      <c r="G587" s="475" t="s">
        <v>2013</v>
      </c>
      <c r="H587" s="516"/>
      <c r="I587" s="477" t="s">
        <v>5</v>
      </c>
      <c r="J587" s="476" t="s">
        <v>6</v>
      </c>
      <c r="K587" s="476" t="s">
        <v>7</v>
      </c>
      <c r="L587" s="184">
        <v>40763</v>
      </c>
      <c r="M587" s="184">
        <v>42909</v>
      </c>
      <c r="N587" s="480">
        <v>1805617.49</v>
      </c>
      <c r="O587" s="478" t="str">
        <f>IFERROR(VLOOKUP(A587,[1]Approval!A:C,3,FALSE),"")</f>
        <v>FIN Approval - Internal</v>
      </c>
      <c r="P587" s="184">
        <f>IFERROR(VLOOKUP(A587,[1]Approval!A:J,10,FALSE),"")</f>
        <v>42909</v>
      </c>
      <c r="R587" s="425">
        <f>2020-YEAR(Table227[[#This Row],[In-
Service
Date]])</f>
        <v>9</v>
      </c>
      <c r="S587" s="308">
        <f>+Table227[[#This Row],[Proj To Date
Actuals]]*1.02^R587</f>
        <v>2157880.0440734695</v>
      </c>
    </row>
    <row r="588" spans="1:19" x14ac:dyDescent="0.25">
      <c r="A588" s="476" t="s">
        <v>46</v>
      </c>
      <c r="B588" s="475" t="s">
        <v>4021</v>
      </c>
      <c r="C588" s="422" t="e">
        <f>VLOOKUP(B588,'Matter &amp; CI#'!$D$4:$E$595,2,FALSE)</f>
        <v>#N/A</v>
      </c>
      <c r="D588" s="476" t="s">
        <v>47</v>
      </c>
      <c r="E588" s="476" t="s">
        <v>8</v>
      </c>
      <c r="F588" s="476" t="s">
        <v>24</v>
      </c>
      <c r="G588" s="475" t="s">
        <v>2013</v>
      </c>
      <c r="H588" s="516"/>
      <c r="I588" s="477" t="s">
        <v>5</v>
      </c>
      <c r="J588" s="476" t="s">
        <v>29</v>
      </c>
      <c r="K588" s="476" t="s">
        <v>7</v>
      </c>
      <c r="L588" s="184">
        <v>40779</v>
      </c>
      <c r="M588" s="184">
        <v>42124</v>
      </c>
      <c r="N588" s="480">
        <v>271226.78999999998</v>
      </c>
      <c r="O588" s="478" t="str">
        <f>IFERROR(VLOOKUP(A588,[1]Approval!A:C,3,FALSE),"")</f>
        <v>FIN Approval - Internal</v>
      </c>
      <c r="P588" s="184">
        <f>IFERROR(VLOOKUP(A588,[1]Approval!A:J,10,FALSE),"")</f>
        <v>42111</v>
      </c>
      <c r="R588" s="425">
        <f>2020-YEAR(Table227[[#This Row],[In-
Service
Date]])</f>
        <v>9</v>
      </c>
      <c r="S588" s="308">
        <f>+Table227[[#This Row],[Proj To Date
Actuals]]*1.02^R588</f>
        <v>324141.12114028406</v>
      </c>
    </row>
    <row r="589" spans="1:19" x14ac:dyDescent="0.25">
      <c r="A589" s="476" t="s">
        <v>1248</v>
      </c>
      <c r="B589" s="475" t="s">
        <v>3949</v>
      </c>
      <c r="C589" s="422" t="e">
        <f>VLOOKUP(B589,'Matter &amp; CI#'!$D$4:$E$595,2,FALSE)</f>
        <v>#N/A</v>
      </c>
      <c r="D589" s="476" t="s">
        <v>1249</v>
      </c>
      <c r="E589" s="476" t="s">
        <v>73</v>
      </c>
      <c r="F589" s="476" t="s">
        <v>24</v>
      </c>
      <c r="G589" s="475" t="s">
        <v>2013</v>
      </c>
      <c r="H589" s="516"/>
      <c r="I589" s="477" t="s">
        <v>5</v>
      </c>
      <c r="J589" s="476" t="s">
        <v>6</v>
      </c>
      <c r="K589" s="476" t="s">
        <v>7</v>
      </c>
      <c r="L589" s="184">
        <v>40814</v>
      </c>
      <c r="M589" s="184">
        <v>42913</v>
      </c>
      <c r="N589" s="480">
        <v>4332406.3</v>
      </c>
      <c r="O589" s="478" t="str">
        <f>IFERROR(VLOOKUP(A589,[1]Approval!A:C,3,FALSE),"")</f>
        <v>FIN Approval - Internal</v>
      </c>
      <c r="P589" s="184">
        <f>IFERROR(VLOOKUP(A589,[1]Approval!A:J,10,FALSE),"")</f>
        <v>42913</v>
      </c>
      <c r="R589" s="425">
        <f>2020-YEAR(Table227[[#This Row],[In-
Service
Date]])</f>
        <v>9</v>
      </c>
      <c r="S589" s="308">
        <f>+Table227[[#This Row],[Proj To Date
Actuals]]*1.02^R589</f>
        <v>5177626.5733824819</v>
      </c>
    </row>
    <row r="590" spans="1:19" x14ac:dyDescent="0.25">
      <c r="A590" s="476" t="s">
        <v>285</v>
      </c>
      <c r="B590" s="475" t="s">
        <v>3950</v>
      </c>
      <c r="C590" s="422" t="e">
        <f>VLOOKUP(B590,'Matter &amp; CI#'!$D$4:$E$595,2,FALSE)</f>
        <v>#N/A</v>
      </c>
      <c r="D590" s="476" t="s">
        <v>286</v>
      </c>
      <c r="E590" s="476" t="s">
        <v>8</v>
      </c>
      <c r="F590" s="476" t="s">
        <v>24</v>
      </c>
      <c r="G590" s="475" t="s">
        <v>2013</v>
      </c>
      <c r="H590" s="516"/>
      <c r="I590" s="477" t="s">
        <v>5</v>
      </c>
      <c r="J590" s="476" t="s">
        <v>6</v>
      </c>
      <c r="K590" s="476" t="s">
        <v>7</v>
      </c>
      <c r="L590" s="184">
        <v>40814</v>
      </c>
      <c r="M590" s="184">
        <v>41842</v>
      </c>
      <c r="N590" s="480">
        <v>4174697.88</v>
      </c>
      <c r="O590" s="478" t="str">
        <f>IFERROR(VLOOKUP(A590,[1]Approval!A:C,3,FALSE),"")</f>
        <v>zINVALID FIN Approval - Internal</v>
      </c>
      <c r="P590" s="184">
        <f>IFERROR(VLOOKUP(A590,[1]Approval!A:J,10,FALSE),"")</f>
        <v>41841</v>
      </c>
      <c r="R590" s="425">
        <f>2020-YEAR(Table227[[#This Row],[In-
Service
Date]])</f>
        <v>9</v>
      </c>
      <c r="S590" s="308">
        <f>+Table227[[#This Row],[Proj To Date
Actuals]]*1.02^R590</f>
        <v>4989150.4126313152</v>
      </c>
    </row>
    <row r="591" spans="1:19" x14ac:dyDescent="0.25">
      <c r="A591" s="476" t="s">
        <v>753</v>
      </c>
      <c r="B591" s="475" t="s">
        <v>3951</v>
      </c>
      <c r="C591" s="422" t="e">
        <f>VLOOKUP(B591,'Matter &amp; CI#'!$D$4:$E$595,2,FALSE)</f>
        <v>#N/A</v>
      </c>
      <c r="D591" s="476" t="s">
        <v>754</v>
      </c>
      <c r="E591" s="476" t="s">
        <v>235</v>
      </c>
      <c r="F591" s="476" t="s">
        <v>24</v>
      </c>
      <c r="G591" s="475" t="s">
        <v>2013</v>
      </c>
      <c r="H591" s="516"/>
      <c r="I591" s="477" t="s">
        <v>5</v>
      </c>
      <c r="J591" s="476" t="s">
        <v>6</v>
      </c>
      <c r="K591" s="476" t="s">
        <v>28</v>
      </c>
      <c r="L591" s="184">
        <v>40814</v>
      </c>
      <c r="N591" s="480">
        <v>3988155.06</v>
      </c>
      <c r="O591" s="478" t="str">
        <f>IFERROR(VLOOKUP(A591,[1]Approval!A:C,3,FALSE),"")</f>
        <v/>
      </c>
      <c r="P591" s="184" t="str">
        <f>IFERROR(VLOOKUP(A591,[1]Approval!A:J,10,FALSE),"")</f>
        <v/>
      </c>
      <c r="R591" s="425">
        <f>2020-YEAR(Table227[[#This Row],[In-
Service
Date]])</f>
        <v>9</v>
      </c>
      <c r="S591" s="308">
        <f>+Table227[[#This Row],[Proj To Date
Actuals]]*1.02^R591</f>
        <v>4766214.4747194666</v>
      </c>
    </row>
    <row r="592" spans="1:19" x14ac:dyDescent="0.25">
      <c r="A592" s="476" t="s">
        <v>743</v>
      </c>
      <c r="B592" s="475" t="s">
        <v>3987</v>
      </c>
      <c r="C592" s="422" t="e">
        <f>VLOOKUP(B592,'Matter &amp; CI#'!$D$4:$E$595,2,FALSE)</f>
        <v>#N/A</v>
      </c>
      <c r="D592" s="476" t="s">
        <v>744</v>
      </c>
      <c r="E592" s="476" t="s">
        <v>50</v>
      </c>
      <c r="F592" s="476" t="s">
        <v>24</v>
      </c>
      <c r="G592" s="475" t="s">
        <v>2013</v>
      </c>
      <c r="H592" s="516"/>
      <c r="I592" s="477" t="s">
        <v>5</v>
      </c>
      <c r="J592" s="476" t="s">
        <v>6</v>
      </c>
      <c r="K592" s="476" t="s">
        <v>7</v>
      </c>
      <c r="L592" s="184">
        <v>40819</v>
      </c>
      <c r="M592" s="184">
        <v>42400</v>
      </c>
      <c r="N592" s="480">
        <v>4114179.9</v>
      </c>
      <c r="O592" s="478" t="str">
        <f>IFERROR(VLOOKUP(A592,[1]Approval!A:C,3,FALSE),"")</f>
        <v>FIN Approval - External</v>
      </c>
      <c r="P592" s="184">
        <f>IFERROR(VLOOKUP(A592,[1]Approval!A:J,10,FALSE),"")</f>
        <v>42418</v>
      </c>
      <c r="R592" s="425">
        <f>2020-YEAR(Table227[[#This Row],[In-
Service
Date]])</f>
        <v>9</v>
      </c>
      <c r="S592" s="308">
        <f>+Table227[[#This Row],[Proj To Date
Actuals]]*1.02^R592</f>
        <v>4916825.8244652823</v>
      </c>
    </row>
    <row r="593" spans="1:19" x14ac:dyDescent="0.25">
      <c r="A593" s="476" t="s">
        <v>1496</v>
      </c>
      <c r="B593" s="475" t="s">
        <v>4022</v>
      </c>
      <c r="C593" s="422" t="e">
        <f>VLOOKUP(B593,'Matter &amp; CI#'!$D$4:$E$595,2,FALSE)</f>
        <v>#N/A</v>
      </c>
      <c r="D593" s="476" t="s">
        <v>1497</v>
      </c>
      <c r="E593" s="476" t="s">
        <v>8</v>
      </c>
      <c r="F593" s="476" t="s">
        <v>24</v>
      </c>
      <c r="G593" s="475" t="s">
        <v>2013</v>
      </c>
      <c r="H593" s="516"/>
      <c r="I593" s="477" t="s">
        <v>5</v>
      </c>
      <c r="J593" s="476" t="s">
        <v>29</v>
      </c>
      <c r="K593" s="476" t="s">
        <v>7</v>
      </c>
      <c r="L593" s="184">
        <v>40819</v>
      </c>
      <c r="M593" s="184">
        <v>41964</v>
      </c>
      <c r="N593" s="480">
        <v>494165.46</v>
      </c>
      <c r="O593" s="478" t="str">
        <f>IFERROR(VLOOKUP(A593,[1]Approval!A:C,3,FALSE),"")</f>
        <v>FIN Approval - Internal</v>
      </c>
      <c r="P593" s="184">
        <f>IFERROR(VLOOKUP(A593,[1]Approval!A:J,10,FALSE),"")</f>
        <v>41964</v>
      </c>
      <c r="R593" s="425">
        <f>2020-YEAR(Table227[[#This Row],[In-
Service
Date]])</f>
        <v>9</v>
      </c>
      <c r="S593" s="308">
        <f>+Table227[[#This Row],[Proj To Date
Actuals]]*1.02^R593</f>
        <v>590573.46891582583</v>
      </c>
    </row>
    <row r="594" spans="1:19" x14ac:dyDescent="0.25">
      <c r="A594" s="476" t="s">
        <v>1234</v>
      </c>
      <c r="B594" s="475" t="s">
        <v>4024</v>
      </c>
      <c r="C594" s="422" t="e">
        <f>VLOOKUP(B594,'Matter &amp; CI#'!$D$4:$E$595,2,FALSE)</f>
        <v>#N/A</v>
      </c>
      <c r="D594" s="476" t="s">
        <v>1235</v>
      </c>
      <c r="E594" s="476" t="s">
        <v>42</v>
      </c>
      <c r="F594" s="476" t="s">
        <v>24</v>
      </c>
      <c r="G594" s="475" t="s">
        <v>2013</v>
      </c>
      <c r="H594" s="516"/>
      <c r="I594" s="477" t="s">
        <v>5</v>
      </c>
      <c r="J594" s="476" t="s">
        <v>29</v>
      </c>
      <c r="K594" s="476" t="s">
        <v>7</v>
      </c>
      <c r="L594" s="184">
        <v>40819</v>
      </c>
      <c r="M594" s="184">
        <v>41212</v>
      </c>
      <c r="N594" s="480">
        <v>85512.51</v>
      </c>
      <c r="O594" s="478" t="str">
        <f>IFERROR(VLOOKUP(A594,[1]Approval!A:C,3,FALSE),"")</f>
        <v>zINVALID FIN Approval - External</v>
      </c>
      <c r="P594" s="184">
        <f>IFERROR(VLOOKUP(A594,[1]Approval!A:J,10,FALSE),"")</f>
        <v>41179</v>
      </c>
      <c r="R594" s="425">
        <f>2020-YEAR(Table227[[#This Row],[In-
Service
Date]])</f>
        <v>9</v>
      </c>
      <c r="S594" s="308">
        <f>+Table227[[#This Row],[Proj To Date
Actuals]]*1.02^R594</f>
        <v>102195.36522524104</v>
      </c>
    </row>
    <row r="595" spans="1:19" x14ac:dyDescent="0.25">
      <c r="A595" s="476" t="s">
        <v>980</v>
      </c>
      <c r="B595" s="475" t="s">
        <v>4025</v>
      </c>
      <c r="C595" s="422" t="e">
        <f>VLOOKUP(B595,'Matter &amp; CI#'!$D$4:$E$595,2,FALSE)</f>
        <v>#N/A</v>
      </c>
      <c r="D595" s="476" t="s">
        <v>981</v>
      </c>
      <c r="E595" s="476" t="s">
        <v>8</v>
      </c>
      <c r="F595" s="476" t="s">
        <v>24</v>
      </c>
      <c r="G595" s="475" t="s">
        <v>2013</v>
      </c>
      <c r="H595" s="516"/>
      <c r="I595" s="477" t="s">
        <v>5</v>
      </c>
      <c r="J595" s="476" t="s">
        <v>29</v>
      </c>
      <c r="K595" s="476" t="s">
        <v>7</v>
      </c>
      <c r="L595" s="184">
        <v>40819</v>
      </c>
      <c r="M595" s="184">
        <v>41859</v>
      </c>
      <c r="N595" s="480">
        <v>177130.08</v>
      </c>
      <c r="O595" s="478" t="str">
        <f>IFERROR(VLOOKUP(A595,[1]Approval!A:C,3,FALSE),"")</f>
        <v>FIN Approval - Internal</v>
      </c>
      <c r="P595" s="184">
        <f>IFERROR(VLOOKUP(A595,[1]Approval!A:J,10,FALSE),"")</f>
        <v>41859</v>
      </c>
      <c r="R595" s="425">
        <f>2020-YEAR(Table227[[#This Row],[In-
Service
Date]])</f>
        <v>9</v>
      </c>
      <c r="S595" s="308">
        <f>+Table227[[#This Row],[Proj To Date
Actuals]]*1.02^R595</f>
        <v>211686.84228747539</v>
      </c>
    </row>
    <row r="596" spans="1:19" x14ac:dyDescent="0.25">
      <c r="A596" s="476" t="s">
        <v>1502</v>
      </c>
      <c r="B596" s="475" t="s">
        <v>4027</v>
      </c>
      <c r="C596" s="422" t="e">
        <f>VLOOKUP(B596,'Matter &amp; CI#'!$D$4:$E$595,2,FALSE)</f>
        <v>#N/A</v>
      </c>
      <c r="D596" s="476" t="s">
        <v>1503</v>
      </c>
      <c r="E596" s="476" t="s">
        <v>8</v>
      </c>
      <c r="F596" s="476" t="s">
        <v>24</v>
      </c>
      <c r="G596" s="475" t="s">
        <v>2013</v>
      </c>
      <c r="H596" s="516"/>
      <c r="I596" s="477" t="s">
        <v>5</v>
      </c>
      <c r="J596" s="476" t="s">
        <v>29</v>
      </c>
      <c r="K596" s="476" t="s">
        <v>7</v>
      </c>
      <c r="L596" s="184">
        <v>40819</v>
      </c>
      <c r="M596" s="184">
        <v>41382</v>
      </c>
      <c r="N596" s="480">
        <v>-13069.37</v>
      </c>
      <c r="O596" s="478" t="str">
        <f>IFERROR(VLOOKUP(A596,[1]Approval!A:C,3,FALSE),"")</f>
        <v>zINVALID FIN Approval - External</v>
      </c>
      <c r="P596" s="184">
        <f>IFERROR(VLOOKUP(A596,[1]Approval!A:J,10,FALSE),"")</f>
        <v>41227</v>
      </c>
      <c r="R596" s="425">
        <f>2020-YEAR(Table227[[#This Row],[In-
Service
Date]])</f>
        <v>9</v>
      </c>
      <c r="S596" s="308">
        <f>+Table227[[#This Row],[Proj To Date
Actuals]]*1.02^R596</f>
        <v>-15619.106963575372</v>
      </c>
    </row>
    <row r="597" spans="1:19" x14ac:dyDescent="0.25">
      <c r="A597" s="476" t="s">
        <v>1004</v>
      </c>
      <c r="B597" s="475" t="s">
        <v>3998</v>
      </c>
      <c r="C597" s="422" t="e">
        <f>VLOOKUP(B597,'Matter &amp; CI#'!$D$4:$E$595,2,FALSE)</f>
        <v>#N/A</v>
      </c>
      <c r="D597" s="476" t="s">
        <v>1005</v>
      </c>
      <c r="E597" s="476" t="s">
        <v>235</v>
      </c>
      <c r="F597" s="476" t="s">
        <v>24</v>
      </c>
      <c r="G597" s="475" t="s">
        <v>2013</v>
      </c>
      <c r="H597" s="516"/>
      <c r="I597" s="477" t="s">
        <v>5</v>
      </c>
      <c r="J597" s="476" t="s">
        <v>6</v>
      </c>
      <c r="K597" s="476" t="s">
        <v>7</v>
      </c>
      <c r="L597" s="184">
        <v>40847</v>
      </c>
      <c r="M597" s="184">
        <v>43830</v>
      </c>
      <c r="N597" s="480">
        <v>3406923.82</v>
      </c>
      <c r="O597" s="478" t="str">
        <f>IFERROR(VLOOKUP(A597,[1]Approval!A:C,3,FALSE),"")</f>
        <v>FIN Approval - Internal</v>
      </c>
      <c r="P597" s="184">
        <f>IFERROR(VLOOKUP(A597,[1]Approval!A:J,10,FALSE),"")</f>
        <v>43787</v>
      </c>
      <c r="R597" s="425">
        <f>2020-YEAR(Table227[[#This Row],[In-
Service
Date]])</f>
        <v>9</v>
      </c>
      <c r="S597" s="308">
        <f>+Table227[[#This Row],[Proj To Date
Actuals]]*1.02^R597</f>
        <v>4071589.3391443351</v>
      </c>
    </row>
    <row r="598" spans="1:19" x14ac:dyDescent="0.25">
      <c r="A598" s="476" t="s">
        <v>281</v>
      </c>
      <c r="B598" s="475" t="s">
        <v>3980</v>
      </c>
      <c r="C598" s="422" t="e">
        <f>VLOOKUP(B598,'Matter &amp; CI#'!$D$4:$E$595,2,FALSE)</f>
        <v>#N/A</v>
      </c>
      <c r="D598" s="476" t="s">
        <v>282</v>
      </c>
      <c r="E598" s="476" t="s">
        <v>42</v>
      </c>
      <c r="F598" s="476" t="s">
        <v>24</v>
      </c>
      <c r="G598" s="475" t="s">
        <v>2013</v>
      </c>
      <c r="H598" s="516"/>
      <c r="I598" s="477" t="s">
        <v>5</v>
      </c>
      <c r="J598" s="476" t="s">
        <v>6</v>
      </c>
      <c r="K598" s="476" t="s">
        <v>7</v>
      </c>
      <c r="L598" s="184">
        <v>40897</v>
      </c>
      <c r="M598" s="184">
        <v>42490</v>
      </c>
      <c r="N598" s="480">
        <v>718294.04</v>
      </c>
      <c r="O598" s="478" t="str">
        <f>IFERROR(VLOOKUP(A598,[1]Approval!A:C,3,FALSE),"")</f>
        <v>FIN Approval - Internal</v>
      </c>
      <c r="P598" s="184">
        <f>IFERROR(VLOOKUP(A598,[1]Approval!A:J,10,FALSE),"")</f>
        <v>42478</v>
      </c>
      <c r="R598" s="425">
        <f>2020-YEAR(Table227[[#This Row],[In-
Service
Date]])</f>
        <v>9</v>
      </c>
      <c r="S598" s="308">
        <f>+Table227[[#This Row],[Proj To Date
Actuals]]*1.02^R598</f>
        <v>858427.86928969692</v>
      </c>
    </row>
    <row r="599" spans="1:19" x14ac:dyDescent="0.25">
      <c r="A599" s="476" t="s">
        <v>1757</v>
      </c>
      <c r="B599" s="475" t="s">
        <v>3982</v>
      </c>
      <c r="C599" s="422" t="e">
        <f>VLOOKUP(B599,'Matter &amp; CI#'!$D$4:$E$595,2,FALSE)</f>
        <v>#N/A</v>
      </c>
      <c r="D599" s="476" t="s">
        <v>1758</v>
      </c>
      <c r="E599" s="476" t="s">
        <v>8</v>
      </c>
      <c r="F599" s="476" t="s">
        <v>24</v>
      </c>
      <c r="G599" s="475" t="s">
        <v>2013</v>
      </c>
      <c r="H599" s="516"/>
      <c r="I599" s="477" t="s">
        <v>5</v>
      </c>
      <c r="J599" s="476" t="s">
        <v>6</v>
      </c>
      <c r="K599" s="476" t="s">
        <v>7</v>
      </c>
      <c r="L599" s="184">
        <v>40897</v>
      </c>
      <c r="M599" s="184">
        <v>41963</v>
      </c>
      <c r="N599" s="480">
        <v>508208.1</v>
      </c>
      <c r="O599" s="478" t="str">
        <f>IFERROR(VLOOKUP(A599,[1]Approval!A:C,3,FALSE),"")</f>
        <v>FIN Approval - Internal</v>
      </c>
      <c r="P599" s="184">
        <f>IFERROR(VLOOKUP(A599,[1]Approval!A:J,10,FALSE),"")</f>
        <v>41963</v>
      </c>
      <c r="R599" s="425">
        <f>2020-YEAR(Table227[[#This Row],[In-
Service
Date]])</f>
        <v>9</v>
      </c>
      <c r="S599" s="308">
        <f>+Table227[[#This Row],[Proj To Date
Actuals]]*1.02^R599</f>
        <v>607355.72362366423</v>
      </c>
    </row>
    <row r="600" spans="1:19" x14ac:dyDescent="0.25">
      <c r="A600" s="476" t="s">
        <v>263</v>
      </c>
      <c r="B600" s="475" t="s">
        <v>3984</v>
      </c>
      <c r="C600" s="422" t="e">
        <f>VLOOKUP(B600,'Matter &amp; CI#'!$D$4:$E$595,2,FALSE)</f>
        <v>#N/A</v>
      </c>
      <c r="D600" s="476" t="s">
        <v>264</v>
      </c>
      <c r="E600" s="476" t="s">
        <v>8</v>
      </c>
      <c r="F600" s="476" t="s">
        <v>24</v>
      </c>
      <c r="G600" s="475" t="s">
        <v>2013</v>
      </c>
      <c r="H600" s="516"/>
      <c r="I600" s="477" t="s">
        <v>5</v>
      </c>
      <c r="J600" s="476" t="s">
        <v>6</v>
      </c>
      <c r="K600" s="476" t="s">
        <v>7</v>
      </c>
      <c r="L600" s="184">
        <v>40897</v>
      </c>
      <c r="M600" s="184">
        <v>41569</v>
      </c>
      <c r="N600" s="480">
        <v>3986553.24</v>
      </c>
      <c r="O600" s="478" t="str">
        <f>IFERROR(VLOOKUP(A600,[1]Approval!A:C,3,FALSE),"")</f>
        <v>zINVALID FIN Approval - External</v>
      </c>
      <c r="P600" s="184">
        <f>IFERROR(VLOOKUP(A600,[1]Approval!A:J,10,FALSE),"")</f>
        <v>41380</v>
      </c>
      <c r="R600" s="425">
        <f>2020-YEAR(Table227[[#This Row],[In-
Service
Date]])</f>
        <v>9</v>
      </c>
      <c r="S600" s="308">
        <f>+Table227[[#This Row],[Proj To Date
Actuals]]*1.02^R600</f>
        <v>4764300.1515411958</v>
      </c>
    </row>
    <row r="601" spans="1:19" x14ac:dyDescent="0.25">
      <c r="A601" s="476" t="s">
        <v>502</v>
      </c>
      <c r="B601" s="475" t="s">
        <v>4017</v>
      </c>
      <c r="C601" s="422" t="e">
        <f>VLOOKUP(B601,'Matter &amp; CI#'!$D$4:$E$595,2,FALSE)</f>
        <v>#N/A</v>
      </c>
      <c r="D601" s="476" t="s">
        <v>503</v>
      </c>
      <c r="E601" s="476" t="s">
        <v>8</v>
      </c>
      <c r="F601" s="476" t="s">
        <v>24</v>
      </c>
      <c r="G601" s="475" t="s">
        <v>2013</v>
      </c>
      <c r="H601" s="516"/>
      <c r="I601" s="477" t="s">
        <v>5</v>
      </c>
      <c r="J601" s="476" t="s">
        <v>29</v>
      </c>
      <c r="K601" s="476" t="s">
        <v>7</v>
      </c>
      <c r="L601" s="184">
        <v>40897</v>
      </c>
      <c r="M601" s="184">
        <v>41592</v>
      </c>
      <c r="N601" s="480">
        <v>191812.66</v>
      </c>
      <c r="O601" s="478" t="str">
        <f>IFERROR(VLOOKUP(A601,[1]Approval!A:C,3,FALSE),"")</f>
        <v>zINVALID FIN Approval - External</v>
      </c>
      <c r="P601" s="184">
        <f>IFERROR(VLOOKUP(A601,[1]Approval!A:J,10,FALSE),"")</f>
        <v>41198</v>
      </c>
      <c r="R601" s="425">
        <f>2020-YEAR(Table227[[#This Row],[In-
Service
Date]])</f>
        <v>9</v>
      </c>
      <c r="S601" s="308">
        <f>+Table227[[#This Row],[Proj To Date
Actuals]]*1.02^R601</f>
        <v>229233.88453367798</v>
      </c>
    </row>
    <row r="602" spans="1:19" x14ac:dyDescent="0.25">
      <c r="A602" s="476" t="s">
        <v>733</v>
      </c>
      <c r="B602" s="475" t="s">
        <v>3923</v>
      </c>
      <c r="C602" s="422" t="e">
        <f>VLOOKUP(B602,'Matter &amp; CI#'!$D$4:$E$595,2,FALSE)</f>
        <v>#N/A</v>
      </c>
      <c r="D602" s="476" t="s">
        <v>734</v>
      </c>
      <c r="E602" s="476" t="s">
        <v>8</v>
      </c>
      <c r="F602" s="476" t="s">
        <v>24</v>
      </c>
      <c r="G602" s="475" t="s">
        <v>2013</v>
      </c>
      <c r="H602" s="516"/>
      <c r="I602" s="477" t="s">
        <v>5</v>
      </c>
      <c r="J602" s="476" t="s">
        <v>195</v>
      </c>
      <c r="K602" s="476" t="s">
        <v>18</v>
      </c>
      <c r="L602" s="184">
        <v>40908</v>
      </c>
      <c r="M602" s="184">
        <v>40908</v>
      </c>
      <c r="N602" s="480">
        <v>67521.09</v>
      </c>
      <c r="O602" s="478" t="str">
        <f>IFERROR(VLOOKUP(A602,[1]Approval!A:C,3,FALSE),"")</f>
        <v/>
      </c>
      <c r="P602" s="184" t="str">
        <f>IFERROR(VLOOKUP(A602,[1]Approval!A:J,10,FALSE),"")</f>
        <v/>
      </c>
      <c r="R602" s="425">
        <f>2020-YEAR(Table227[[#This Row],[In-
Service
Date]])</f>
        <v>9</v>
      </c>
      <c r="S602" s="308">
        <f>+Table227[[#This Row],[Proj To Date
Actuals]]*1.02^R602</f>
        <v>80693.952884278217</v>
      </c>
    </row>
    <row r="603" spans="1:19" x14ac:dyDescent="0.25">
      <c r="A603" s="476" t="s">
        <v>504</v>
      </c>
      <c r="B603" s="475" t="s">
        <v>3925</v>
      </c>
      <c r="C603" s="422" t="e">
        <f>VLOOKUP(B603,'Matter &amp; CI#'!$D$4:$E$595,2,FALSE)</f>
        <v>#N/A</v>
      </c>
      <c r="D603" s="476" t="s">
        <v>505</v>
      </c>
      <c r="E603" s="476" t="s">
        <v>50</v>
      </c>
      <c r="F603" s="476" t="s">
        <v>24</v>
      </c>
      <c r="G603" s="475" t="s">
        <v>2013</v>
      </c>
      <c r="H603" s="516"/>
      <c r="I603" s="477" t="s">
        <v>5</v>
      </c>
      <c r="J603" s="476" t="s">
        <v>8</v>
      </c>
      <c r="K603" s="476" t="s">
        <v>7</v>
      </c>
      <c r="L603" s="184">
        <v>40908</v>
      </c>
      <c r="M603" s="184">
        <v>42625</v>
      </c>
      <c r="N603" s="480">
        <v>2377229.2200000002</v>
      </c>
      <c r="O603" s="478" t="str">
        <f>IFERROR(VLOOKUP(A603,[1]Approval!A:C,3,FALSE),"")</f>
        <v>FIN Approval - Internal</v>
      </c>
      <c r="P603" s="184">
        <f>IFERROR(VLOOKUP(A603,[1]Approval!A:J,10,FALSE),"")</f>
        <v>42625</v>
      </c>
      <c r="R603" s="425">
        <f>2020-YEAR(Table227[[#This Row],[In-
Service
Date]])</f>
        <v>9</v>
      </c>
      <c r="S603" s="308">
        <f>+Table227[[#This Row],[Proj To Date
Actuals]]*1.02^R603</f>
        <v>2841008.9747338127</v>
      </c>
    </row>
    <row r="604" spans="1:19" x14ac:dyDescent="0.25">
      <c r="A604" s="476" t="s">
        <v>293</v>
      </c>
      <c r="B604" s="475" t="s">
        <v>3930</v>
      </c>
      <c r="C604" s="422" t="e">
        <f>VLOOKUP(B604,'Matter &amp; CI#'!$D$4:$E$595,2,FALSE)</f>
        <v>#N/A</v>
      </c>
      <c r="D604" s="476" t="s">
        <v>294</v>
      </c>
      <c r="E604" s="476" t="s">
        <v>34</v>
      </c>
      <c r="F604" s="476" t="s">
        <v>24</v>
      </c>
      <c r="G604" s="475" t="s">
        <v>2013</v>
      </c>
      <c r="H604" s="516"/>
      <c r="I604" s="477" t="s">
        <v>5</v>
      </c>
      <c r="J604" s="476" t="s">
        <v>8</v>
      </c>
      <c r="K604" s="476" t="s">
        <v>7</v>
      </c>
      <c r="L604" s="184">
        <v>40908</v>
      </c>
      <c r="M604" s="184">
        <v>42613</v>
      </c>
      <c r="N604" s="480">
        <v>2059889.68</v>
      </c>
      <c r="O604" s="478" t="str">
        <f>IFERROR(VLOOKUP(A604,[1]Approval!A:C,3,FALSE),"")</f>
        <v>FIN Approval - Internal</v>
      </c>
      <c r="P604" s="184">
        <f>IFERROR(VLOOKUP(A604,[1]Approval!A:J,10,FALSE),"")</f>
        <v>42625</v>
      </c>
      <c r="R604" s="425">
        <f>2020-YEAR(Table227[[#This Row],[In-
Service
Date]])</f>
        <v>9</v>
      </c>
      <c r="S604" s="308">
        <f>+Table227[[#This Row],[Proj To Date
Actuals]]*1.02^R604</f>
        <v>2461758.8487497899</v>
      </c>
    </row>
    <row r="605" spans="1:19" x14ac:dyDescent="0.25">
      <c r="A605" s="476" t="s">
        <v>48</v>
      </c>
      <c r="B605" s="475" t="s">
        <v>3937</v>
      </c>
      <c r="C605" s="422" t="e">
        <f>VLOOKUP(B605,'Matter &amp; CI#'!$D$4:$E$595,2,FALSE)</f>
        <v>#N/A</v>
      </c>
      <c r="D605" s="476" t="s">
        <v>49</v>
      </c>
      <c r="E605" s="476" t="s">
        <v>50</v>
      </c>
      <c r="F605" s="476" t="s">
        <v>24</v>
      </c>
      <c r="G605" s="475" t="s">
        <v>2013</v>
      </c>
      <c r="H605" s="516"/>
      <c r="I605" s="477" t="s">
        <v>5</v>
      </c>
      <c r="J605" s="476" t="s">
        <v>6</v>
      </c>
      <c r="K605" s="476" t="s">
        <v>7</v>
      </c>
      <c r="L605" s="184">
        <v>40908</v>
      </c>
      <c r="M605" s="184">
        <v>41843</v>
      </c>
      <c r="N605" s="480">
        <v>7437554.3300000001</v>
      </c>
      <c r="O605" s="478" t="str">
        <f>IFERROR(VLOOKUP(A605,[1]Approval!A:C,3,FALSE),"")</f>
        <v>FIN Approval - Internal</v>
      </c>
      <c r="P605" s="184">
        <f>IFERROR(VLOOKUP(A605,[1]Approval!A:J,10,FALSE),"")</f>
        <v>41843</v>
      </c>
      <c r="R605" s="425">
        <f>2020-YEAR(Table227[[#This Row],[In-
Service
Date]])</f>
        <v>9</v>
      </c>
      <c r="S605" s="308">
        <f>+Table227[[#This Row],[Proj To Date
Actuals]]*1.02^R605</f>
        <v>8888565.9085076898</v>
      </c>
    </row>
    <row r="606" spans="1:19" x14ac:dyDescent="0.25">
      <c r="A606" s="476" t="s">
        <v>737</v>
      </c>
      <c r="B606" s="475" t="s">
        <v>3960</v>
      </c>
      <c r="C606" s="422" t="e">
        <f>VLOOKUP(B606,'Matter &amp; CI#'!$D$4:$E$595,2,FALSE)</f>
        <v>#N/A</v>
      </c>
      <c r="D606" s="476" t="s">
        <v>738</v>
      </c>
      <c r="E606" s="476" t="s">
        <v>8</v>
      </c>
      <c r="F606" s="476" t="s">
        <v>24</v>
      </c>
      <c r="G606" s="475" t="s">
        <v>2013</v>
      </c>
      <c r="H606" s="516"/>
      <c r="I606" s="477" t="s">
        <v>5</v>
      </c>
      <c r="J606" s="476" t="s">
        <v>6</v>
      </c>
      <c r="K606" s="476" t="s">
        <v>7</v>
      </c>
      <c r="L606" s="184">
        <v>40908</v>
      </c>
      <c r="M606" s="184">
        <v>41871</v>
      </c>
      <c r="N606" s="480">
        <v>882423.59</v>
      </c>
      <c r="O606" s="478" t="str">
        <f>IFERROR(VLOOKUP(A606,[1]Approval!A:C,3,FALSE),"")</f>
        <v>FIN Approval - Internal</v>
      </c>
      <c r="P606" s="184">
        <f>IFERROR(VLOOKUP(A606,[1]Approval!A:J,10,FALSE),"")</f>
        <v>41871</v>
      </c>
      <c r="R606" s="425">
        <f>2020-YEAR(Table227[[#This Row],[In-
Service
Date]])</f>
        <v>9</v>
      </c>
      <c r="S606" s="308">
        <f>+Table227[[#This Row],[Proj To Date
Actuals]]*1.02^R606</f>
        <v>1054577.874786021</v>
      </c>
    </row>
    <row r="607" spans="1:19" x14ac:dyDescent="0.25">
      <c r="A607" s="476" t="s">
        <v>992</v>
      </c>
      <c r="B607" s="475" t="s">
        <v>3973</v>
      </c>
      <c r="C607" s="422" t="e">
        <f>VLOOKUP(B607,'Matter &amp; CI#'!$D$4:$E$595,2,FALSE)</f>
        <v>#N/A</v>
      </c>
      <c r="D607" s="476" t="s">
        <v>993</v>
      </c>
      <c r="E607" s="476" t="s">
        <v>42</v>
      </c>
      <c r="F607" s="476" t="s">
        <v>24</v>
      </c>
      <c r="G607" s="475" t="s">
        <v>2013</v>
      </c>
      <c r="H607" s="516"/>
      <c r="I607" s="477" t="s">
        <v>5</v>
      </c>
      <c r="J607" s="476" t="s">
        <v>6</v>
      </c>
      <c r="K607" s="476" t="s">
        <v>7</v>
      </c>
      <c r="L607" s="184">
        <v>40908</v>
      </c>
      <c r="M607" s="184">
        <v>42718</v>
      </c>
      <c r="N607" s="480">
        <v>1099112.2</v>
      </c>
      <c r="O607" s="478" t="str">
        <f>IFERROR(VLOOKUP(A607,[1]Approval!A:C,3,FALSE),"")</f>
        <v>FIN Approval - External</v>
      </c>
      <c r="P607" s="184">
        <f>IFERROR(VLOOKUP(A607,[1]Approval!A:J,10,FALSE),"")</f>
        <v>42718</v>
      </c>
      <c r="R607" s="425">
        <f>2020-YEAR(Table227[[#This Row],[In-
Service
Date]])</f>
        <v>9</v>
      </c>
      <c r="S607" s="308">
        <f>+Table227[[#This Row],[Proj To Date
Actuals]]*1.02^R607</f>
        <v>1313540.8223021189</v>
      </c>
    </row>
    <row r="608" spans="1:19" x14ac:dyDescent="0.25">
      <c r="A608" s="476" t="s">
        <v>506</v>
      </c>
      <c r="B608" s="475" t="s">
        <v>3986</v>
      </c>
      <c r="C608" s="422" t="e">
        <f>VLOOKUP(B608,'Matter &amp; CI#'!$D$4:$E$595,2,FALSE)</f>
        <v>#N/A</v>
      </c>
      <c r="D608" s="476" t="s">
        <v>507</v>
      </c>
      <c r="E608" s="476" t="s">
        <v>50</v>
      </c>
      <c r="F608" s="476" t="s">
        <v>24</v>
      </c>
      <c r="G608" s="475" t="s">
        <v>2013</v>
      </c>
      <c r="H608" s="516"/>
      <c r="I608" s="477" t="s">
        <v>5</v>
      </c>
      <c r="J608" s="476" t="s">
        <v>6</v>
      </c>
      <c r="K608" s="476" t="s">
        <v>7</v>
      </c>
      <c r="L608" s="184">
        <v>40908</v>
      </c>
      <c r="M608" s="184">
        <v>42400</v>
      </c>
      <c r="N608" s="480">
        <v>878370.09</v>
      </c>
      <c r="O608" s="478" t="str">
        <f>IFERROR(VLOOKUP(A608,[1]Approval!A:C,3,FALSE),"")</f>
        <v>FIN Approval - Internal</v>
      </c>
      <c r="P608" s="184">
        <f>IFERROR(VLOOKUP(A608,[1]Approval!A:J,10,FALSE),"")</f>
        <v>42418</v>
      </c>
      <c r="R608" s="425">
        <f>2020-YEAR(Table227[[#This Row],[In-
Service
Date]])</f>
        <v>9</v>
      </c>
      <c r="S608" s="308">
        <f>+Table227[[#This Row],[Proj To Date
Actuals]]*1.02^R608</f>
        <v>1049733.5670591104</v>
      </c>
    </row>
    <row r="609" spans="1:19" x14ac:dyDescent="0.25">
      <c r="A609" s="476" t="s">
        <v>510</v>
      </c>
      <c r="B609" s="475" t="s">
        <v>3991</v>
      </c>
      <c r="C609" s="422" t="e">
        <f>VLOOKUP(B609,'Matter &amp; CI#'!$D$4:$E$595,2,FALSE)</f>
        <v>#N/A</v>
      </c>
      <c r="D609" s="476" t="s">
        <v>511</v>
      </c>
      <c r="E609" s="476" t="s">
        <v>42</v>
      </c>
      <c r="F609" s="476" t="s">
        <v>24</v>
      </c>
      <c r="G609" s="475" t="s">
        <v>2013</v>
      </c>
      <c r="H609" s="516"/>
      <c r="I609" s="477" t="s">
        <v>5</v>
      </c>
      <c r="J609" s="476" t="s">
        <v>6</v>
      </c>
      <c r="K609" s="476" t="s">
        <v>7</v>
      </c>
      <c r="L609" s="184">
        <v>40908</v>
      </c>
      <c r="M609" s="184">
        <v>43524</v>
      </c>
      <c r="N609" s="480">
        <v>837486.95</v>
      </c>
      <c r="O609" s="478" t="str">
        <f>IFERROR(VLOOKUP(A609,[1]Approval!A:C,3,FALSE),"")</f>
        <v>FIN Approval - Internal</v>
      </c>
      <c r="P609" s="184">
        <f>IFERROR(VLOOKUP(A609,[1]Approval!A:J,10,FALSE),"")</f>
        <v>43432</v>
      </c>
      <c r="R609" s="425">
        <f>2020-YEAR(Table227[[#This Row],[In-
Service
Date]])</f>
        <v>9</v>
      </c>
      <c r="S609" s="308">
        <f>+Table227[[#This Row],[Proj To Date
Actuals]]*1.02^R609</f>
        <v>1000874.4302631648</v>
      </c>
    </row>
    <row r="610" spans="1:19" x14ac:dyDescent="0.25">
      <c r="A610" s="476" t="s">
        <v>500</v>
      </c>
      <c r="B610" s="475" t="s">
        <v>4008</v>
      </c>
      <c r="C610" s="422" t="e">
        <f>VLOOKUP(B610,'Matter &amp; CI#'!$D$4:$E$595,2,FALSE)</f>
        <v>#N/A</v>
      </c>
      <c r="D610" s="476" t="s">
        <v>501</v>
      </c>
      <c r="E610" s="476" t="s">
        <v>73</v>
      </c>
      <c r="F610" s="476" t="s">
        <v>24</v>
      </c>
      <c r="G610" s="475" t="s">
        <v>2013</v>
      </c>
      <c r="H610" s="516"/>
      <c r="I610" s="477" t="s">
        <v>5</v>
      </c>
      <c r="J610" s="476" t="s">
        <v>6</v>
      </c>
      <c r="K610" s="476" t="s">
        <v>7</v>
      </c>
      <c r="L610" s="184">
        <v>40908</v>
      </c>
      <c r="M610" s="184">
        <v>43646</v>
      </c>
      <c r="N610" s="480">
        <v>1342899.03</v>
      </c>
      <c r="O610" s="478" t="str">
        <f>IFERROR(VLOOKUP(A610,[1]Approval!A:C,3,FALSE),"")</f>
        <v>FIN Approval - Internal</v>
      </c>
      <c r="P610" s="184">
        <f>IFERROR(VLOOKUP(A610,[1]Approval!A:J,10,FALSE),"")</f>
        <v>43549</v>
      </c>
      <c r="R610" s="425">
        <f>2020-YEAR(Table227[[#This Row],[In-
Service
Date]])</f>
        <v>9</v>
      </c>
      <c r="S610" s="308">
        <f>+Table227[[#This Row],[Proj To Date
Actuals]]*1.02^R610</f>
        <v>1604888.6511631096</v>
      </c>
    </row>
    <row r="611" spans="1:19" x14ac:dyDescent="0.25">
      <c r="A611" s="476" t="s">
        <v>1514</v>
      </c>
      <c r="B611" s="475" t="s">
        <v>4031</v>
      </c>
      <c r="C611" s="422" t="e">
        <f>VLOOKUP(B611,'Matter &amp; CI#'!$D$4:$E$595,2,FALSE)</f>
        <v>#N/A</v>
      </c>
      <c r="D611" s="476" t="s">
        <v>1515</v>
      </c>
      <c r="E611" s="476" t="s">
        <v>73</v>
      </c>
      <c r="F611" s="476" t="s">
        <v>24</v>
      </c>
      <c r="G611" s="475" t="s">
        <v>2013</v>
      </c>
      <c r="H611" s="516"/>
      <c r="I611" s="477" t="s">
        <v>5</v>
      </c>
      <c r="J611" s="476" t="s">
        <v>6</v>
      </c>
      <c r="K611" s="476" t="s">
        <v>7</v>
      </c>
      <c r="L611" s="184">
        <v>40908</v>
      </c>
      <c r="M611" s="184">
        <v>43922</v>
      </c>
      <c r="N611" s="480">
        <v>250983.84</v>
      </c>
      <c r="O611" s="478" t="str">
        <f>IFERROR(VLOOKUP(A611,[1]Approval!A:C,3,FALSE),"")</f>
        <v>FIN Approval - Internal</v>
      </c>
      <c r="P611" s="184">
        <f>IFERROR(VLOOKUP(A611,[1]Approval!A:J,10,FALSE),"")</f>
        <v>43906</v>
      </c>
      <c r="R611" s="425">
        <f>2020-YEAR(Table227[[#This Row],[In-
Service
Date]])</f>
        <v>9</v>
      </c>
      <c r="S611" s="308">
        <f>+Table227[[#This Row],[Proj To Date
Actuals]]*1.02^R611</f>
        <v>299948.9220282911</v>
      </c>
    </row>
    <row r="612" spans="1:19" x14ac:dyDescent="0.25">
      <c r="A612" s="476" t="s">
        <v>283</v>
      </c>
      <c r="B612" s="475" t="s">
        <v>4102</v>
      </c>
      <c r="C612" s="422" t="e">
        <f>VLOOKUP(B612,'Matter &amp; CI#'!$D$4:$E$595,2,FALSE)</f>
        <v>#N/A</v>
      </c>
      <c r="D612" s="476" t="s">
        <v>284</v>
      </c>
      <c r="E612" s="476" t="s">
        <v>235</v>
      </c>
      <c r="F612" s="476" t="s">
        <v>24</v>
      </c>
      <c r="G612" s="475" t="s">
        <v>2013</v>
      </c>
      <c r="H612" s="516"/>
      <c r="I612" s="477" t="s">
        <v>5</v>
      </c>
      <c r="J612" s="476" t="s">
        <v>6</v>
      </c>
      <c r="K612" s="476" t="s">
        <v>28</v>
      </c>
      <c r="L612" s="184">
        <v>40989</v>
      </c>
      <c r="N612" s="480">
        <v>2718541.73</v>
      </c>
      <c r="O612" s="478" t="str">
        <f>IFERROR(VLOOKUP(A612,[1]Approval!A:C,3,FALSE),"")</f>
        <v>FIN Approval - Internal</v>
      </c>
      <c r="P612" s="184">
        <f>IFERROR(VLOOKUP(A612,[1]Approval!A:J,10,FALSE),"")</f>
        <v>43857</v>
      </c>
      <c r="R612" s="425">
        <f>2020-YEAR(Table227[[#This Row],[In-
Service
Date]])</f>
        <v>8</v>
      </c>
      <c r="S612" s="308">
        <f>+Table227[[#This Row],[Proj To Date
Actuals]]*1.02^R612</f>
        <v>3185204.920600628</v>
      </c>
    </row>
    <row r="613" spans="1:19" x14ac:dyDescent="0.25">
      <c r="A613" s="476" t="s">
        <v>1256</v>
      </c>
      <c r="B613" s="475" t="s">
        <v>4131</v>
      </c>
      <c r="C613" s="422" t="e">
        <f>VLOOKUP(B613,'Matter &amp; CI#'!$D$4:$E$595,2,FALSE)</f>
        <v>#N/A</v>
      </c>
      <c r="D613" s="476" t="s">
        <v>1257</v>
      </c>
      <c r="E613" s="476" t="s">
        <v>8</v>
      </c>
      <c r="F613" s="476" t="s">
        <v>24</v>
      </c>
      <c r="G613" s="475" t="s">
        <v>2013</v>
      </c>
      <c r="H613" s="516"/>
      <c r="I613" s="477" t="s">
        <v>5</v>
      </c>
      <c r="J613" s="476" t="s">
        <v>29</v>
      </c>
      <c r="K613" s="476" t="s">
        <v>7</v>
      </c>
      <c r="L613" s="184">
        <v>41029</v>
      </c>
      <c r="M613" s="184">
        <v>41831</v>
      </c>
      <c r="N613" s="480">
        <v>196398.67</v>
      </c>
      <c r="O613" s="478" t="str">
        <f>IFERROR(VLOOKUP(A613,[1]Approval!A:C,3,FALSE),"")</f>
        <v>zINVALID FIN Approval - Internal</v>
      </c>
      <c r="P613" s="184">
        <f>IFERROR(VLOOKUP(A613,[1]Approval!A:J,10,FALSE),"")</f>
        <v>41831</v>
      </c>
      <c r="R613" s="425">
        <f>2020-YEAR(Table227[[#This Row],[In-
Service
Date]])</f>
        <v>8</v>
      </c>
      <c r="S613" s="308">
        <f>+Table227[[#This Row],[Proj To Date
Actuals]]*1.02^R613</f>
        <v>230112.34412186823</v>
      </c>
    </row>
    <row r="614" spans="1:19" x14ac:dyDescent="0.25">
      <c r="A614" s="476" t="s">
        <v>1522</v>
      </c>
      <c r="B614" s="475" t="s">
        <v>4038</v>
      </c>
      <c r="C614" s="422" t="e">
        <f>VLOOKUP(B614,'Matter &amp; CI#'!$D$4:$E$595,2,FALSE)</f>
        <v>#N/A</v>
      </c>
      <c r="D614" s="476" t="s">
        <v>1523</v>
      </c>
      <c r="E614" s="476" t="s">
        <v>73</v>
      </c>
      <c r="F614" s="476" t="s">
        <v>24</v>
      </c>
      <c r="G614" s="475" t="s">
        <v>2013</v>
      </c>
      <c r="H614" s="516"/>
      <c r="I614" s="477" t="s">
        <v>5</v>
      </c>
      <c r="J614" s="476" t="s">
        <v>6</v>
      </c>
      <c r="K614" s="476" t="s">
        <v>7</v>
      </c>
      <c r="L614" s="184">
        <v>41047</v>
      </c>
      <c r="M614" s="184">
        <v>42913</v>
      </c>
      <c r="N614" s="480">
        <v>1728098.86</v>
      </c>
      <c r="O614" s="478" t="str">
        <f>IFERROR(VLOOKUP(A614,[1]Approval!A:C,3,FALSE),"")</f>
        <v>FIN Approval - Internal</v>
      </c>
      <c r="P614" s="184">
        <f>IFERROR(VLOOKUP(A614,[1]Approval!A:J,10,FALSE),"")</f>
        <v>42913</v>
      </c>
      <c r="R614" s="425">
        <f>2020-YEAR(Table227[[#This Row],[In-
Service
Date]])</f>
        <v>8</v>
      </c>
      <c r="S614" s="308">
        <f>+Table227[[#This Row],[Proj To Date
Actuals]]*1.02^R614</f>
        <v>2024743.2406183209</v>
      </c>
    </row>
    <row r="615" spans="1:19" x14ac:dyDescent="0.25">
      <c r="A615" s="476" t="s">
        <v>1012</v>
      </c>
      <c r="B615" s="475" t="s">
        <v>4135</v>
      </c>
      <c r="C615" s="422" t="e">
        <f>VLOOKUP(B615,'Matter &amp; CI#'!$D$4:$E$595,2,FALSE)</f>
        <v>#N/A</v>
      </c>
      <c r="D615" s="476" t="s">
        <v>1013</v>
      </c>
      <c r="E615" s="476" t="s">
        <v>42</v>
      </c>
      <c r="F615" s="476" t="s">
        <v>24</v>
      </c>
      <c r="G615" s="475" t="s">
        <v>2013</v>
      </c>
      <c r="H615" s="516"/>
      <c r="I615" s="477" t="s">
        <v>5</v>
      </c>
      <c r="J615" s="476" t="s">
        <v>29</v>
      </c>
      <c r="K615" s="476" t="s">
        <v>7</v>
      </c>
      <c r="L615" s="184">
        <v>41090</v>
      </c>
      <c r="M615" s="184">
        <v>42613</v>
      </c>
      <c r="N615" s="480">
        <v>151090.6</v>
      </c>
      <c r="O615" s="478" t="str">
        <f>IFERROR(VLOOKUP(A615,[1]Approval!A:C,3,FALSE),"")</f>
        <v>FIN Approval - Internal</v>
      </c>
      <c r="P615" s="184">
        <f>IFERROR(VLOOKUP(A615,[1]Approval!A:J,10,FALSE),"")</f>
        <v>42625</v>
      </c>
      <c r="R615" s="425">
        <f>2020-YEAR(Table227[[#This Row],[In-
Service
Date]])</f>
        <v>8</v>
      </c>
      <c r="S615" s="308">
        <f>+Table227[[#This Row],[Proj To Date
Actuals]]*1.02^R615</f>
        <v>177026.71887126091</v>
      </c>
    </row>
    <row r="616" spans="1:19" x14ac:dyDescent="0.25">
      <c r="A616" s="476" t="s">
        <v>67</v>
      </c>
      <c r="B616" s="475" t="s">
        <v>3977</v>
      </c>
      <c r="C616" s="422" t="e">
        <f>VLOOKUP(B616,'Matter &amp; CI#'!$D$4:$E$595,2,FALSE)</f>
        <v>#N/A</v>
      </c>
      <c r="D616" s="476" t="s">
        <v>68</v>
      </c>
      <c r="E616" s="476" t="s">
        <v>42</v>
      </c>
      <c r="F616" s="476" t="s">
        <v>24</v>
      </c>
      <c r="G616" s="475" t="s">
        <v>2013</v>
      </c>
      <c r="H616" s="516"/>
      <c r="I616" s="477" t="s">
        <v>5</v>
      </c>
      <c r="J616" s="476" t="s">
        <v>6</v>
      </c>
      <c r="K616" s="476" t="s">
        <v>7</v>
      </c>
      <c r="L616" s="184">
        <v>41176</v>
      </c>
      <c r="M616" s="184">
        <v>43891</v>
      </c>
      <c r="N616" s="480">
        <v>1102189.4099999999</v>
      </c>
      <c r="O616" s="478" t="str">
        <f>IFERROR(VLOOKUP(A616,[1]Approval!A:C,3,FALSE),"")</f>
        <v>FIN Approval - Internal</v>
      </c>
      <c r="P616" s="184">
        <f>IFERROR(VLOOKUP(A616,[1]Approval!A:J,10,FALSE),"")</f>
        <v>43889</v>
      </c>
      <c r="R616" s="425">
        <f>2020-YEAR(Table227[[#This Row],[In-
Service
Date]])</f>
        <v>8</v>
      </c>
      <c r="S616" s="308">
        <f>+Table227[[#This Row],[Proj To Date
Actuals]]*1.02^R616</f>
        <v>1291390.5618678522</v>
      </c>
    </row>
    <row r="617" spans="1:19" x14ac:dyDescent="0.25">
      <c r="A617" s="476" t="s">
        <v>1761</v>
      </c>
      <c r="B617" s="475" t="s">
        <v>4018</v>
      </c>
      <c r="C617" s="422" t="e">
        <f>VLOOKUP(B617,'Matter &amp; CI#'!$D$4:$E$595,2,FALSE)</f>
        <v>#N/A</v>
      </c>
      <c r="D617" s="476" t="s">
        <v>1762</v>
      </c>
      <c r="E617" s="476" t="s">
        <v>8</v>
      </c>
      <c r="F617" s="476" t="s">
        <v>24</v>
      </c>
      <c r="G617" s="475" t="s">
        <v>2013</v>
      </c>
      <c r="H617" s="516"/>
      <c r="I617" s="477" t="s">
        <v>5</v>
      </c>
      <c r="J617" s="476" t="s">
        <v>29</v>
      </c>
      <c r="K617" s="476" t="s">
        <v>7</v>
      </c>
      <c r="L617" s="184">
        <v>41176</v>
      </c>
      <c r="M617" s="184">
        <v>41843</v>
      </c>
      <c r="N617" s="480">
        <v>137471.73000000001</v>
      </c>
      <c r="O617" s="478" t="str">
        <f>IFERROR(VLOOKUP(A617,[1]Approval!A:C,3,FALSE),"")</f>
        <v>zINVALID FIN Approval - Internal</v>
      </c>
      <c r="P617" s="184">
        <f>IFERROR(VLOOKUP(A617,[1]Approval!A:J,10,FALSE),"")</f>
        <v>41843</v>
      </c>
      <c r="R617" s="425">
        <f>2020-YEAR(Table227[[#This Row],[In-
Service
Date]])</f>
        <v>8</v>
      </c>
      <c r="S617" s="308">
        <f>+Table227[[#This Row],[Proj To Date
Actuals]]*1.02^R617</f>
        <v>161070.04207711059</v>
      </c>
    </row>
    <row r="618" spans="1:19" x14ac:dyDescent="0.25">
      <c r="A618" s="476" t="s">
        <v>1765</v>
      </c>
      <c r="B618" s="475" t="s">
        <v>4019</v>
      </c>
      <c r="C618" s="422" t="e">
        <f>VLOOKUP(B618,'Matter &amp; CI#'!$D$4:$E$595,2,FALSE)</f>
        <v>#N/A</v>
      </c>
      <c r="D618" s="476" t="s">
        <v>1766</v>
      </c>
      <c r="E618" s="476" t="s">
        <v>8</v>
      </c>
      <c r="F618" s="476" t="s">
        <v>24</v>
      </c>
      <c r="G618" s="475" t="s">
        <v>2013</v>
      </c>
      <c r="H618" s="516"/>
      <c r="I618" s="477" t="s">
        <v>5</v>
      </c>
      <c r="J618" s="476" t="s">
        <v>29</v>
      </c>
      <c r="K618" s="476" t="s">
        <v>7</v>
      </c>
      <c r="L618" s="184">
        <v>41176</v>
      </c>
      <c r="M618" s="184">
        <v>41843</v>
      </c>
      <c r="N618" s="480">
        <v>154998.29</v>
      </c>
      <c r="O618" s="478" t="str">
        <f>IFERROR(VLOOKUP(A618,[1]Approval!A:C,3,FALSE),"")</f>
        <v>zINVALID FIN Approval - Internal</v>
      </c>
      <c r="P618" s="184">
        <f>IFERROR(VLOOKUP(A618,[1]Approval!A:J,10,FALSE),"")</f>
        <v>41843</v>
      </c>
      <c r="R618" s="425">
        <f>2020-YEAR(Table227[[#This Row],[In-
Service
Date]])</f>
        <v>8</v>
      </c>
      <c r="S618" s="308">
        <f>+Table227[[#This Row],[Proj To Date
Actuals]]*1.02^R618</f>
        <v>181605.20051780966</v>
      </c>
    </row>
    <row r="619" spans="1:19" x14ac:dyDescent="0.25">
      <c r="A619" s="476" t="s">
        <v>1020</v>
      </c>
      <c r="B619" s="475" t="s">
        <v>4133</v>
      </c>
      <c r="C619" s="422" t="e">
        <f>VLOOKUP(B619,'Matter &amp; CI#'!$D$4:$E$595,2,FALSE)</f>
        <v>#N/A</v>
      </c>
      <c r="D619" s="476" t="s">
        <v>1021</v>
      </c>
      <c r="E619" s="476" t="s">
        <v>42</v>
      </c>
      <c r="F619" s="476" t="s">
        <v>24</v>
      </c>
      <c r="G619" s="475" t="s">
        <v>2013</v>
      </c>
      <c r="H619" s="516"/>
      <c r="I619" s="477" t="s">
        <v>5</v>
      </c>
      <c r="J619" s="476" t="s">
        <v>29</v>
      </c>
      <c r="K619" s="476" t="s">
        <v>7</v>
      </c>
      <c r="L619" s="184">
        <v>41176</v>
      </c>
      <c r="M619" s="184">
        <v>42400</v>
      </c>
      <c r="N619" s="480">
        <v>585387.34</v>
      </c>
      <c r="O619" s="478" t="str">
        <f>IFERROR(VLOOKUP(A619,[1]Approval!A:C,3,FALSE),"")</f>
        <v>FIN Approval - Internal</v>
      </c>
      <c r="P619" s="184">
        <f>IFERROR(VLOOKUP(A619,[1]Approval!A:J,10,FALSE),"")</f>
        <v>42418</v>
      </c>
      <c r="R619" s="425">
        <f>2020-YEAR(Table227[[#This Row],[In-
Service
Date]])</f>
        <v>8</v>
      </c>
      <c r="S619" s="308">
        <f>+Table227[[#This Row],[Proj To Date
Actuals]]*1.02^R619</f>
        <v>685874.56843096274</v>
      </c>
    </row>
    <row r="620" spans="1:19" x14ac:dyDescent="0.25">
      <c r="A620" s="476" t="s">
        <v>303</v>
      </c>
      <c r="B620" s="475" t="s">
        <v>4136</v>
      </c>
      <c r="C620" s="422" t="e">
        <f>VLOOKUP(B620,'Matter &amp; CI#'!$D$4:$E$595,2,FALSE)</f>
        <v>#N/A</v>
      </c>
      <c r="D620" s="476" t="s">
        <v>304</v>
      </c>
      <c r="E620" s="476" t="s">
        <v>42</v>
      </c>
      <c r="F620" s="476" t="s">
        <v>24</v>
      </c>
      <c r="G620" s="475" t="s">
        <v>2013</v>
      </c>
      <c r="H620" s="516"/>
      <c r="I620" s="477" t="s">
        <v>5</v>
      </c>
      <c r="J620" s="476" t="s">
        <v>29</v>
      </c>
      <c r="K620" s="476" t="s">
        <v>7</v>
      </c>
      <c r="L620" s="184">
        <v>41176</v>
      </c>
      <c r="M620" s="184">
        <v>41843</v>
      </c>
      <c r="N620" s="480">
        <v>95751.95</v>
      </c>
      <c r="O620" s="478" t="str">
        <f>IFERROR(VLOOKUP(A620,[1]Approval!A:C,3,FALSE),"")</f>
        <v>FIN Approval - Internal</v>
      </c>
      <c r="P620" s="184">
        <f>IFERROR(VLOOKUP(A620,[1]Approval!A:J,10,FALSE),"")</f>
        <v>41843</v>
      </c>
      <c r="R620" s="425">
        <f>2020-YEAR(Table227[[#This Row],[In-
Service
Date]])</f>
        <v>8</v>
      </c>
      <c r="S620" s="308">
        <f>+Table227[[#This Row],[Proj To Date
Actuals]]*1.02^R620</f>
        <v>112188.67046675987</v>
      </c>
    </row>
    <row r="621" spans="1:19" x14ac:dyDescent="0.25">
      <c r="A621" s="476" t="s">
        <v>297</v>
      </c>
      <c r="B621" s="475" t="s">
        <v>4137</v>
      </c>
      <c r="C621" s="422" t="e">
        <f>VLOOKUP(B621,'Matter &amp; CI#'!$D$4:$E$595,2,FALSE)</f>
        <v>#N/A</v>
      </c>
      <c r="D621" s="476" t="s">
        <v>298</v>
      </c>
      <c r="E621" s="476" t="s">
        <v>8</v>
      </c>
      <c r="F621" s="476" t="s">
        <v>24</v>
      </c>
      <c r="G621" s="475" t="s">
        <v>2013</v>
      </c>
      <c r="H621" s="516"/>
      <c r="I621" s="477" t="s">
        <v>5</v>
      </c>
      <c r="J621" s="476" t="s">
        <v>29</v>
      </c>
      <c r="K621" s="476" t="s">
        <v>7</v>
      </c>
      <c r="L621" s="184">
        <v>41176</v>
      </c>
      <c r="M621" s="184">
        <v>41843</v>
      </c>
      <c r="N621" s="480">
        <v>135746.10999999999</v>
      </c>
      <c r="O621" s="478" t="str">
        <f>IFERROR(VLOOKUP(A621,[1]Approval!A:C,3,FALSE),"")</f>
        <v>zINVALID FIN Approval - Internal</v>
      </c>
      <c r="P621" s="184">
        <f>IFERROR(VLOOKUP(A621,[1]Approval!A:J,10,FALSE),"")</f>
        <v>41843</v>
      </c>
      <c r="R621" s="425">
        <f>2020-YEAR(Table227[[#This Row],[In-
Service
Date]])</f>
        <v>8</v>
      </c>
      <c r="S621" s="308">
        <f>+Table227[[#This Row],[Proj To Date
Actuals]]*1.02^R621</f>
        <v>159048.20321606542</v>
      </c>
    </row>
    <row r="622" spans="1:19" x14ac:dyDescent="0.25">
      <c r="A622" s="476" t="s">
        <v>1793</v>
      </c>
      <c r="B622" s="475" t="s">
        <v>4142</v>
      </c>
      <c r="C622" s="422" t="e">
        <f>VLOOKUP(B622,'Matter &amp; CI#'!$D$4:$E$595,2,FALSE)</f>
        <v>#N/A</v>
      </c>
      <c r="D622" s="476" t="s">
        <v>1794</v>
      </c>
      <c r="E622" s="476" t="s">
        <v>8</v>
      </c>
      <c r="F622" s="476" t="s">
        <v>24</v>
      </c>
      <c r="G622" s="475" t="s">
        <v>2013</v>
      </c>
      <c r="H622" s="516"/>
      <c r="I622" s="477" t="s">
        <v>5</v>
      </c>
      <c r="J622" s="476" t="s">
        <v>29</v>
      </c>
      <c r="K622" s="476" t="s">
        <v>7</v>
      </c>
      <c r="L622" s="184">
        <v>41176</v>
      </c>
      <c r="M622" s="184">
        <v>41831</v>
      </c>
      <c r="N622" s="480">
        <v>284908.7</v>
      </c>
      <c r="O622" s="478" t="str">
        <f>IFERROR(VLOOKUP(A622,[1]Approval!A:C,3,FALSE),"")</f>
        <v>zINVALID FIN Approval - Internal</v>
      </c>
      <c r="P622" s="184">
        <f>IFERROR(VLOOKUP(A622,[1]Approval!A:J,10,FALSE),"")</f>
        <v>41831</v>
      </c>
      <c r="R622" s="425">
        <f>2020-YEAR(Table227[[#This Row],[In-
Service
Date]])</f>
        <v>8</v>
      </c>
      <c r="S622" s="308">
        <f>+Table227[[#This Row],[Proj To Date
Actuals]]*1.02^R622</f>
        <v>333815.95108416019</v>
      </c>
    </row>
    <row r="623" spans="1:19" x14ac:dyDescent="0.25">
      <c r="A623" s="476" t="s">
        <v>538</v>
      </c>
      <c r="B623" s="475" t="s">
        <v>4143</v>
      </c>
      <c r="C623" s="422" t="e">
        <f>VLOOKUP(B623,'Matter &amp; CI#'!$D$4:$E$595,2,FALSE)</f>
        <v>#N/A</v>
      </c>
      <c r="D623" s="476" t="s">
        <v>539</v>
      </c>
      <c r="E623" s="476" t="s">
        <v>8</v>
      </c>
      <c r="F623" s="476" t="s">
        <v>24</v>
      </c>
      <c r="G623" s="475" t="s">
        <v>2013</v>
      </c>
      <c r="H623" s="516"/>
      <c r="I623" s="477" t="s">
        <v>5</v>
      </c>
      <c r="J623" s="476" t="s">
        <v>25</v>
      </c>
      <c r="K623" s="476" t="s">
        <v>7</v>
      </c>
      <c r="L623" s="184">
        <v>41176</v>
      </c>
      <c r="M623" s="184">
        <v>41831</v>
      </c>
      <c r="N623" s="480">
        <v>273013.32</v>
      </c>
      <c r="O623" s="478" t="str">
        <f>IFERROR(VLOOKUP(A623,[1]Approval!A:C,3,FALSE),"")</f>
        <v>zINVALID FIN Approval - Internal</v>
      </c>
      <c r="P623" s="184">
        <f>IFERROR(VLOOKUP(A623,[1]Approval!A:J,10,FALSE),"")</f>
        <v>41831</v>
      </c>
      <c r="R623" s="425">
        <f>2020-YEAR(Table227[[#This Row],[In-
Service
Date]])</f>
        <v>8</v>
      </c>
      <c r="S623" s="308">
        <f>+Table227[[#This Row],[Proj To Date
Actuals]]*1.02^R623</f>
        <v>319878.61751657346</v>
      </c>
    </row>
    <row r="624" spans="1:19" x14ac:dyDescent="0.25">
      <c r="A624" s="476" t="s">
        <v>545</v>
      </c>
      <c r="B624" s="475" t="s">
        <v>4199</v>
      </c>
      <c r="C624" s="422" t="e">
        <f>VLOOKUP(B624,'Matter &amp; CI#'!$D$4:$E$595,2,FALSE)</f>
        <v>#N/A</v>
      </c>
      <c r="D624" s="476" t="s">
        <v>546</v>
      </c>
      <c r="E624" s="476" t="s">
        <v>8</v>
      </c>
      <c r="F624" s="476" t="s">
        <v>24</v>
      </c>
      <c r="G624" s="475" t="s">
        <v>2013</v>
      </c>
      <c r="H624" s="516"/>
      <c r="I624" s="477" t="s">
        <v>5</v>
      </c>
      <c r="J624" s="476" t="s">
        <v>547</v>
      </c>
      <c r="K624" s="476" t="s">
        <v>7</v>
      </c>
      <c r="L624" s="184">
        <v>41176</v>
      </c>
      <c r="M624" s="184">
        <v>41843</v>
      </c>
      <c r="N624" s="480">
        <v>101271.27</v>
      </c>
      <c r="O624" s="478" t="str">
        <f>IFERROR(VLOOKUP(A624,[1]Approval!A:C,3,FALSE),"")</f>
        <v>FIN Approval - Internal</v>
      </c>
      <c r="P624" s="184">
        <f>IFERROR(VLOOKUP(A624,[1]Approval!A:J,10,FALSE),"")</f>
        <v>41843</v>
      </c>
      <c r="R624" s="425">
        <f>2020-YEAR(Table227[[#This Row],[In-
Service
Date]])</f>
        <v>8</v>
      </c>
      <c r="S624" s="308">
        <f>+Table227[[#This Row],[Proj To Date
Actuals]]*1.02^R624</f>
        <v>118655.4335215133</v>
      </c>
    </row>
    <row r="625" spans="1:19" x14ac:dyDescent="0.25">
      <c r="A625" s="476" t="s">
        <v>69</v>
      </c>
      <c r="B625" s="475" t="s">
        <v>4028</v>
      </c>
      <c r="C625" s="422" t="e">
        <f>VLOOKUP(B625,'Matter &amp; CI#'!$D$4:$E$595,2,FALSE)</f>
        <v>#N/A</v>
      </c>
      <c r="D625" s="476" t="s">
        <v>70</v>
      </c>
      <c r="E625" s="476" t="s">
        <v>8</v>
      </c>
      <c r="F625" s="476" t="s">
        <v>24</v>
      </c>
      <c r="G625" s="475" t="s">
        <v>2013</v>
      </c>
      <c r="H625" s="516"/>
      <c r="I625" s="477" t="s">
        <v>5</v>
      </c>
      <c r="J625" s="476" t="s">
        <v>6</v>
      </c>
      <c r="K625" s="476" t="s">
        <v>7</v>
      </c>
      <c r="L625" s="184">
        <v>41177</v>
      </c>
      <c r="M625" s="184">
        <v>41831</v>
      </c>
      <c r="N625" s="480">
        <v>913124.52</v>
      </c>
      <c r="O625" s="478" t="str">
        <f>IFERROR(VLOOKUP(A625,[1]Approval!A:C,3,FALSE),"")</f>
        <v>zINVALID FIN Approval - Internal</v>
      </c>
      <c r="P625" s="184">
        <f>IFERROR(VLOOKUP(A625,[1]Approval!A:J,10,FALSE),"")</f>
        <v>41831</v>
      </c>
      <c r="R625" s="425">
        <f>2020-YEAR(Table227[[#This Row],[In-
Service
Date]])</f>
        <v>8</v>
      </c>
      <c r="S625" s="308">
        <f>+Table227[[#This Row],[Proj To Date
Actuals]]*1.02^R625</f>
        <v>1069870.9098811909</v>
      </c>
    </row>
    <row r="626" spans="1:19" x14ac:dyDescent="0.25">
      <c r="A626" s="476" t="s">
        <v>71</v>
      </c>
      <c r="B626" s="475" t="s">
        <v>4029</v>
      </c>
      <c r="C626" s="422" t="e">
        <f>VLOOKUP(B626,'Matter &amp; CI#'!$D$4:$E$595,2,FALSE)</f>
        <v>#N/A</v>
      </c>
      <c r="D626" s="476" t="s">
        <v>72</v>
      </c>
      <c r="E626" s="476" t="s">
        <v>8</v>
      </c>
      <c r="F626" s="476" t="s">
        <v>24</v>
      </c>
      <c r="G626" s="475" t="s">
        <v>2013</v>
      </c>
      <c r="H626" s="516"/>
      <c r="I626" s="477" t="s">
        <v>5</v>
      </c>
      <c r="J626" s="476" t="s">
        <v>6</v>
      </c>
      <c r="K626" s="476" t="s">
        <v>7</v>
      </c>
      <c r="L626" s="184">
        <v>41177</v>
      </c>
      <c r="M626" s="184">
        <v>41852</v>
      </c>
      <c r="N626" s="480">
        <v>898807.94</v>
      </c>
      <c r="O626" s="478" t="str">
        <f>IFERROR(VLOOKUP(A626,[1]Approval!A:C,3,FALSE),"")</f>
        <v>zINVALID FIN Approval - Internal</v>
      </c>
      <c r="P626" s="184">
        <f>IFERROR(VLOOKUP(A626,[1]Approval!A:J,10,FALSE),"")</f>
        <v>41859</v>
      </c>
      <c r="R626" s="425">
        <f>2020-YEAR(Table227[[#This Row],[In-
Service
Date]])</f>
        <v>8</v>
      </c>
      <c r="S626" s="308">
        <f>+Table227[[#This Row],[Proj To Date
Actuals]]*1.02^R626</f>
        <v>1053096.7546203213</v>
      </c>
    </row>
    <row r="627" spans="1:19" x14ac:dyDescent="0.25">
      <c r="A627" s="476" t="s">
        <v>1528</v>
      </c>
      <c r="B627" s="475" t="s">
        <v>4123</v>
      </c>
      <c r="C627" s="422" t="e">
        <f>VLOOKUP(B627,'Matter &amp; CI#'!$D$4:$E$595,2,FALSE)</f>
        <v>#N/A</v>
      </c>
      <c r="D627" s="476" t="s">
        <v>1529</v>
      </c>
      <c r="E627" s="476" t="s">
        <v>8</v>
      </c>
      <c r="F627" s="476" t="s">
        <v>24</v>
      </c>
      <c r="G627" s="475" t="s">
        <v>2013</v>
      </c>
      <c r="H627" s="516"/>
      <c r="I627" s="477" t="s">
        <v>5</v>
      </c>
      <c r="J627" s="476" t="s">
        <v>25</v>
      </c>
      <c r="K627" s="476" t="s">
        <v>7</v>
      </c>
      <c r="L627" s="184">
        <v>41178</v>
      </c>
      <c r="M627" s="184">
        <v>41844</v>
      </c>
      <c r="N627" s="480">
        <v>-41.86</v>
      </c>
      <c r="O627" s="478" t="str">
        <f>IFERROR(VLOOKUP(A627,[1]Approval!A:C,3,FALSE),"")</f>
        <v>zINVALID FIN Approval - Internal</v>
      </c>
      <c r="P627" s="184">
        <f>IFERROR(VLOOKUP(A627,[1]Approval!A:J,10,FALSE),"")</f>
        <v>41841</v>
      </c>
      <c r="R627" s="425">
        <f>2020-YEAR(Table227[[#This Row],[In-
Service
Date]])</f>
        <v>8</v>
      </c>
      <c r="S627" s="308">
        <f>+Table227[[#This Row],[Proj To Date
Actuals]]*1.02^R627</f>
        <v>-49.045661688754834</v>
      </c>
    </row>
    <row r="628" spans="1:19" x14ac:dyDescent="0.25">
      <c r="A628" s="476" t="s">
        <v>1260</v>
      </c>
      <c r="B628" s="475" t="s">
        <v>4078</v>
      </c>
      <c r="C628" s="422" t="e">
        <f>VLOOKUP(B628,'Matter &amp; CI#'!$D$4:$E$595,2,FALSE)</f>
        <v>#N/A</v>
      </c>
      <c r="D628" s="476" t="s">
        <v>1261</v>
      </c>
      <c r="E628" s="476" t="s">
        <v>50</v>
      </c>
      <c r="F628" s="476" t="s">
        <v>24</v>
      </c>
      <c r="G628" s="475" t="s">
        <v>2013</v>
      </c>
      <c r="H628" s="516"/>
      <c r="I628" s="477" t="s">
        <v>5</v>
      </c>
      <c r="J628" s="476" t="s">
        <v>6</v>
      </c>
      <c r="K628" s="476" t="s">
        <v>7</v>
      </c>
      <c r="L628" s="184">
        <v>41182</v>
      </c>
      <c r="M628" s="184">
        <v>42400</v>
      </c>
      <c r="N628" s="480">
        <v>3623427.83</v>
      </c>
      <c r="O628" s="478" t="str">
        <f>IFERROR(VLOOKUP(A628,[1]Approval!A:C,3,FALSE),"")</f>
        <v>FIN Approval - Internal</v>
      </c>
      <c r="P628" s="184">
        <f>IFERROR(VLOOKUP(A628,[1]Approval!A:J,10,FALSE),"")</f>
        <v>42418</v>
      </c>
      <c r="R628" s="425">
        <f>2020-YEAR(Table227[[#This Row],[In-
Service
Date]])</f>
        <v>8</v>
      </c>
      <c r="S628" s="308">
        <f>+Table227[[#This Row],[Proj To Date
Actuals]]*1.02^R628</f>
        <v>4245423.2084041825</v>
      </c>
    </row>
    <row r="629" spans="1:19" x14ac:dyDescent="0.25">
      <c r="A629" s="476" t="s">
        <v>1542</v>
      </c>
      <c r="B629" s="475" t="s">
        <v>4087</v>
      </c>
      <c r="C629" s="422" t="e">
        <f>VLOOKUP(B629,'Matter &amp; CI#'!$D$4:$E$595,2,FALSE)</f>
        <v>#N/A</v>
      </c>
      <c r="D629" s="476" t="s">
        <v>1543</v>
      </c>
      <c r="E629" s="476" t="s">
        <v>34</v>
      </c>
      <c r="F629" s="476" t="s">
        <v>24</v>
      </c>
      <c r="G629" s="475" t="s">
        <v>2013</v>
      </c>
      <c r="H629" s="516"/>
      <c r="I629" s="477" t="s">
        <v>5</v>
      </c>
      <c r="J629" s="476" t="s">
        <v>6</v>
      </c>
      <c r="K629" s="476" t="s">
        <v>7</v>
      </c>
      <c r="L629" s="184">
        <v>41182</v>
      </c>
      <c r="M629" s="184">
        <v>42909</v>
      </c>
      <c r="N629" s="480">
        <v>431154.1</v>
      </c>
      <c r="O629" s="478" t="str">
        <f>IFERROR(VLOOKUP(A629,[1]Approval!A:C,3,FALSE),"")</f>
        <v>FIN Approval - Internal</v>
      </c>
      <c r="P629" s="184">
        <f>IFERROR(VLOOKUP(A629,[1]Approval!A:J,10,FALSE),"")</f>
        <v>42909</v>
      </c>
      <c r="R629" s="425">
        <f>2020-YEAR(Table227[[#This Row],[In-
Service
Date]])</f>
        <v>8</v>
      </c>
      <c r="S629" s="308">
        <f>+Table227[[#This Row],[Proj To Date
Actuals]]*1.02^R629</f>
        <v>505165.74592258886</v>
      </c>
    </row>
    <row r="630" spans="1:19" x14ac:dyDescent="0.25">
      <c r="A630" s="476" t="s">
        <v>528</v>
      </c>
      <c r="B630" s="475" t="s">
        <v>4089</v>
      </c>
      <c r="C630" s="422" t="e">
        <f>VLOOKUP(B630,'Matter &amp; CI#'!$D$4:$E$595,2,FALSE)</f>
        <v>#N/A</v>
      </c>
      <c r="D630" s="476" t="s">
        <v>529</v>
      </c>
      <c r="E630" s="476" t="s">
        <v>34</v>
      </c>
      <c r="F630" s="476" t="s">
        <v>24</v>
      </c>
      <c r="G630" s="475" t="s">
        <v>2013</v>
      </c>
      <c r="H630" s="516"/>
      <c r="I630" s="477" t="s">
        <v>5</v>
      </c>
      <c r="J630" s="476" t="s">
        <v>6</v>
      </c>
      <c r="K630" s="476" t="s">
        <v>7</v>
      </c>
      <c r="L630" s="184">
        <v>41182</v>
      </c>
      <c r="M630" s="184">
        <v>42909</v>
      </c>
      <c r="N630" s="480">
        <v>2122459.5699999998</v>
      </c>
      <c r="O630" s="478" t="str">
        <f>IFERROR(VLOOKUP(A630,[1]Approval!A:C,3,FALSE),"")</f>
        <v>FIN Approval - Internal</v>
      </c>
      <c r="P630" s="184">
        <f>IFERROR(VLOOKUP(A630,[1]Approval!A:J,10,FALSE),"")</f>
        <v>42909</v>
      </c>
      <c r="R630" s="425">
        <f>2020-YEAR(Table227[[#This Row],[In-
Service
Date]])</f>
        <v>8</v>
      </c>
      <c r="S630" s="308">
        <f>+Table227[[#This Row],[Proj To Date
Actuals]]*1.02^R630</f>
        <v>2486799.6659885342</v>
      </c>
    </row>
    <row r="631" spans="1:19" x14ac:dyDescent="0.25">
      <c r="A631" s="476" t="s">
        <v>767</v>
      </c>
      <c r="B631" s="475" t="s">
        <v>4090</v>
      </c>
      <c r="C631" s="422" t="e">
        <f>VLOOKUP(B631,'Matter &amp; CI#'!$D$4:$E$595,2,FALSE)</f>
        <v>#N/A</v>
      </c>
      <c r="D631" s="476" t="s">
        <v>768</v>
      </c>
      <c r="E631" s="476" t="s">
        <v>34</v>
      </c>
      <c r="F631" s="476" t="s">
        <v>24</v>
      </c>
      <c r="G631" s="475" t="s">
        <v>2013</v>
      </c>
      <c r="H631" s="516"/>
      <c r="I631" s="477" t="s">
        <v>5</v>
      </c>
      <c r="J631" s="476" t="s">
        <v>6</v>
      </c>
      <c r="K631" s="476" t="s">
        <v>7</v>
      </c>
      <c r="L631" s="184">
        <v>41182</v>
      </c>
      <c r="M631" s="184">
        <v>42718</v>
      </c>
      <c r="N631" s="480">
        <v>1282336.8500000001</v>
      </c>
      <c r="O631" s="478" t="str">
        <f>IFERROR(VLOOKUP(A631,[1]Approval!A:C,3,FALSE),"")</f>
        <v>FIN Approval - External</v>
      </c>
      <c r="P631" s="184">
        <f>IFERROR(VLOOKUP(A631,[1]Approval!A:J,10,FALSE),"")</f>
        <v>42718</v>
      </c>
      <c r="R631" s="425">
        <f>2020-YEAR(Table227[[#This Row],[In-
Service
Date]])</f>
        <v>8</v>
      </c>
      <c r="S631" s="308">
        <f>+Table227[[#This Row],[Proj To Date
Actuals]]*1.02^R631</f>
        <v>1502461.9999073951</v>
      </c>
    </row>
    <row r="632" spans="1:19" x14ac:dyDescent="0.25">
      <c r="A632" s="476" t="s">
        <v>1795</v>
      </c>
      <c r="B632" s="475" t="s">
        <v>4091</v>
      </c>
      <c r="C632" s="422" t="e">
        <f>VLOOKUP(B632,'Matter &amp; CI#'!$D$4:$E$595,2,FALSE)</f>
        <v>#N/A</v>
      </c>
      <c r="D632" s="476" t="s">
        <v>1796</v>
      </c>
      <c r="E632" s="476" t="s">
        <v>34</v>
      </c>
      <c r="F632" s="476" t="s">
        <v>24</v>
      </c>
      <c r="G632" s="475" t="s">
        <v>2013</v>
      </c>
      <c r="H632" s="516"/>
      <c r="I632" s="477" t="s">
        <v>5</v>
      </c>
      <c r="J632" s="476" t="s">
        <v>6</v>
      </c>
      <c r="K632" s="476" t="s">
        <v>7</v>
      </c>
      <c r="L632" s="184">
        <v>41182</v>
      </c>
      <c r="M632" s="184">
        <v>42909</v>
      </c>
      <c r="N632" s="480">
        <v>1913554.62</v>
      </c>
      <c r="O632" s="478" t="str">
        <f>IFERROR(VLOOKUP(A632,[1]Approval!A:C,3,FALSE),"")</f>
        <v>FIN Approval - Internal</v>
      </c>
      <c r="P632" s="184">
        <f>IFERROR(VLOOKUP(A632,[1]Approval!A:J,10,FALSE),"")</f>
        <v>42909</v>
      </c>
      <c r="R632" s="425">
        <f>2020-YEAR(Table227[[#This Row],[In-
Service
Date]])</f>
        <v>8</v>
      </c>
      <c r="S632" s="308">
        <f>+Table227[[#This Row],[Proj To Date
Actuals]]*1.02^R632</f>
        <v>2242034.2215832258</v>
      </c>
    </row>
    <row r="633" spans="1:19" x14ac:dyDescent="0.25">
      <c r="A633" s="476" t="s">
        <v>534</v>
      </c>
      <c r="B633" s="475" t="s">
        <v>4138</v>
      </c>
      <c r="C633" s="422" t="e">
        <f>VLOOKUP(B633,'Matter &amp; CI#'!$D$4:$E$595,2,FALSE)</f>
        <v>#N/A</v>
      </c>
      <c r="D633" s="476" t="s">
        <v>535</v>
      </c>
      <c r="E633" s="476" t="s">
        <v>42</v>
      </c>
      <c r="F633" s="476" t="s">
        <v>24</v>
      </c>
      <c r="G633" s="475" t="s">
        <v>2013</v>
      </c>
      <c r="H633" s="516"/>
      <c r="I633" s="477" t="s">
        <v>5</v>
      </c>
      <c r="J633" s="476" t="s">
        <v>29</v>
      </c>
      <c r="K633" s="476" t="s">
        <v>7</v>
      </c>
      <c r="L633" s="184">
        <v>41182</v>
      </c>
      <c r="M633" s="184">
        <v>42613</v>
      </c>
      <c r="N633" s="480">
        <v>304292.14</v>
      </c>
      <c r="O633" s="478" t="str">
        <f>IFERROR(VLOOKUP(A633,[1]Approval!A:C,3,FALSE),"")</f>
        <v>FIN Approval - Internal</v>
      </c>
      <c r="P633" s="184">
        <f>IFERROR(VLOOKUP(A633,[1]Approval!A:J,10,FALSE),"")</f>
        <v>42625</v>
      </c>
      <c r="R633" s="425">
        <f>2020-YEAR(Table227[[#This Row],[In-
Service
Date]])</f>
        <v>8</v>
      </c>
      <c r="S633" s="308">
        <f>+Table227[[#This Row],[Proj To Date
Actuals]]*1.02^R633</f>
        <v>356526.74039625475</v>
      </c>
    </row>
    <row r="634" spans="1:19" x14ac:dyDescent="0.25">
      <c r="A634" s="476" t="s">
        <v>757</v>
      </c>
      <c r="B634" s="475" t="s">
        <v>4030</v>
      </c>
      <c r="C634" s="422" t="e">
        <f>VLOOKUP(B634,'Matter &amp; CI#'!$D$4:$E$595,2,FALSE)</f>
        <v>#N/A</v>
      </c>
      <c r="D634" s="476" t="s">
        <v>758</v>
      </c>
      <c r="E634" s="476" t="s">
        <v>34</v>
      </c>
      <c r="F634" s="476" t="s">
        <v>24</v>
      </c>
      <c r="G634" s="475" t="s">
        <v>2013</v>
      </c>
      <c r="H634" s="516"/>
      <c r="I634" s="477" t="s">
        <v>5</v>
      </c>
      <c r="J634" s="476" t="s">
        <v>6</v>
      </c>
      <c r="K634" s="476" t="s">
        <v>7</v>
      </c>
      <c r="L634" s="184">
        <v>41201</v>
      </c>
      <c r="M634" s="184">
        <v>42909</v>
      </c>
      <c r="N634" s="480">
        <v>679938.19</v>
      </c>
      <c r="O634" s="478" t="str">
        <f>IFERROR(VLOOKUP(A634,[1]Approval!A:C,3,FALSE),"")</f>
        <v>FIN Approval - External</v>
      </c>
      <c r="P634" s="184">
        <f>IFERROR(VLOOKUP(A634,[1]Approval!A:J,10,FALSE),"")</f>
        <v>42909</v>
      </c>
      <c r="R634" s="425">
        <f>2020-YEAR(Table227[[#This Row],[In-
Service
Date]])</f>
        <v>8</v>
      </c>
      <c r="S634" s="308">
        <f>+Table227[[#This Row],[Proj To Date
Actuals]]*1.02^R634</f>
        <v>796655.95881520072</v>
      </c>
    </row>
    <row r="635" spans="1:19" x14ac:dyDescent="0.25">
      <c r="A635" s="476" t="s">
        <v>540</v>
      </c>
      <c r="B635" s="475" t="s">
        <v>4160</v>
      </c>
      <c r="C635" s="422" t="e">
        <f>VLOOKUP(B635,'Matter &amp; CI#'!$D$4:$E$595,2,FALSE)</f>
        <v>#N/A</v>
      </c>
      <c r="D635" s="476" t="s">
        <v>541</v>
      </c>
      <c r="E635" s="476" t="s">
        <v>8</v>
      </c>
      <c r="F635" s="476" t="s">
        <v>24</v>
      </c>
      <c r="G635" s="475" t="s">
        <v>2013</v>
      </c>
      <c r="H635" s="516"/>
      <c r="I635" s="477" t="s">
        <v>5</v>
      </c>
      <c r="J635" s="476" t="s">
        <v>6</v>
      </c>
      <c r="K635" s="476" t="s">
        <v>7</v>
      </c>
      <c r="L635" s="184">
        <v>41213</v>
      </c>
      <c r="M635" s="184">
        <v>42613</v>
      </c>
      <c r="N635" s="480">
        <v>276635.34999999998</v>
      </c>
      <c r="O635" s="478" t="str">
        <f>IFERROR(VLOOKUP(A635,[1]Approval!A:C,3,FALSE),"")</f>
        <v>FIN Approval - Internal</v>
      </c>
      <c r="P635" s="184">
        <f>IFERROR(VLOOKUP(A635,[1]Approval!A:J,10,FALSE),"")</f>
        <v>42625</v>
      </c>
      <c r="R635" s="425">
        <f>2020-YEAR(Table227[[#This Row],[In-
Service
Date]])</f>
        <v>8</v>
      </c>
      <c r="S635" s="308">
        <f>+Table227[[#This Row],[Proj To Date
Actuals]]*1.02^R635</f>
        <v>324122.40294434503</v>
      </c>
    </row>
    <row r="636" spans="1:19" x14ac:dyDescent="0.25">
      <c r="A636" s="476" t="s">
        <v>1238</v>
      </c>
      <c r="B636" s="475" t="s">
        <v>3970</v>
      </c>
      <c r="C636" s="422" t="e">
        <f>VLOOKUP(B636,'Matter &amp; CI#'!$D$4:$E$595,2,FALSE)</f>
        <v>#N/A</v>
      </c>
      <c r="D636" s="476" t="s">
        <v>1239</v>
      </c>
      <c r="E636" s="476" t="s">
        <v>8</v>
      </c>
      <c r="F636" s="476" t="s">
        <v>24</v>
      </c>
      <c r="G636" s="475" t="s">
        <v>2013</v>
      </c>
      <c r="H636" s="516"/>
      <c r="I636" s="477" t="s">
        <v>5</v>
      </c>
      <c r="J636" s="476" t="s">
        <v>6</v>
      </c>
      <c r="K636" s="476" t="s">
        <v>7</v>
      </c>
      <c r="L636" s="184">
        <v>41214</v>
      </c>
      <c r="M636" s="184">
        <v>41852</v>
      </c>
      <c r="N636" s="480">
        <v>4173842.31</v>
      </c>
      <c r="O636" s="478" t="str">
        <f>IFERROR(VLOOKUP(A636,[1]Approval!A:C,3,FALSE),"")</f>
        <v>FIN Approval - Internal</v>
      </c>
      <c r="P636" s="184">
        <f>IFERROR(VLOOKUP(A636,[1]Approval!A:J,10,FALSE),"")</f>
        <v>41859</v>
      </c>
      <c r="R636" s="425">
        <f>2020-YEAR(Table227[[#This Row],[In-
Service
Date]])</f>
        <v>8</v>
      </c>
      <c r="S636" s="308">
        <f>+Table227[[#This Row],[Proj To Date
Actuals]]*1.02^R636</f>
        <v>4890321.4973356659</v>
      </c>
    </row>
    <row r="637" spans="1:19" x14ac:dyDescent="0.25">
      <c r="A637" s="476" t="s">
        <v>1018</v>
      </c>
      <c r="B637" s="475" t="s">
        <v>4093</v>
      </c>
      <c r="C637" s="422" t="e">
        <f>VLOOKUP(B637,'Matter &amp; CI#'!$D$4:$E$595,2,FALSE)</f>
        <v>#N/A</v>
      </c>
      <c r="D637" s="476" t="s">
        <v>1019</v>
      </c>
      <c r="E637" s="476" t="s">
        <v>42</v>
      </c>
      <c r="F637" s="476" t="s">
        <v>24</v>
      </c>
      <c r="G637" s="475" t="s">
        <v>2013</v>
      </c>
      <c r="H637" s="516"/>
      <c r="I637" s="477" t="s">
        <v>5</v>
      </c>
      <c r="J637" s="476" t="s">
        <v>6</v>
      </c>
      <c r="K637" s="476" t="s">
        <v>7</v>
      </c>
      <c r="L637" s="184">
        <v>41214</v>
      </c>
      <c r="M637" s="184">
        <v>43952</v>
      </c>
      <c r="N637" s="480">
        <v>3770099.38</v>
      </c>
      <c r="O637" s="478" t="str">
        <f>IFERROR(VLOOKUP(A637,[1]Approval!A:C,3,FALSE),"")</f>
        <v>FIN Approval - Internal</v>
      </c>
      <c r="P637" s="184">
        <f>IFERROR(VLOOKUP(A637,[1]Approval!A:J,10,FALSE),"")</f>
        <v>43942</v>
      </c>
      <c r="R637" s="425">
        <f>2020-YEAR(Table227[[#This Row],[In-
Service
Date]])</f>
        <v>8</v>
      </c>
      <c r="S637" s="308">
        <f>+Table227[[#This Row],[Proj To Date
Actuals]]*1.02^R637</f>
        <v>4417272.3058878249</v>
      </c>
    </row>
    <row r="638" spans="1:19" x14ac:dyDescent="0.25">
      <c r="A638" s="476" t="s">
        <v>1032</v>
      </c>
      <c r="B638" s="475" t="s">
        <v>4077</v>
      </c>
      <c r="C638" s="422" t="e">
        <f>VLOOKUP(B638,'Matter &amp; CI#'!$D$4:$E$595,2,FALSE)</f>
        <v>#N/A</v>
      </c>
      <c r="D638" s="476" t="s">
        <v>1033</v>
      </c>
      <c r="E638" s="476" t="s">
        <v>8</v>
      </c>
      <c r="F638" s="476" t="s">
        <v>24</v>
      </c>
      <c r="G638" s="475" t="s">
        <v>2013</v>
      </c>
      <c r="H638" s="516"/>
      <c r="I638" s="477" t="s">
        <v>5</v>
      </c>
      <c r="J638" s="476" t="s">
        <v>6</v>
      </c>
      <c r="K638" s="476" t="s">
        <v>7</v>
      </c>
      <c r="L638" s="184">
        <v>41243</v>
      </c>
      <c r="M638" s="184">
        <v>41871</v>
      </c>
      <c r="N638" s="480">
        <v>540418.93999999994</v>
      </c>
      <c r="O638" s="478" t="str">
        <f>IFERROR(VLOOKUP(A638,[1]Approval!A:C,3,FALSE),"")</f>
        <v>zINVALID FIN Approval - Internal</v>
      </c>
      <c r="P638" s="184">
        <f>IFERROR(VLOOKUP(A638,[1]Approval!A:J,10,FALSE),"")</f>
        <v>41871</v>
      </c>
      <c r="R638" s="425">
        <f>2020-YEAR(Table227[[#This Row],[In-
Service
Date]])</f>
        <v>8</v>
      </c>
      <c r="S638" s="308">
        <f>+Table227[[#This Row],[Proj To Date
Actuals]]*1.02^R638</f>
        <v>633186.92072230042</v>
      </c>
    </row>
    <row r="639" spans="1:19" x14ac:dyDescent="0.25">
      <c r="A639" s="476" t="s">
        <v>1544</v>
      </c>
      <c r="B639" s="475" t="s">
        <v>4109</v>
      </c>
      <c r="C639" s="422" t="e">
        <f>VLOOKUP(B639,'Matter &amp; CI#'!$D$4:$E$595,2,FALSE)</f>
        <v>#N/A</v>
      </c>
      <c r="D639" s="476" t="s">
        <v>1545</v>
      </c>
      <c r="E639" s="476" t="s">
        <v>8</v>
      </c>
      <c r="F639" s="476" t="s">
        <v>24</v>
      </c>
      <c r="G639" s="475" t="s">
        <v>2013</v>
      </c>
      <c r="H639" s="516"/>
      <c r="I639" s="477" t="s">
        <v>5</v>
      </c>
      <c r="J639" s="476" t="s">
        <v>6</v>
      </c>
      <c r="K639" s="476" t="s">
        <v>7</v>
      </c>
      <c r="L639" s="184">
        <v>41261</v>
      </c>
      <c r="M639" s="184">
        <v>41963</v>
      </c>
      <c r="N639" s="480">
        <v>135638.07</v>
      </c>
      <c r="O639" s="478" t="str">
        <f>IFERROR(VLOOKUP(A639,[1]Approval!A:C,3,FALSE),"")</f>
        <v>zINVALID FIN Approval - Internal</v>
      </c>
      <c r="P639" s="184">
        <f>IFERROR(VLOOKUP(A639,[1]Approval!A:J,10,FALSE),"")</f>
        <v>41963</v>
      </c>
      <c r="R639" s="425">
        <f>2020-YEAR(Table227[[#This Row],[In-
Service
Date]])</f>
        <v>8</v>
      </c>
      <c r="S639" s="308">
        <f>+Table227[[#This Row],[Proj To Date
Actuals]]*1.02^R639</f>
        <v>158921.61713654196</v>
      </c>
    </row>
    <row r="640" spans="1:19" x14ac:dyDescent="0.25">
      <c r="A640" s="476" t="s">
        <v>1008</v>
      </c>
      <c r="B640" s="475" t="s">
        <v>4130</v>
      </c>
      <c r="C640" s="422" t="e">
        <f>VLOOKUP(B640,'Matter &amp; CI#'!$D$4:$E$595,2,FALSE)</f>
        <v>#N/A</v>
      </c>
      <c r="D640" s="476" t="s">
        <v>1009</v>
      </c>
      <c r="E640" s="476" t="s">
        <v>42</v>
      </c>
      <c r="F640" s="476" t="s">
        <v>24</v>
      </c>
      <c r="G640" s="475" t="s">
        <v>2013</v>
      </c>
      <c r="H640" s="516"/>
      <c r="I640" s="477" t="s">
        <v>5</v>
      </c>
      <c r="J640" s="476" t="s">
        <v>29</v>
      </c>
      <c r="K640" s="476" t="s">
        <v>7</v>
      </c>
      <c r="L640" s="184">
        <v>41262</v>
      </c>
      <c r="M640" s="184">
        <v>42490</v>
      </c>
      <c r="N640" s="480">
        <v>179250.98</v>
      </c>
      <c r="O640" s="478" t="str">
        <f>IFERROR(VLOOKUP(A640,[1]Approval!A:C,3,FALSE),"")</f>
        <v>FIN Approval - Internal</v>
      </c>
      <c r="P640" s="184">
        <f>IFERROR(VLOOKUP(A640,[1]Approval!A:J,10,FALSE),"")</f>
        <v>42478</v>
      </c>
      <c r="R640" s="425">
        <f>2020-YEAR(Table227[[#This Row],[In-
Service
Date]])</f>
        <v>8</v>
      </c>
      <c r="S640" s="308">
        <f>+Table227[[#This Row],[Proj To Date
Actuals]]*1.02^R640</f>
        <v>210021.09227084948</v>
      </c>
    </row>
    <row r="641" spans="1:19" x14ac:dyDescent="0.25">
      <c r="A641" s="476" t="s">
        <v>783</v>
      </c>
      <c r="B641" s="475" t="s">
        <v>4100</v>
      </c>
      <c r="C641" s="422" t="e">
        <f>VLOOKUP(B641,'Matter &amp; CI#'!$D$4:$E$595,2,FALSE)</f>
        <v>#N/A</v>
      </c>
      <c r="D641" s="476" t="s">
        <v>784</v>
      </c>
      <c r="E641" s="476" t="s">
        <v>42</v>
      </c>
      <c r="F641" s="476" t="s">
        <v>24</v>
      </c>
      <c r="G641" s="475" t="s">
        <v>2013</v>
      </c>
      <c r="H641" s="516"/>
      <c r="I641" s="477" t="s">
        <v>5</v>
      </c>
      <c r="J641" s="476" t="s">
        <v>6</v>
      </c>
      <c r="K641" s="476" t="s">
        <v>7</v>
      </c>
      <c r="L641" s="184">
        <v>41275</v>
      </c>
      <c r="M641" s="184">
        <v>42909</v>
      </c>
      <c r="N641" s="480">
        <v>1701690.56</v>
      </c>
      <c r="O641" s="478" t="str">
        <f>IFERROR(VLOOKUP(A641,[1]Approval!A:C,3,FALSE),"")</f>
        <v>FIN Approval - Internal</v>
      </c>
      <c r="P641" s="184">
        <f>IFERROR(VLOOKUP(A641,[1]Approval!A:J,10,FALSE),"")</f>
        <v>42909</v>
      </c>
      <c r="R641" s="425">
        <f>2020-YEAR(Table227[[#This Row],[In-
Service
Date]])</f>
        <v>7</v>
      </c>
      <c r="S641" s="308">
        <f>+Table227[[#This Row],[Proj To Date
Actuals]]*1.02^R641</f>
        <v>1954707.557046077</v>
      </c>
    </row>
    <row r="642" spans="1:19" x14ac:dyDescent="0.25">
      <c r="A642" s="476" t="s">
        <v>769</v>
      </c>
      <c r="B642" s="475" t="s">
        <v>4104</v>
      </c>
      <c r="C642" s="422" t="e">
        <f>VLOOKUP(B642,'Matter &amp; CI#'!$D$4:$E$595,2,FALSE)</f>
        <v>#N/A</v>
      </c>
      <c r="D642" s="476" t="s">
        <v>770</v>
      </c>
      <c r="E642" s="476" t="s">
        <v>34</v>
      </c>
      <c r="F642" s="476" t="s">
        <v>24</v>
      </c>
      <c r="G642" s="475" t="s">
        <v>2013</v>
      </c>
      <c r="H642" s="516"/>
      <c r="I642" s="477" t="s">
        <v>5</v>
      </c>
      <c r="J642" s="476" t="s">
        <v>6</v>
      </c>
      <c r="K642" s="476" t="s">
        <v>7</v>
      </c>
      <c r="L642" s="184">
        <v>41292</v>
      </c>
      <c r="M642" s="184">
        <v>42913</v>
      </c>
      <c r="N642" s="480">
        <v>523868.4</v>
      </c>
      <c r="O642" s="478" t="str">
        <f>IFERROR(VLOOKUP(A642,[1]Approval!A:C,3,FALSE),"")</f>
        <v>FIN Approval - Internal</v>
      </c>
      <c r="P642" s="184">
        <f>IFERROR(VLOOKUP(A642,[1]Approval!A:J,10,FALSE),"")</f>
        <v>42913</v>
      </c>
      <c r="R642" s="425">
        <f>2020-YEAR(Table227[[#This Row],[In-
Service
Date]])</f>
        <v>7</v>
      </c>
      <c r="S642" s="308">
        <f>+Table227[[#This Row],[Proj To Date
Actuals]]*1.02^R642</f>
        <v>601760.12281435996</v>
      </c>
    </row>
    <row r="643" spans="1:19" x14ac:dyDescent="0.25">
      <c r="A643" s="476" t="s">
        <v>76</v>
      </c>
      <c r="B643" s="475" t="s">
        <v>4121</v>
      </c>
      <c r="C643" s="422" t="e">
        <f>VLOOKUP(B643,'Matter &amp; CI#'!$D$4:$E$595,2,FALSE)</f>
        <v>#N/A</v>
      </c>
      <c r="D643" s="476" t="s">
        <v>77</v>
      </c>
      <c r="E643" s="476" t="s">
        <v>42</v>
      </c>
      <c r="F643" s="476" t="s">
        <v>24</v>
      </c>
      <c r="G643" s="475" t="s">
        <v>2013</v>
      </c>
      <c r="H643" s="516"/>
      <c r="I643" s="477" t="s">
        <v>5</v>
      </c>
      <c r="J643" s="476" t="s">
        <v>6</v>
      </c>
      <c r="K643" s="476" t="s">
        <v>7</v>
      </c>
      <c r="L643" s="184">
        <v>41305</v>
      </c>
      <c r="M643" s="184">
        <v>42718</v>
      </c>
      <c r="N643" s="480">
        <v>1016937.04</v>
      </c>
      <c r="O643" s="478" t="str">
        <f>IFERROR(VLOOKUP(A643,[1]Approval!A:C,3,FALSE),"")</f>
        <v>FIN Approval - Internal</v>
      </c>
      <c r="P643" s="184">
        <f>IFERROR(VLOOKUP(A643,[1]Approval!A:J,10,FALSE),"")</f>
        <v>42718</v>
      </c>
      <c r="R643" s="425">
        <f>2020-YEAR(Table227[[#This Row],[In-
Service
Date]])</f>
        <v>7</v>
      </c>
      <c r="S643" s="308">
        <f>+Table227[[#This Row],[Proj To Date
Actuals]]*1.02^R643</f>
        <v>1168141.0027496824</v>
      </c>
    </row>
    <row r="644" spans="1:19" x14ac:dyDescent="0.25">
      <c r="A644" s="476" t="s">
        <v>305</v>
      </c>
      <c r="B644" s="475" t="s">
        <v>3948</v>
      </c>
      <c r="C644" s="422" t="e">
        <f>VLOOKUP(B644,'Matter &amp; CI#'!$D$4:$E$595,2,FALSE)</f>
        <v>#N/A</v>
      </c>
      <c r="D644" s="476" t="s">
        <v>306</v>
      </c>
      <c r="E644" s="476" t="s">
        <v>8</v>
      </c>
      <c r="F644" s="476" t="s">
        <v>24</v>
      </c>
      <c r="G644" s="475" t="s">
        <v>2013</v>
      </c>
      <c r="H644" s="516"/>
      <c r="I644" s="477" t="s">
        <v>5</v>
      </c>
      <c r="J644" s="476" t="s">
        <v>29</v>
      </c>
      <c r="K644" s="476" t="s">
        <v>7</v>
      </c>
      <c r="L644" s="184">
        <v>41324</v>
      </c>
      <c r="M644" s="184">
        <v>41843</v>
      </c>
      <c r="N644" s="480">
        <v>93096.55</v>
      </c>
      <c r="O644" s="478" t="str">
        <f>IFERROR(VLOOKUP(A644,[1]Approval!A:C,3,FALSE),"")</f>
        <v>zINVALID FIN Approval - Internal</v>
      </c>
      <c r="P644" s="184">
        <f>IFERROR(VLOOKUP(A644,[1]Approval!A:J,10,FALSE),"")</f>
        <v>41843</v>
      </c>
      <c r="R644" s="425">
        <f>2020-YEAR(Table227[[#This Row],[In-
Service
Date]])</f>
        <v>7</v>
      </c>
      <c r="S644" s="308">
        <f>+Table227[[#This Row],[Proj To Date
Actuals]]*1.02^R644</f>
        <v>106938.67269259457</v>
      </c>
    </row>
    <row r="645" spans="1:19" x14ac:dyDescent="0.25">
      <c r="A645" s="476" t="s">
        <v>1540</v>
      </c>
      <c r="B645" s="475" t="s">
        <v>4082</v>
      </c>
      <c r="C645" s="422" t="e">
        <f>VLOOKUP(B645,'Matter &amp; CI#'!$D$4:$E$595,2,FALSE)</f>
        <v>#N/A</v>
      </c>
      <c r="D645" s="476" t="s">
        <v>1541</v>
      </c>
      <c r="E645" s="476" t="s">
        <v>42</v>
      </c>
      <c r="F645" s="476" t="s">
        <v>24</v>
      </c>
      <c r="G645" s="475" t="s">
        <v>2013</v>
      </c>
      <c r="H645" s="516"/>
      <c r="I645" s="477" t="s">
        <v>5</v>
      </c>
      <c r="J645" s="476" t="s">
        <v>6</v>
      </c>
      <c r="K645" s="476" t="s">
        <v>7</v>
      </c>
      <c r="L645" s="184">
        <v>41324</v>
      </c>
      <c r="M645" s="184">
        <v>41843</v>
      </c>
      <c r="N645" s="480">
        <v>834833.52</v>
      </c>
      <c r="O645" s="478" t="str">
        <f>IFERROR(VLOOKUP(A645,[1]Approval!A:C,3,FALSE),"")</f>
        <v>FIN Approval - Internal</v>
      </c>
      <c r="P645" s="184">
        <f>IFERROR(VLOOKUP(A645,[1]Approval!A:J,10,FALSE),"")</f>
        <v>41843</v>
      </c>
      <c r="R645" s="425">
        <f>2020-YEAR(Table227[[#This Row],[In-
Service
Date]])</f>
        <v>7</v>
      </c>
      <c r="S645" s="308">
        <f>+Table227[[#This Row],[Proj To Date
Actuals]]*1.02^R645</f>
        <v>958961.29929719842</v>
      </c>
    </row>
    <row r="646" spans="1:19" x14ac:dyDescent="0.25">
      <c r="A646" s="476" t="s">
        <v>1530</v>
      </c>
      <c r="B646" s="475" t="s">
        <v>4101</v>
      </c>
      <c r="C646" s="422" t="e">
        <f>VLOOKUP(B646,'Matter &amp; CI#'!$D$4:$E$595,2,FALSE)</f>
        <v>#N/A</v>
      </c>
      <c r="D646" s="476" t="s">
        <v>1531</v>
      </c>
      <c r="E646" s="476" t="s">
        <v>42</v>
      </c>
      <c r="F646" s="476" t="s">
        <v>24</v>
      </c>
      <c r="G646" s="475" t="s">
        <v>2013</v>
      </c>
      <c r="H646" s="516"/>
      <c r="I646" s="477" t="s">
        <v>5</v>
      </c>
      <c r="J646" s="476" t="s">
        <v>6</v>
      </c>
      <c r="K646" s="476" t="s">
        <v>7</v>
      </c>
      <c r="L646" s="184">
        <v>41360</v>
      </c>
      <c r="M646" s="184">
        <v>42718</v>
      </c>
      <c r="N646" s="480">
        <v>627061.68999999994</v>
      </c>
      <c r="O646" s="478" t="str">
        <f>IFERROR(VLOOKUP(A646,[1]Approval!A:C,3,FALSE),"")</f>
        <v>FIN Approval - Internal</v>
      </c>
      <c r="P646" s="184">
        <f>IFERROR(VLOOKUP(A646,[1]Approval!A:J,10,FALSE),"")</f>
        <v>42718</v>
      </c>
      <c r="R646" s="425">
        <f>2020-YEAR(Table227[[#This Row],[In-
Service
Date]])</f>
        <v>7</v>
      </c>
      <c r="S646" s="308">
        <f>+Table227[[#This Row],[Proj To Date
Actuals]]*1.02^R646</f>
        <v>720296.77603493561</v>
      </c>
    </row>
    <row r="647" spans="1:19" x14ac:dyDescent="0.25">
      <c r="A647" s="476" t="s">
        <v>1014</v>
      </c>
      <c r="B647" s="475" t="s">
        <v>4061</v>
      </c>
      <c r="C647" s="422" t="e">
        <f>VLOOKUP(B647,'Matter &amp; CI#'!$D$4:$E$595,2,FALSE)</f>
        <v>#N/A</v>
      </c>
      <c r="D647" s="476" t="s">
        <v>1015</v>
      </c>
      <c r="E647" s="476" t="s">
        <v>73</v>
      </c>
      <c r="F647" s="476" t="s">
        <v>24</v>
      </c>
      <c r="G647" s="475" t="s">
        <v>2013</v>
      </c>
      <c r="H647" s="516"/>
      <c r="I647" s="477" t="s">
        <v>5</v>
      </c>
      <c r="J647" s="476" t="s">
        <v>6</v>
      </c>
      <c r="K647" s="476" t="s">
        <v>7</v>
      </c>
      <c r="L647" s="184">
        <v>41387</v>
      </c>
      <c r="M647" s="184">
        <v>42032</v>
      </c>
      <c r="N647" s="480">
        <v>2363221.7599999998</v>
      </c>
      <c r="O647" s="478" t="str">
        <f>IFERROR(VLOOKUP(A647,[1]Approval!A:C,3,FALSE),"")</f>
        <v>FIN Approval - Internal</v>
      </c>
      <c r="P647" s="184">
        <f>IFERROR(VLOOKUP(A647,[1]Approval!A:J,10,FALSE),"")</f>
        <v>42032</v>
      </c>
      <c r="R647" s="425">
        <f>2020-YEAR(Table227[[#This Row],[In-
Service
Date]])</f>
        <v>7</v>
      </c>
      <c r="S647" s="308">
        <f>+Table227[[#This Row],[Proj To Date
Actuals]]*1.02^R647</f>
        <v>2714598.9651889061</v>
      </c>
    </row>
    <row r="648" spans="1:19" x14ac:dyDescent="0.25">
      <c r="A648" s="476" t="s">
        <v>1000</v>
      </c>
      <c r="B648" s="475" t="s">
        <v>3997</v>
      </c>
      <c r="C648" s="422" t="e">
        <f>VLOOKUP(B648,'Matter &amp; CI#'!$D$4:$E$595,2,FALSE)</f>
        <v>#N/A</v>
      </c>
      <c r="D648" s="476" t="s">
        <v>1001</v>
      </c>
      <c r="E648" s="476" t="s">
        <v>41</v>
      </c>
      <c r="F648" s="476" t="s">
        <v>24</v>
      </c>
      <c r="G648" s="475" t="s">
        <v>2013</v>
      </c>
      <c r="H648" s="516"/>
      <c r="I648" s="477" t="s">
        <v>5</v>
      </c>
      <c r="J648" s="476" t="s">
        <v>6</v>
      </c>
      <c r="K648" s="476" t="s">
        <v>7</v>
      </c>
      <c r="L648" s="184">
        <v>41388</v>
      </c>
      <c r="M648" s="184">
        <v>42625</v>
      </c>
      <c r="N648" s="480">
        <v>979179.69</v>
      </c>
      <c r="O648" s="478" t="str">
        <f>IFERROR(VLOOKUP(A648,[1]Approval!A:C,3,FALSE),"")</f>
        <v>FIN Approval - Internal</v>
      </c>
      <c r="P648" s="184">
        <f>IFERROR(VLOOKUP(A648,[1]Approval!A:J,10,FALSE),"")</f>
        <v>42625</v>
      </c>
      <c r="R648" s="425">
        <f>2020-YEAR(Table227[[#This Row],[In-
Service
Date]])</f>
        <v>7</v>
      </c>
      <c r="S648" s="308">
        <f>+Table227[[#This Row],[Proj To Date
Actuals]]*1.02^R648</f>
        <v>1124769.6759562648</v>
      </c>
    </row>
    <row r="649" spans="1:19" x14ac:dyDescent="0.25">
      <c r="A649" s="476" t="s">
        <v>554</v>
      </c>
      <c r="B649" s="475" t="s">
        <v>4195</v>
      </c>
      <c r="C649" s="422" t="e">
        <f>VLOOKUP(B649,'Matter &amp; CI#'!$D$4:$E$595,2,FALSE)</f>
        <v>#N/A</v>
      </c>
      <c r="D649" s="476" t="s">
        <v>555</v>
      </c>
      <c r="E649" s="476" t="s">
        <v>42</v>
      </c>
      <c r="F649" s="476" t="s">
        <v>24</v>
      </c>
      <c r="G649" s="475" t="s">
        <v>2013</v>
      </c>
      <c r="H649" s="516"/>
      <c r="I649" s="477" t="s">
        <v>5</v>
      </c>
      <c r="J649" s="476" t="s">
        <v>6</v>
      </c>
      <c r="K649" s="476" t="s">
        <v>7</v>
      </c>
      <c r="L649" s="184">
        <v>41391</v>
      </c>
      <c r="M649" s="184">
        <v>42625</v>
      </c>
      <c r="N649" s="480">
        <v>281415.90999999997</v>
      </c>
      <c r="O649" s="478" t="str">
        <f>IFERROR(VLOOKUP(A649,[1]Approval!A:C,3,FALSE),"")</f>
        <v>FIN Approval - Internal</v>
      </c>
      <c r="P649" s="184">
        <f>IFERROR(VLOOKUP(A649,[1]Approval!A:J,10,FALSE),"")</f>
        <v>42625</v>
      </c>
      <c r="R649" s="425">
        <f>2020-YEAR(Table227[[#This Row],[In-
Service
Date]])</f>
        <v>7</v>
      </c>
      <c r="S649" s="308">
        <f>+Table227[[#This Row],[Proj To Date
Actuals]]*1.02^R649</f>
        <v>323258.42246547958</v>
      </c>
    </row>
    <row r="650" spans="1:19" x14ac:dyDescent="0.25">
      <c r="A650" s="476" t="s">
        <v>321</v>
      </c>
      <c r="B650" s="475" t="s">
        <v>4236</v>
      </c>
      <c r="C650" s="422" t="e">
        <f>VLOOKUP(B650,'Matter &amp; CI#'!$D$4:$E$595,2,FALSE)</f>
        <v>#N/A</v>
      </c>
      <c r="D650" s="476" t="s">
        <v>322</v>
      </c>
      <c r="E650" s="476" t="s">
        <v>42</v>
      </c>
      <c r="F650" s="476" t="s">
        <v>24</v>
      </c>
      <c r="G650" s="475" t="s">
        <v>2013</v>
      </c>
      <c r="H650" s="516"/>
      <c r="I650" s="477" t="s">
        <v>5</v>
      </c>
      <c r="J650" s="476" t="s">
        <v>29</v>
      </c>
      <c r="K650" s="476" t="s">
        <v>7</v>
      </c>
      <c r="L650" s="184">
        <v>41416</v>
      </c>
      <c r="M650" s="184">
        <v>41843</v>
      </c>
      <c r="N650" s="480">
        <v>108685.75999999999</v>
      </c>
      <c r="O650" s="478" t="str">
        <f>IFERROR(VLOOKUP(A650,[1]Approval!A:C,3,FALSE),"")</f>
        <v>FIN Approval - Internal</v>
      </c>
      <c r="P650" s="184">
        <f>IFERROR(VLOOKUP(A650,[1]Approval!A:J,10,FALSE),"")</f>
        <v>41843</v>
      </c>
      <c r="R650" s="425">
        <f>2020-YEAR(Table227[[#This Row],[In-
Service
Date]])</f>
        <v>7</v>
      </c>
      <c r="S650" s="308">
        <f>+Table227[[#This Row],[Proj To Date
Actuals]]*1.02^R650</f>
        <v>124845.77478956939</v>
      </c>
    </row>
    <row r="651" spans="1:19" x14ac:dyDescent="0.25">
      <c r="A651" s="476" t="s">
        <v>1550</v>
      </c>
      <c r="B651" s="475" t="s">
        <v>4098</v>
      </c>
      <c r="C651" s="422" t="e">
        <f>VLOOKUP(B651,'Matter &amp; CI#'!$D$4:$E$595,2,FALSE)</f>
        <v>#N/A</v>
      </c>
      <c r="D651" s="476" t="s">
        <v>1551</v>
      </c>
      <c r="E651" s="476" t="s">
        <v>41</v>
      </c>
      <c r="F651" s="476" t="s">
        <v>24</v>
      </c>
      <c r="G651" s="475" t="s">
        <v>2013</v>
      </c>
      <c r="H651" s="516"/>
      <c r="I651" s="477" t="s">
        <v>5</v>
      </c>
      <c r="J651" s="476" t="s">
        <v>6</v>
      </c>
      <c r="K651" s="476" t="s">
        <v>7</v>
      </c>
      <c r="L651" s="184">
        <v>41432</v>
      </c>
      <c r="M651" s="184">
        <v>42625</v>
      </c>
      <c r="N651" s="480">
        <v>2340820.35</v>
      </c>
      <c r="O651" s="478" t="str">
        <f>IFERROR(VLOOKUP(A651,[1]Approval!A:C,3,FALSE),"")</f>
        <v>FIN Approval - Internal</v>
      </c>
      <c r="P651" s="184">
        <f>IFERROR(VLOOKUP(A651,[1]Approval!A:J,10,FALSE),"")</f>
        <v>42625</v>
      </c>
      <c r="R651" s="425">
        <f>2020-YEAR(Table227[[#This Row],[In-
Service
Date]])</f>
        <v>7</v>
      </c>
      <c r="S651" s="308">
        <f>+Table227[[#This Row],[Proj To Date
Actuals]]*1.02^R651</f>
        <v>2688866.7865867708</v>
      </c>
    </row>
    <row r="652" spans="1:19" x14ac:dyDescent="0.25">
      <c r="A652" s="476" t="s">
        <v>556</v>
      </c>
      <c r="B652" s="475" t="s">
        <v>4177</v>
      </c>
      <c r="C652" s="422" t="e">
        <f>VLOOKUP(B652,'Matter &amp; CI#'!$D$4:$E$595,2,FALSE)</f>
        <v>#N/A</v>
      </c>
      <c r="D652" s="476" t="s">
        <v>557</v>
      </c>
      <c r="E652" s="476" t="s">
        <v>34</v>
      </c>
      <c r="F652" s="476" t="s">
        <v>24</v>
      </c>
      <c r="G652" s="475" t="s">
        <v>2013</v>
      </c>
      <c r="H652" s="516"/>
      <c r="I652" s="477" t="s">
        <v>5</v>
      </c>
      <c r="J652" s="476" t="s">
        <v>6</v>
      </c>
      <c r="K652" s="476" t="s">
        <v>7</v>
      </c>
      <c r="L652" s="184">
        <v>41451</v>
      </c>
      <c r="M652" s="184">
        <v>42909</v>
      </c>
      <c r="N652" s="480">
        <v>1774354.07</v>
      </c>
      <c r="O652" s="478" t="str">
        <f>IFERROR(VLOOKUP(A652,[1]Approval!A:C,3,FALSE),"")</f>
        <v>FIN Approval - Internal</v>
      </c>
      <c r="P652" s="184">
        <f>IFERROR(VLOOKUP(A652,[1]Approval!A:J,10,FALSE),"")</f>
        <v>42909</v>
      </c>
      <c r="R652" s="425">
        <f>2020-YEAR(Table227[[#This Row],[In-
Service
Date]])</f>
        <v>7</v>
      </c>
      <c r="S652" s="308">
        <f>+Table227[[#This Row],[Proj To Date
Actuals]]*1.02^R652</f>
        <v>2038175.089544167</v>
      </c>
    </row>
    <row r="653" spans="1:19" x14ac:dyDescent="0.25">
      <c r="A653" s="476" t="s">
        <v>795</v>
      </c>
      <c r="B653" s="475" t="s">
        <v>4178</v>
      </c>
      <c r="C653" s="422" t="e">
        <f>VLOOKUP(B653,'Matter &amp; CI#'!$D$4:$E$595,2,FALSE)</f>
        <v>#N/A</v>
      </c>
      <c r="D653" s="476" t="s">
        <v>796</v>
      </c>
      <c r="E653" s="476" t="s">
        <v>34</v>
      </c>
      <c r="F653" s="476" t="s">
        <v>24</v>
      </c>
      <c r="G653" s="475" t="s">
        <v>2013</v>
      </c>
      <c r="H653" s="516"/>
      <c r="I653" s="477" t="s">
        <v>5</v>
      </c>
      <c r="J653" s="476" t="s">
        <v>6</v>
      </c>
      <c r="K653" s="476" t="s">
        <v>7</v>
      </c>
      <c r="L653" s="184">
        <v>41451</v>
      </c>
      <c r="M653" s="184">
        <v>42909</v>
      </c>
      <c r="N653" s="480">
        <v>797063.07</v>
      </c>
      <c r="O653" s="478" t="str">
        <f>IFERROR(VLOOKUP(A653,[1]Approval!A:C,3,FALSE),"")</f>
        <v>FIN Approval - External</v>
      </c>
      <c r="P653" s="184">
        <f>IFERROR(VLOOKUP(A653,[1]Approval!A:J,10,FALSE),"")</f>
        <v>42909</v>
      </c>
      <c r="R653" s="425">
        <f>2020-YEAR(Table227[[#This Row],[In-
Service
Date]])</f>
        <v>7</v>
      </c>
      <c r="S653" s="308">
        <f>+Table227[[#This Row],[Proj To Date
Actuals]]*1.02^R653</f>
        <v>915574.9247215346</v>
      </c>
    </row>
    <row r="654" spans="1:19" x14ac:dyDescent="0.25">
      <c r="A654" s="476" t="s">
        <v>1284</v>
      </c>
      <c r="B654" s="475" t="s">
        <v>4180</v>
      </c>
      <c r="C654" s="422" t="e">
        <f>VLOOKUP(B654,'Matter &amp; CI#'!$D$4:$E$595,2,FALSE)</f>
        <v>#N/A</v>
      </c>
      <c r="D654" s="476" t="s">
        <v>1285</v>
      </c>
      <c r="E654" s="476" t="s">
        <v>34</v>
      </c>
      <c r="F654" s="476" t="s">
        <v>24</v>
      </c>
      <c r="G654" s="475" t="s">
        <v>2013</v>
      </c>
      <c r="H654" s="516"/>
      <c r="I654" s="477" t="s">
        <v>5</v>
      </c>
      <c r="J654" s="476" t="s">
        <v>6</v>
      </c>
      <c r="K654" s="476" t="s">
        <v>7</v>
      </c>
      <c r="L654" s="184">
        <v>41451</v>
      </c>
      <c r="M654" s="184">
        <v>42718</v>
      </c>
      <c r="N654" s="480">
        <v>1126614.24</v>
      </c>
      <c r="O654" s="478" t="str">
        <f>IFERROR(VLOOKUP(A654,[1]Approval!A:C,3,FALSE),"")</f>
        <v>FIN Approval - External</v>
      </c>
      <c r="P654" s="184">
        <f>IFERROR(VLOOKUP(A654,[1]Approval!A:J,10,FALSE),"")</f>
        <v>42718</v>
      </c>
      <c r="R654" s="425">
        <f>2020-YEAR(Table227[[#This Row],[In-
Service
Date]])</f>
        <v>7</v>
      </c>
      <c r="S654" s="308">
        <f>+Table227[[#This Row],[Proj To Date
Actuals]]*1.02^R654</f>
        <v>1294125.6304575859</v>
      </c>
    </row>
    <row r="655" spans="1:19" x14ac:dyDescent="0.25">
      <c r="A655" s="476" t="s">
        <v>785</v>
      </c>
      <c r="B655" s="475" t="s">
        <v>4081</v>
      </c>
      <c r="C655" s="422" t="e">
        <f>VLOOKUP(B655,'Matter &amp; CI#'!$D$4:$E$595,2,FALSE)</f>
        <v>#N/A</v>
      </c>
      <c r="D655" s="476" t="s">
        <v>786</v>
      </c>
      <c r="E655" s="476" t="s">
        <v>34</v>
      </c>
      <c r="F655" s="476" t="s">
        <v>24</v>
      </c>
      <c r="G655" s="475" t="s">
        <v>2013</v>
      </c>
      <c r="H655" s="516"/>
      <c r="I655" s="477" t="s">
        <v>5</v>
      </c>
      <c r="J655" s="476" t="s">
        <v>6</v>
      </c>
      <c r="K655" s="476" t="s">
        <v>7</v>
      </c>
      <c r="L655" s="184">
        <v>41486</v>
      </c>
      <c r="M655" s="184">
        <v>42718</v>
      </c>
      <c r="N655" s="480">
        <v>382465.8</v>
      </c>
      <c r="O655" s="478" t="str">
        <f>IFERROR(VLOOKUP(A655,[1]Approval!A:C,3,FALSE),"")</f>
        <v>FIN Approval - Internal</v>
      </c>
      <c r="P655" s="184">
        <f>IFERROR(VLOOKUP(A655,[1]Approval!A:J,10,FALSE),"")</f>
        <v>42718</v>
      </c>
      <c r="R655" s="425">
        <f>2020-YEAR(Table227[[#This Row],[In-
Service
Date]])</f>
        <v>7</v>
      </c>
      <c r="S655" s="308">
        <f>+Table227[[#This Row],[Proj To Date
Actuals]]*1.02^R655</f>
        <v>439332.98282601591</v>
      </c>
    </row>
    <row r="656" spans="1:19" x14ac:dyDescent="0.25">
      <c r="A656" s="476" t="s">
        <v>1815</v>
      </c>
      <c r="B656" s="475" t="s">
        <v>3992</v>
      </c>
      <c r="C656" s="422" t="e">
        <f>VLOOKUP(B656,'Matter &amp; CI#'!$D$4:$E$595,2,FALSE)</f>
        <v>#N/A</v>
      </c>
      <c r="D656" s="476" t="s">
        <v>1816</v>
      </c>
      <c r="E656" s="476" t="s">
        <v>34</v>
      </c>
      <c r="F656" s="476" t="s">
        <v>24</v>
      </c>
      <c r="G656" s="475" t="s">
        <v>2013</v>
      </c>
      <c r="H656" s="516"/>
      <c r="I656" s="477" t="s">
        <v>5</v>
      </c>
      <c r="J656" s="476" t="s">
        <v>6</v>
      </c>
      <c r="K656" s="476" t="s">
        <v>7</v>
      </c>
      <c r="L656" s="184">
        <v>41517</v>
      </c>
      <c r="M656" s="184">
        <v>41843</v>
      </c>
      <c r="N656" s="480">
        <v>529153.94999999995</v>
      </c>
      <c r="O656" s="478" t="str">
        <f>IFERROR(VLOOKUP(A656,[1]Approval!A:C,3,FALSE),"")</f>
        <v>FIN Approval - Internal</v>
      </c>
      <c r="P656" s="184">
        <f>IFERROR(VLOOKUP(A656,[1]Approval!A:J,10,FALSE),"")</f>
        <v>41843</v>
      </c>
      <c r="R656" s="425">
        <f>2020-YEAR(Table227[[#This Row],[In-
Service
Date]])</f>
        <v>7</v>
      </c>
      <c r="S656" s="308">
        <f>+Table227[[#This Row],[Proj To Date
Actuals]]*1.02^R656</f>
        <v>607831.55834500352</v>
      </c>
    </row>
    <row r="657" spans="1:19" x14ac:dyDescent="0.25">
      <c r="A657" s="476" t="s">
        <v>797</v>
      </c>
      <c r="B657" s="475" t="s">
        <v>4223</v>
      </c>
      <c r="C657" s="422" t="e">
        <f>VLOOKUP(B657,'Matter &amp; CI#'!$D$4:$E$595,2,FALSE)</f>
        <v>#N/A</v>
      </c>
      <c r="D657" s="476" t="s">
        <v>798</v>
      </c>
      <c r="E657" s="476" t="s">
        <v>50</v>
      </c>
      <c r="F657" s="476" t="s">
        <v>24</v>
      </c>
      <c r="G657" s="475" t="s">
        <v>2013</v>
      </c>
      <c r="H657" s="516"/>
      <c r="I657" s="477" t="s">
        <v>5</v>
      </c>
      <c r="J657" s="476" t="s">
        <v>6</v>
      </c>
      <c r="K657" s="476" t="s">
        <v>7</v>
      </c>
      <c r="L657" s="184">
        <v>41517</v>
      </c>
      <c r="M657" s="184">
        <v>42400</v>
      </c>
      <c r="N657" s="480">
        <v>455031.48</v>
      </c>
      <c r="O657" s="478" t="str">
        <f>IFERROR(VLOOKUP(A657,[1]Approval!A:C,3,FALSE),"")</f>
        <v>FIN Approval - Internal</v>
      </c>
      <c r="P657" s="184">
        <f>IFERROR(VLOOKUP(A657,[1]Approval!A:J,10,FALSE),"")</f>
        <v>42418</v>
      </c>
      <c r="R657" s="425">
        <f>2020-YEAR(Table227[[#This Row],[In-
Service
Date]])</f>
        <v>7</v>
      </c>
      <c r="S657" s="308">
        <f>+Table227[[#This Row],[Proj To Date
Actuals]]*1.02^R657</f>
        <v>522688.1394052399</v>
      </c>
    </row>
    <row r="658" spans="1:19" x14ac:dyDescent="0.25">
      <c r="A658" s="476" t="s">
        <v>1825</v>
      </c>
      <c r="B658" s="475" t="s">
        <v>4224</v>
      </c>
      <c r="C658" s="422" t="e">
        <f>VLOOKUP(B658,'Matter &amp; CI#'!$D$4:$E$595,2,FALSE)</f>
        <v>#N/A</v>
      </c>
      <c r="D658" s="476" t="s">
        <v>1826</v>
      </c>
      <c r="E658" s="476" t="s">
        <v>42</v>
      </c>
      <c r="F658" s="476" t="s">
        <v>24</v>
      </c>
      <c r="G658" s="475" t="s">
        <v>2013</v>
      </c>
      <c r="H658" s="516"/>
      <c r="I658" s="477" t="s">
        <v>5</v>
      </c>
      <c r="J658" s="476" t="s">
        <v>6</v>
      </c>
      <c r="K658" s="476" t="s">
        <v>7</v>
      </c>
      <c r="L658" s="184">
        <v>41517</v>
      </c>
      <c r="M658" s="184">
        <v>42912</v>
      </c>
      <c r="N658" s="480">
        <v>2480929.31</v>
      </c>
      <c r="O658" s="478" t="str">
        <f>IFERROR(VLOOKUP(A658,[1]Approval!A:C,3,FALSE),"")</f>
        <v>FIN Approval - Internal</v>
      </c>
      <c r="P658" s="184">
        <f>IFERROR(VLOOKUP(A658,[1]Approval!A:J,10,FALSE),"")</f>
        <v>42912</v>
      </c>
      <c r="R658" s="425">
        <f>2020-YEAR(Table227[[#This Row],[In-
Service
Date]])</f>
        <v>7</v>
      </c>
      <c r="S658" s="308">
        <f>+Table227[[#This Row],[Proj To Date
Actuals]]*1.02^R658</f>
        <v>2849807.9408480171</v>
      </c>
    </row>
    <row r="659" spans="1:19" x14ac:dyDescent="0.25">
      <c r="A659" s="476" t="s">
        <v>1566</v>
      </c>
      <c r="B659" s="475" t="s">
        <v>4246</v>
      </c>
      <c r="C659" s="422" t="e">
        <f>VLOOKUP(B659,'Matter &amp; CI#'!$D$4:$E$595,2,FALSE)</f>
        <v>#N/A</v>
      </c>
      <c r="D659" s="476" t="s">
        <v>1567</v>
      </c>
      <c r="E659" s="476" t="s">
        <v>50</v>
      </c>
      <c r="F659" s="476" t="s">
        <v>24</v>
      </c>
      <c r="G659" s="475" t="s">
        <v>2013</v>
      </c>
      <c r="H659" s="516"/>
      <c r="I659" s="477" t="s">
        <v>5</v>
      </c>
      <c r="J659" s="476" t="s">
        <v>29</v>
      </c>
      <c r="K659" s="476" t="s">
        <v>7</v>
      </c>
      <c r="L659" s="184">
        <v>41517</v>
      </c>
      <c r="M659" s="184">
        <v>42400</v>
      </c>
      <c r="N659" s="480">
        <v>725241.78</v>
      </c>
      <c r="O659" s="478" t="str">
        <f>IFERROR(VLOOKUP(A659,[1]Approval!A:C,3,FALSE),"")</f>
        <v>FIN Approval - Internal</v>
      </c>
      <c r="P659" s="184">
        <f>IFERROR(VLOOKUP(A659,[1]Approval!A:J,10,FALSE),"")</f>
        <v>42418</v>
      </c>
      <c r="R659" s="425">
        <f>2020-YEAR(Table227[[#This Row],[In-
Service
Date]])</f>
        <v>7</v>
      </c>
      <c r="S659" s="308">
        <f>+Table227[[#This Row],[Proj To Date
Actuals]]*1.02^R659</f>
        <v>833074.83826645219</v>
      </c>
    </row>
    <row r="660" spans="1:19" x14ac:dyDescent="0.25">
      <c r="A660" s="476" t="s">
        <v>311</v>
      </c>
      <c r="B660" s="475" t="s">
        <v>4088</v>
      </c>
      <c r="C660" s="422" t="e">
        <f>VLOOKUP(B660,'Matter &amp; CI#'!$D$4:$E$595,2,FALSE)</f>
        <v>#N/A</v>
      </c>
      <c r="D660" s="476" t="s">
        <v>312</v>
      </c>
      <c r="E660" s="476" t="s">
        <v>41</v>
      </c>
      <c r="F660" s="476" t="s">
        <v>24</v>
      </c>
      <c r="G660" s="475" t="s">
        <v>2013</v>
      </c>
      <c r="H660" s="516"/>
      <c r="I660" s="477" t="s">
        <v>5</v>
      </c>
      <c r="J660" s="476" t="s">
        <v>6</v>
      </c>
      <c r="K660" s="476" t="s">
        <v>7</v>
      </c>
      <c r="L660" s="184">
        <v>41542</v>
      </c>
      <c r="M660" s="184">
        <v>42613</v>
      </c>
      <c r="N660" s="480">
        <v>379545.36</v>
      </c>
      <c r="O660" s="478" t="str">
        <f>IFERROR(VLOOKUP(A660,[1]Approval!A:C,3,FALSE),"")</f>
        <v>FIN Approval - Internal</v>
      </c>
      <c r="P660" s="184">
        <f>IFERROR(VLOOKUP(A660,[1]Approval!A:J,10,FALSE),"")</f>
        <v>42625</v>
      </c>
      <c r="R660" s="425">
        <f>2020-YEAR(Table227[[#This Row],[In-
Service
Date]])</f>
        <v>7</v>
      </c>
      <c r="S660" s="308">
        <f>+Table227[[#This Row],[Proj To Date
Actuals]]*1.02^R660</f>
        <v>435978.31525478623</v>
      </c>
    </row>
    <row r="661" spans="1:19" x14ac:dyDescent="0.25">
      <c r="A661" s="476" t="s">
        <v>1797</v>
      </c>
      <c r="B661" s="475" t="s">
        <v>4134</v>
      </c>
      <c r="C661" s="422" t="e">
        <f>VLOOKUP(B661,'Matter &amp; CI#'!$D$4:$E$595,2,FALSE)</f>
        <v>#N/A</v>
      </c>
      <c r="D661" s="476" t="s">
        <v>1798</v>
      </c>
      <c r="E661" s="476" t="s">
        <v>50</v>
      </c>
      <c r="F661" s="476" t="s">
        <v>24</v>
      </c>
      <c r="G661" s="475" t="s">
        <v>2013</v>
      </c>
      <c r="H661" s="516"/>
      <c r="I661" s="477" t="s">
        <v>5</v>
      </c>
      <c r="J661" s="476" t="s">
        <v>29</v>
      </c>
      <c r="K661" s="476" t="s">
        <v>7</v>
      </c>
      <c r="L661" s="184">
        <v>41542</v>
      </c>
      <c r="M661" s="184">
        <v>42400</v>
      </c>
      <c r="N661" s="480">
        <v>254635.77</v>
      </c>
      <c r="O661" s="478" t="str">
        <f>IFERROR(VLOOKUP(A661,[1]Approval!A:C,3,FALSE),"")</f>
        <v>FIN Approval - Internal</v>
      </c>
      <c r="P661" s="184">
        <f>IFERROR(VLOOKUP(A661,[1]Approval!A:J,10,FALSE),"")</f>
        <v>42418</v>
      </c>
      <c r="R661" s="425">
        <f>2020-YEAR(Table227[[#This Row],[In-
Service
Date]])</f>
        <v>7</v>
      </c>
      <c r="S661" s="308">
        <f>+Table227[[#This Row],[Proj To Date
Actuals]]*1.02^R661</f>
        <v>292496.45946983842</v>
      </c>
    </row>
    <row r="662" spans="1:19" x14ac:dyDescent="0.25">
      <c r="A662" s="476" t="s">
        <v>81</v>
      </c>
      <c r="B662" s="475" t="s">
        <v>4141</v>
      </c>
      <c r="C662" s="422" t="e">
        <f>VLOOKUP(B662,'Matter &amp; CI#'!$D$4:$E$595,2,FALSE)</f>
        <v>#N/A</v>
      </c>
      <c r="D662" s="476" t="s">
        <v>82</v>
      </c>
      <c r="E662" s="476" t="s">
        <v>50</v>
      </c>
      <c r="F662" s="476" t="s">
        <v>24</v>
      </c>
      <c r="G662" s="475" t="s">
        <v>2013</v>
      </c>
      <c r="H662" s="516"/>
      <c r="I662" s="477" t="s">
        <v>5</v>
      </c>
      <c r="J662" s="476" t="s">
        <v>29</v>
      </c>
      <c r="K662" s="476" t="s">
        <v>7</v>
      </c>
      <c r="L662" s="184">
        <v>41542</v>
      </c>
      <c r="M662" s="184">
        <v>41843</v>
      </c>
      <c r="N662" s="480">
        <v>225376.74</v>
      </c>
      <c r="O662" s="478" t="str">
        <f>IFERROR(VLOOKUP(A662,[1]Approval!A:C,3,FALSE),"")</f>
        <v>FIN Approval - Internal</v>
      </c>
      <c r="P662" s="184">
        <f>IFERROR(VLOOKUP(A662,[1]Approval!A:J,10,FALSE),"")</f>
        <v>41843</v>
      </c>
      <c r="R662" s="425">
        <f>2020-YEAR(Table227[[#This Row],[In-
Service
Date]])</f>
        <v>7</v>
      </c>
      <c r="S662" s="308">
        <f>+Table227[[#This Row],[Proj To Date
Actuals]]*1.02^R662</f>
        <v>258887.03105951814</v>
      </c>
    </row>
    <row r="663" spans="1:19" x14ac:dyDescent="0.25">
      <c r="A663" s="476" t="s">
        <v>1292</v>
      </c>
      <c r="B663" s="475" t="s">
        <v>4252</v>
      </c>
      <c r="C663" s="422" t="e">
        <f>VLOOKUP(B663,'Matter &amp; CI#'!$D$4:$E$595,2,FALSE)</f>
        <v>#N/A</v>
      </c>
      <c r="D663" s="476" t="s">
        <v>1293</v>
      </c>
      <c r="E663" s="476" t="s">
        <v>50</v>
      </c>
      <c r="F663" s="476" t="s">
        <v>24</v>
      </c>
      <c r="G663" s="475" t="s">
        <v>2013</v>
      </c>
      <c r="H663" s="516"/>
      <c r="I663" s="477" t="s">
        <v>5</v>
      </c>
      <c r="J663" s="476" t="s">
        <v>6</v>
      </c>
      <c r="K663" s="476" t="s">
        <v>7</v>
      </c>
      <c r="L663" s="184">
        <v>41542</v>
      </c>
      <c r="M663" s="184">
        <v>41852</v>
      </c>
      <c r="N663" s="480">
        <v>293325.21999999997</v>
      </c>
      <c r="O663" s="478" t="str">
        <f>IFERROR(VLOOKUP(A663,[1]Approval!A:C,3,FALSE),"")</f>
        <v>FIN Approval - Internal</v>
      </c>
      <c r="P663" s="184">
        <f>IFERROR(VLOOKUP(A663,[1]Approval!A:J,10,FALSE),"")</f>
        <v>41859</v>
      </c>
      <c r="R663" s="425">
        <f>2020-YEAR(Table227[[#This Row],[In-
Service
Date]])</f>
        <v>7</v>
      </c>
      <c r="S663" s="308">
        <f>+Table227[[#This Row],[Proj To Date
Actuals]]*1.02^R663</f>
        <v>336938.47617407184</v>
      </c>
    </row>
    <row r="664" spans="1:19" x14ac:dyDescent="0.25">
      <c r="A664" s="476" t="s">
        <v>512</v>
      </c>
      <c r="B664" s="475" t="s">
        <v>3969</v>
      </c>
      <c r="C664" s="422" t="e">
        <f>VLOOKUP(B664,'Matter &amp; CI#'!$D$4:$E$595,2,FALSE)</f>
        <v>#N/A</v>
      </c>
      <c r="D664" s="476" t="s">
        <v>513</v>
      </c>
      <c r="E664" s="476" t="s">
        <v>41</v>
      </c>
      <c r="F664" s="476" t="s">
        <v>24</v>
      </c>
      <c r="G664" s="475" t="s">
        <v>2013</v>
      </c>
      <c r="H664" s="516"/>
      <c r="I664" s="477" t="s">
        <v>5</v>
      </c>
      <c r="J664" s="476" t="s">
        <v>6</v>
      </c>
      <c r="K664" s="476" t="s">
        <v>7</v>
      </c>
      <c r="L664" s="184">
        <v>41568</v>
      </c>
      <c r="M664" s="184">
        <v>41852</v>
      </c>
      <c r="N664" s="480">
        <v>1845085.77</v>
      </c>
      <c r="O664" s="478" t="str">
        <f>IFERROR(VLOOKUP(A664,[1]Approval!A:C,3,FALSE),"")</f>
        <v>FIN Approval - Internal</v>
      </c>
      <c r="P664" s="184">
        <f>IFERROR(VLOOKUP(A664,[1]Approval!A:J,10,FALSE),"")</f>
        <v>41859</v>
      </c>
      <c r="R664" s="425">
        <f>2020-YEAR(Table227[[#This Row],[In-
Service
Date]])</f>
        <v>7</v>
      </c>
      <c r="S664" s="308">
        <f>+Table227[[#This Row],[Proj To Date
Actuals]]*1.02^R664</f>
        <v>2119423.5795826358</v>
      </c>
    </row>
    <row r="665" spans="1:19" x14ac:dyDescent="0.25">
      <c r="A665" s="476" t="s">
        <v>309</v>
      </c>
      <c r="B665" s="475" t="s">
        <v>4094</v>
      </c>
      <c r="C665" s="422" t="e">
        <f>VLOOKUP(B665,'Matter &amp; CI#'!$D$4:$E$595,2,FALSE)</f>
        <v>#N/A</v>
      </c>
      <c r="D665" s="476" t="s">
        <v>310</v>
      </c>
      <c r="E665" s="476" t="s">
        <v>34</v>
      </c>
      <c r="F665" s="476" t="s">
        <v>24</v>
      </c>
      <c r="G665" s="475" t="s">
        <v>2013</v>
      </c>
      <c r="H665" s="516"/>
      <c r="I665" s="477" t="s">
        <v>5</v>
      </c>
      <c r="J665" s="476" t="s">
        <v>6</v>
      </c>
      <c r="K665" s="476" t="s">
        <v>7</v>
      </c>
      <c r="L665" s="184">
        <v>41575</v>
      </c>
      <c r="M665" s="184">
        <v>42718</v>
      </c>
      <c r="N665" s="480">
        <v>716220.74</v>
      </c>
      <c r="O665" s="478" t="str">
        <f>IFERROR(VLOOKUP(A665,[1]Approval!A:C,3,FALSE),"")</f>
        <v>FIN Approval - External</v>
      </c>
      <c r="P665" s="184">
        <f>IFERROR(VLOOKUP(A665,[1]Approval!A:J,10,FALSE),"")</f>
        <v>42718</v>
      </c>
      <c r="R665" s="425">
        <f>2020-YEAR(Table227[[#This Row],[In-
Service
Date]])</f>
        <v>7</v>
      </c>
      <c r="S665" s="308">
        <f>+Table227[[#This Row],[Proj To Date
Actuals]]*1.02^R665</f>
        <v>822712.49891116121</v>
      </c>
    </row>
    <row r="666" spans="1:19" x14ac:dyDescent="0.25">
      <c r="A666" s="476" t="s">
        <v>1548</v>
      </c>
      <c r="B666" s="475" t="s">
        <v>4107</v>
      </c>
      <c r="C666" s="422" t="e">
        <f>VLOOKUP(B666,'Matter &amp; CI#'!$D$4:$E$595,2,FALSE)</f>
        <v>#N/A</v>
      </c>
      <c r="D666" s="476" t="s">
        <v>1549</v>
      </c>
      <c r="E666" s="476" t="s">
        <v>34</v>
      </c>
      <c r="F666" s="476" t="s">
        <v>24</v>
      </c>
      <c r="G666" s="475" t="s">
        <v>2013</v>
      </c>
      <c r="H666" s="516"/>
      <c r="I666" s="477" t="s">
        <v>5</v>
      </c>
      <c r="J666" s="476" t="s">
        <v>6</v>
      </c>
      <c r="K666" s="476" t="s">
        <v>7</v>
      </c>
      <c r="L666" s="184">
        <v>41575</v>
      </c>
      <c r="M666" s="184">
        <v>43586</v>
      </c>
      <c r="N666" s="480">
        <v>776283.2</v>
      </c>
      <c r="O666" s="478" t="str">
        <f>IFERROR(VLOOKUP(A666,[1]Approval!A:C,3,FALSE),"")</f>
        <v>FIN Approval - Internal</v>
      </c>
      <c r="P666" s="184">
        <f>IFERROR(VLOOKUP(A666,[1]Approval!A:J,10,FALSE),"")</f>
        <v>43507</v>
      </c>
      <c r="R666" s="425">
        <f>2020-YEAR(Table227[[#This Row],[In-
Service
Date]])</f>
        <v>7</v>
      </c>
      <c r="S666" s="308">
        <f>+Table227[[#This Row],[Proj To Date
Actuals]]*1.02^R666</f>
        <v>891705.38587691938</v>
      </c>
    </row>
    <row r="667" spans="1:19" x14ac:dyDescent="0.25">
      <c r="A667" s="476" t="s">
        <v>337</v>
      </c>
      <c r="B667" s="475" t="s">
        <v>4206</v>
      </c>
      <c r="C667" s="422" t="e">
        <f>VLOOKUP(B667,'Matter &amp; CI#'!$D$4:$E$595,2,FALSE)</f>
        <v>#N/A</v>
      </c>
      <c r="D667" s="476" t="s">
        <v>338</v>
      </c>
      <c r="E667" s="476" t="s">
        <v>34</v>
      </c>
      <c r="F667" s="476" t="s">
        <v>24</v>
      </c>
      <c r="G667" s="475" t="s">
        <v>2013</v>
      </c>
      <c r="H667" s="516"/>
      <c r="I667" s="477" t="s">
        <v>5</v>
      </c>
      <c r="J667" s="476" t="s">
        <v>6</v>
      </c>
      <c r="K667" s="476" t="s">
        <v>7</v>
      </c>
      <c r="L667" s="184">
        <v>41575</v>
      </c>
      <c r="M667" s="184">
        <v>42909</v>
      </c>
      <c r="N667" s="480">
        <v>73861.56</v>
      </c>
      <c r="O667" s="478" t="str">
        <f>IFERROR(VLOOKUP(A667,[1]Approval!A:C,3,FALSE),"")</f>
        <v>FIN Approval - Internal</v>
      </c>
      <c r="P667" s="184">
        <f>IFERROR(VLOOKUP(A667,[1]Approval!A:J,10,FALSE),"")</f>
        <v>42909</v>
      </c>
      <c r="R667" s="425">
        <f>2020-YEAR(Table227[[#This Row],[In-
Service
Date]])</f>
        <v>7</v>
      </c>
      <c r="S667" s="308">
        <f>+Table227[[#This Row],[Proj To Date
Actuals]]*1.02^R667</f>
        <v>84843.715362217335</v>
      </c>
    </row>
    <row r="668" spans="1:19" x14ac:dyDescent="0.25">
      <c r="A668" s="476" t="s">
        <v>329</v>
      </c>
      <c r="B668" s="475" t="s">
        <v>4238</v>
      </c>
      <c r="C668" s="422" t="e">
        <f>VLOOKUP(B668,'Matter &amp; CI#'!$D$4:$E$595,2,FALSE)</f>
        <v>#N/A</v>
      </c>
      <c r="D668" s="476" t="s">
        <v>330</v>
      </c>
      <c r="E668" s="476" t="s">
        <v>42</v>
      </c>
      <c r="F668" s="476" t="s">
        <v>24</v>
      </c>
      <c r="G668" s="475" t="s">
        <v>2013</v>
      </c>
      <c r="H668" s="516"/>
      <c r="I668" s="477" t="s">
        <v>5</v>
      </c>
      <c r="J668" s="476" t="s">
        <v>29</v>
      </c>
      <c r="K668" s="476" t="s">
        <v>7</v>
      </c>
      <c r="L668" s="184">
        <v>41575</v>
      </c>
      <c r="M668" s="184">
        <v>42909</v>
      </c>
      <c r="N668" s="480">
        <v>182612.01</v>
      </c>
      <c r="O668" s="478" t="str">
        <f>IFERROR(VLOOKUP(A668,[1]Approval!A:C,3,FALSE),"")</f>
        <v>FIN Approval - Internal</v>
      </c>
      <c r="P668" s="184">
        <f>IFERROR(VLOOKUP(A668,[1]Approval!A:J,10,FALSE),"")</f>
        <v>42909</v>
      </c>
      <c r="R668" s="425">
        <f>2020-YEAR(Table227[[#This Row],[In-
Service
Date]])</f>
        <v>7</v>
      </c>
      <c r="S668" s="308">
        <f>+Table227[[#This Row],[Proj To Date
Actuals]]*1.02^R668</f>
        <v>209763.79862762697</v>
      </c>
    </row>
    <row r="669" spans="1:19" x14ac:dyDescent="0.25">
      <c r="A669" s="476" t="s">
        <v>327</v>
      </c>
      <c r="B669" s="475" t="s">
        <v>4240</v>
      </c>
      <c r="C669" s="422" t="e">
        <f>VLOOKUP(B669,'Matter &amp; CI#'!$D$4:$E$595,2,FALSE)</f>
        <v>#N/A</v>
      </c>
      <c r="D669" s="476" t="s">
        <v>328</v>
      </c>
      <c r="E669" s="476" t="s">
        <v>42</v>
      </c>
      <c r="F669" s="476" t="s">
        <v>24</v>
      </c>
      <c r="G669" s="475" t="s">
        <v>2013</v>
      </c>
      <c r="H669" s="516"/>
      <c r="I669" s="477" t="s">
        <v>5</v>
      </c>
      <c r="J669" s="476" t="s">
        <v>29</v>
      </c>
      <c r="K669" s="476" t="s">
        <v>7</v>
      </c>
      <c r="L669" s="184">
        <v>41575</v>
      </c>
      <c r="M669" s="184">
        <v>41843</v>
      </c>
      <c r="N669" s="480">
        <v>101697.51</v>
      </c>
      <c r="O669" s="478" t="str">
        <f>IFERROR(VLOOKUP(A669,[1]Approval!A:C,3,FALSE),"")</f>
        <v>FIN Approval - Internal</v>
      </c>
      <c r="P669" s="184">
        <f>IFERROR(VLOOKUP(A669,[1]Approval!A:J,10,FALSE),"")</f>
        <v>41843</v>
      </c>
      <c r="R669" s="425">
        <f>2020-YEAR(Table227[[#This Row],[In-
Service
Date]])</f>
        <v>7</v>
      </c>
      <c r="S669" s="308">
        <f>+Table227[[#This Row],[Proj To Date
Actuals]]*1.02^R669</f>
        <v>116818.47217261931</v>
      </c>
    </row>
    <row r="670" spans="1:19" x14ac:dyDescent="0.25">
      <c r="A670" s="476" t="s">
        <v>1302</v>
      </c>
      <c r="B670" s="475" t="s">
        <v>4245</v>
      </c>
      <c r="C670" s="422" t="e">
        <f>VLOOKUP(B670,'Matter &amp; CI#'!$D$4:$E$595,2,FALSE)</f>
        <v>#N/A</v>
      </c>
      <c r="D670" s="476" t="s">
        <v>1303</v>
      </c>
      <c r="E670" s="476" t="s">
        <v>42</v>
      </c>
      <c r="F670" s="476" t="s">
        <v>24</v>
      </c>
      <c r="G670" s="475" t="s">
        <v>2013</v>
      </c>
      <c r="H670" s="516"/>
      <c r="I670" s="477" t="s">
        <v>5</v>
      </c>
      <c r="J670" s="476" t="s">
        <v>29</v>
      </c>
      <c r="K670" s="476" t="s">
        <v>7</v>
      </c>
      <c r="L670" s="184">
        <v>41575</v>
      </c>
      <c r="M670" s="184">
        <v>41843</v>
      </c>
      <c r="N670" s="480">
        <v>91619.98</v>
      </c>
      <c r="O670" s="478" t="str">
        <f>IFERROR(VLOOKUP(A670,[1]Approval!A:C,3,FALSE),"")</f>
        <v>FIN Approval - Internal</v>
      </c>
      <c r="P670" s="184">
        <f>IFERROR(VLOOKUP(A670,[1]Approval!A:J,10,FALSE),"")</f>
        <v>41843</v>
      </c>
      <c r="R670" s="425">
        <f>2020-YEAR(Table227[[#This Row],[In-
Service
Date]])</f>
        <v>7</v>
      </c>
      <c r="S670" s="308">
        <f>+Table227[[#This Row],[Proj To Date
Actuals]]*1.02^R670</f>
        <v>105242.55789631366</v>
      </c>
    </row>
    <row r="671" spans="1:19" x14ac:dyDescent="0.25">
      <c r="A671" s="476" t="s">
        <v>94</v>
      </c>
      <c r="B671" s="475" t="s">
        <v>4248</v>
      </c>
      <c r="C671" s="422" t="e">
        <f>VLOOKUP(B671,'Matter &amp; CI#'!$D$4:$E$595,2,FALSE)</f>
        <v>#N/A</v>
      </c>
      <c r="D671" s="476" t="s">
        <v>95</v>
      </c>
      <c r="E671" s="476" t="s">
        <v>50</v>
      </c>
      <c r="F671" s="476" t="s">
        <v>24</v>
      </c>
      <c r="G671" s="475" t="s">
        <v>2013</v>
      </c>
      <c r="H671" s="516"/>
      <c r="I671" s="477" t="s">
        <v>5</v>
      </c>
      <c r="J671" s="476" t="s">
        <v>29</v>
      </c>
      <c r="K671" s="476" t="s">
        <v>7</v>
      </c>
      <c r="L671" s="184">
        <v>41575</v>
      </c>
      <c r="M671" s="184">
        <v>42613</v>
      </c>
      <c r="N671" s="480">
        <v>135410.37</v>
      </c>
      <c r="O671" s="478" t="str">
        <f>IFERROR(VLOOKUP(A671,[1]Approval!A:C,3,FALSE),"")</f>
        <v>FIN Approval - Internal</v>
      </c>
      <c r="P671" s="184">
        <f>IFERROR(VLOOKUP(A671,[1]Approval!A:J,10,FALSE),"")</f>
        <v>42625</v>
      </c>
      <c r="R671" s="425">
        <f>2020-YEAR(Table227[[#This Row],[In-
Service
Date]])</f>
        <v>7</v>
      </c>
      <c r="S671" s="308">
        <f>+Table227[[#This Row],[Proj To Date
Actuals]]*1.02^R671</f>
        <v>155543.95127008599</v>
      </c>
    </row>
    <row r="672" spans="1:19" x14ac:dyDescent="0.25">
      <c r="A672" s="476" t="s">
        <v>781</v>
      </c>
      <c r="B672" s="475" t="s">
        <v>4108</v>
      </c>
      <c r="C672" s="422" t="e">
        <f>VLOOKUP(B672,'Matter &amp; CI#'!$D$4:$E$595,2,FALSE)</f>
        <v>#N/A</v>
      </c>
      <c r="D672" s="476" t="s">
        <v>782</v>
      </c>
      <c r="E672" s="476" t="s">
        <v>34</v>
      </c>
      <c r="F672" s="476" t="s">
        <v>24</v>
      </c>
      <c r="G672" s="475" t="s">
        <v>2013</v>
      </c>
      <c r="H672" s="516"/>
      <c r="I672" s="477" t="s">
        <v>5</v>
      </c>
      <c r="J672" s="476" t="s">
        <v>6</v>
      </c>
      <c r="K672" s="476" t="s">
        <v>7</v>
      </c>
      <c r="L672" s="184">
        <v>41606</v>
      </c>
      <c r="M672" s="184">
        <v>42400</v>
      </c>
      <c r="N672" s="480">
        <v>803923.54</v>
      </c>
      <c r="O672" s="478" t="str">
        <f>IFERROR(VLOOKUP(A672,[1]Approval!A:C,3,FALSE),"")</f>
        <v>FIN Approval - Internal</v>
      </c>
      <c r="P672" s="184">
        <f>IFERROR(VLOOKUP(A672,[1]Approval!A:J,10,FALSE),"")</f>
        <v>42418</v>
      </c>
      <c r="R672" s="425">
        <f>2020-YEAR(Table227[[#This Row],[In-
Service
Date]])</f>
        <v>7</v>
      </c>
      <c r="S672" s="308">
        <f>+Table227[[#This Row],[Proj To Date
Actuals]]*1.02^R672</f>
        <v>923455.44828387257</v>
      </c>
    </row>
    <row r="673" spans="1:19" x14ac:dyDescent="0.25">
      <c r="A673" s="476" t="s">
        <v>323</v>
      </c>
      <c r="B673" s="475" t="s">
        <v>4212</v>
      </c>
      <c r="C673" s="422" t="e">
        <f>VLOOKUP(B673,'Matter &amp; CI#'!$D$4:$E$595,2,FALSE)</f>
        <v>#N/A</v>
      </c>
      <c r="D673" s="476" t="s">
        <v>324</v>
      </c>
      <c r="E673" s="476" t="s">
        <v>42</v>
      </c>
      <c r="F673" s="476" t="s">
        <v>24</v>
      </c>
      <c r="G673" s="475" t="s">
        <v>2013</v>
      </c>
      <c r="H673" s="516"/>
      <c r="I673" s="477" t="s">
        <v>5</v>
      </c>
      <c r="J673" s="476" t="s">
        <v>6</v>
      </c>
      <c r="K673" s="476" t="s">
        <v>7</v>
      </c>
      <c r="L673" s="184">
        <v>41606</v>
      </c>
      <c r="M673" s="184">
        <v>42625</v>
      </c>
      <c r="N673" s="480">
        <v>577375.68000000005</v>
      </c>
      <c r="O673" s="478" t="str">
        <f>IFERROR(VLOOKUP(A673,[1]Approval!A:C,3,FALSE),"")</f>
        <v>FIN Approval - Internal</v>
      </c>
      <c r="P673" s="184">
        <f>IFERROR(VLOOKUP(A673,[1]Approval!A:J,10,FALSE),"")</f>
        <v>42625</v>
      </c>
      <c r="R673" s="425">
        <f>2020-YEAR(Table227[[#This Row],[In-
Service
Date]])</f>
        <v>7</v>
      </c>
      <c r="S673" s="308">
        <f>+Table227[[#This Row],[Proj To Date
Actuals]]*1.02^R673</f>
        <v>663223.16846525704</v>
      </c>
    </row>
    <row r="674" spans="1:19" x14ac:dyDescent="0.25">
      <c r="A674" s="476" t="s">
        <v>1568</v>
      </c>
      <c r="B674" s="475" t="s">
        <v>4247</v>
      </c>
      <c r="C674" s="422" t="e">
        <f>VLOOKUP(B674,'Matter &amp; CI#'!$D$4:$E$595,2,FALSE)</f>
        <v>#N/A</v>
      </c>
      <c r="D674" s="476" t="s">
        <v>1569</v>
      </c>
      <c r="E674" s="476" t="s">
        <v>42</v>
      </c>
      <c r="F674" s="476" t="s">
        <v>24</v>
      </c>
      <c r="G674" s="475" t="s">
        <v>2013</v>
      </c>
      <c r="H674" s="516"/>
      <c r="I674" s="477" t="s">
        <v>5</v>
      </c>
      <c r="J674" s="476" t="s">
        <v>29</v>
      </c>
      <c r="K674" s="476" t="s">
        <v>7</v>
      </c>
      <c r="L674" s="184">
        <v>41606</v>
      </c>
      <c r="M674" s="184">
        <v>41843</v>
      </c>
      <c r="N674" s="480">
        <v>124419.42</v>
      </c>
      <c r="O674" s="478" t="str">
        <f>IFERROR(VLOOKUP(A674,[1]Approval!A:C,3,FALSE),"")</f>
        <v>FIN Approval - Internal</v>
      </c>
      <c r="P674" s="184">
        <f>IFERROR(VLOOKUP(A674,[1]Approval!A:J,10,FALSE),"")</f>
        <v>41843</v>
      </c>
      <c r="R674" s="425">
        <f>2020-YEAR(Table227[[#This Row],[In-
Service
Date]])</f>
        <v>7</v>
      </c>
      <c r="S674" s="308">
        <f>+Table227[[#This Row],[Proj To Date
Actuals]]*1.02^R674</f>
        <v>142918.80453123615</v>
      </c>
    </row>
    <row r="675" spans="1:19" x14ac:dyDescent="0.25">
      <c r="A675" s="476" t="s">
        <v>1799</v>
      </c>
      <c r="B675" s="475" t="s">
        <v>4140</v>
      </c>
      <c r="C675" s="422" t="e">
        <f>VLOOKUP(B675,'Matter &amp; CI#'!$D$4:$E$595,2,FALSE)</f>
        <v>#N/A</v>
      </c>
      <c r="D675" s="476" t="s">
        <v>1800</v>
      </c>
      <c r="E675" s="476" t="s">
        <v>42</v>
      </c>
      <c r="F675" s="476" t="s">
        <v>24</v>
      </c>
      <c r="G675" s="475" t="s">
        <v>2013</v>
      </c>
      <c r="H675" s="516"/>
      <c r="I675" s="477" t="s">
        <v>5</v>
      </c>
      <c r="J675" s="476" t="s">
        <v>29</v>
      </c>
      <c r="K675" s="476" t="s">
        <v>7</v>
      </c>
      <c r="L675" s="184">
        <v>41626</v>
      </c>
      <c r="M675" s="184">
        <v>42613</v>
      </c>
      <c r="N675" s="480">
        <v>250065.5</v>
      </c>
      <c r="O675" s="478" t="str">
        <f>IFERROR(VLOOKUP(A675,[1]Approval!A:C,3,FALSE),"")</f>
        <v>FIN Approval - Internal</v>
      </c>
      <c r="P675" s="184">
        <f>IFERROR(VLOOKUP(A675,[1]Approval!A:J,10,FALSE),"")</f>
        <v>42625</v>
      </c>
      <c r="R675" s="425">
        <f>2020-YEAR(Table227[[#This Row],[In-
Service
Date]])</f>
        <v>7</v>
      </c>
      <c r="S675" s="308">
        <f>+Table227[[#This Row],[Proj To Date
Actuals]]*1.02^R675</f>
        <v>287246.655823551</v>
      </c>
    </row>
    <row r="676" spans="1:19" x14ac:dyDescent="0.25">
      <c r="A676" s="476" t="s">
        <v>1747</v>
      </c>
      <c r="B676" s="475" t="s">
        <v>3922</v>
      </c>
      <c r="C676" s="422" t="e">
        <f>VLOOKUP(B676,'Matter &amp; CI#'!$D$4:$E$595,2,FALSE)</f>
        <v>#N/A</v>
      </c>
      <c r="D676" s="476" t="s">
        <v>1748</v>
      </c>
      <c r="E676" s="476" t="s">
        <v>34</v>
      </c>
      <c r="F676" s="476" t="s">
        <v>24</v>
      </c>
      <c r="G676" s="475" t="s">
        <v>2013</v>
      </c>
      <c r="H676" s="516"/>
      <c r="I676" s="477" t="s">
        <v>5</v>
      </c>
      <c r="J676" s="476" t="s">
        <v>6</v>
      </c>
      <c r="K676" s="476" t="s">
        <v>7</v>
      </c>
      <c r="L676" s="184">
        <v>41669</v>
      </c>
      <c r="M676" s="184">
        <v>42718</v>
      </c>
      <c r="N676" s="480">
        <v>3520466.49</v>
      </c>
      <c r="O676" s="478" t="str">
        <f>IFERROR(VLOOKUP(A676,[1]Approval!A:C,3,FALSE),"")</f>
        <v>FIN Approval - External</v>
      </c>
      <c r="P676" s="184">
        <f>IFERROR(VLOOKUP(A676,[1]Approval!A:J,10,FALSE),"")</f>
        <v>42718</v>
      </c>
      <c r="R676" s="425">
        <f>2020-YEAR(Table227[[#This Row],[In-
Service
Date]])</f>
        <v>6</v>
      </c>
      <c r="S676" s="308">
        <f>+Table227[[#This Row],[Proj To Date
Actuals]]*1.02^R676</f>
        <v>3964617.059316243</v>
      </c>
    </row>
    <row r="677" spans="1:19" x14ac:dyDescent="0.25">
      <c r="A677" s="476" t="s">
        <v>111</v>
      </c>
      <c r="B677" s="475" t="s">
        <v>4267</v>
      </c>
      <c r="C677" s="422" t="e">
        <f>VLOOKUP(B677,'Matter &amp; CI#'!$D$4:$E$595,2,FALSE)</f>
        <v>#N/A</v>
      </c>
      <c r="D677" s="476" t="s">
        <v>112</v>
      </c>
      <c r="E677" s="476" t="s">
        <v>34</v>
      </c>
      <c r="F677" s="476" t="s">
        <v>24</v>
      </c>
      <c r="G677" s="475" t="s">
        <v>2013</v>
      </c>
      <c r="H677" s="516"/>
      <c r="I677" s="477" t="s">
        <v>5</v>
      </c>
      <c r="J677" s="476" t="s">
        <v>6</v>
      </c>
      <c r="K677" s="476" t="s">
        <v>7</v>
      </c>
      <c r="L677" s="184">
        <v>41671</v>
      </c>
      <c r="M677" s="184">
        <v>42909</v>
      </c>
      <c r="N677" s="480">
        <v>1262145.8600000001</v>
      </c>
      <c r="O677" s="478" t="str">
        <f>IFERROR(VLOOKUP(A677,[1]Approval!A:C,3,FALSE),"")</f>
        <v>FIN Approval - Internal</v>
      </c>
      <c r="P677" s="184">
        <f>IFERROR(VLOOKUP(A677,[1]Approval!A:J,10,FALSE),"")</f>
        <v>42909</v>
      </c>
      <c r="R677" s="425">
        <f>2020-YEAR(Table227[[#This Row],[In-
Service
Date]])</f>
        <v>6</v>
      </c>
      <c r="S677" s="308">
        <f>+Table227[[#This Row],[Proj To Date
Actuals]]*1.02^R677</f>
        <v>1421381.2351616421</v>
      </c>
    </row>
    <row r="678" spans="1:19" x14ac:dyDescent="0.25">
      <c r="A678" s="476" t="s">
        <v>1578</v>
      </c>
      <c r="B678" s="475" t="s">
        <v>4272</v>
      </c>
      <c r="C678" s="422" t="e">
        <f>VLOOKUP(B678,'Matter &amp; CI#'!$D$4:$E$595,2,FALSE)</f>
        <v>#N/A</v>
      </c>
      <c r="D678" s="476" t="s">
        <v>1579</v>
      </c>
      <c r="E678" s="476" t="s">
        <v>34</v>
      </c>
      <c r="F678" s="476" t="s">
        <v>24</v>
      </c>
      <c r="G678" s="475" t="s">
        <v>2013</v>
      </c>
      <c r="H678" s="516"/>
      <c r="I678" s="477" t="s">
        <v>5</v>
      </c>
      <c r="J678" s="476" t="s">
        <v>6</v>
      </c>
      <c r="K678" s="476" t="s">
        <v>7</v>
      </c>
      <c r="L678" s="184">
        <v>41671</v>
      </c>
      <c r="M678" s="184">
        <v>42909</v>
      </c>
      <c r="N678" s="480">
        <v>1322173.32</v>
      </c>
      <c r="O678" s="478" t="str">
        <f>IFERROR(VLOOKUP(A678,[1]Approval!A:C,3,FALSE),"")</f>
        <v>FIN Approval - Internal</v>
      </c>
      <c r="P678" s="184">
        <f>IFERROR(VLOOKUP(A678,[1]Approval!A:J,10,FALSE),"")</f>
        <v>42909</v>
      </c>
      <c r="R678" s="425">
        <f>2020-YEAR(Table227[[#This Row],[In-
Service
Date]])</f>
        <v>6</v>
      </c>
      <c r="S678" s="308">
        <f>+Table227[[#This Row],[Proj To Date
Actuals]]*1.02^R678</f>
        <v>1488981.9047375149</v>
      </c>
    </row>
    <row r="679" spans="1:19" x14ac:dyDescent="0.25">
      <c r="A679" s="476" t="s">
        <v>345</v>
      </c>
      <c r="B679" s="475" t="s">
        <v>4266</v>
      </c>
      <c r="C679" s="422" t="e">
        <f>VLOOKUP(B679,'Matter &amp; CI#'!$D$4:$E$595,2,FALSE)</f>
        <v>#N/A</v>
      </c>
      <c r="D679" s="476" t="s">
        <v>346</v>
      </c>
      <c r="E679" s="476" t="s">
        <v>34</v>
      </c>
      <c r="F679" s="476" t="s">
        <v>24</v>
      </c>
      <c r="G679" s="475" t="s">
        <v>2013</v>
      </c>
      <c r="H679" s="516"/>
      <c r="I679" s="477" t="s">
        <v>5</v>
      </c>
      <c r="J679" s="476" t="s">
        <v>6</v>
      </c>
      <c r="K679" s="476" t="s">
        <v>7</v>
      </c>
      <c r="L679" s="184">
        <v>41711</v>
      </c>
      <c r="M679" s="184">
        <v>42909</v>
      </c>
      <c r="N679" s="480">
        <v>442020.17</v>
      </c>
      <c r="O679" s="478" t="str">
        <f>IFERROR(VLOOKUP(A679,[1]Approval!A:C,3,FALSE),"")</f>
        <v>FIN Approval - Internal</v>
      </c>
      <c r="P679" s="184">
        <f>IFERROR(VLOOKUP(A679,[1]Approval!A:J,10,FALSE),"")</f>
        <v>42909</v>
      </c>
      <c r="R679" s="425">
        <f>2020-YEAR(Table227[[#This Row],[In-
Service
Date]])</f>
        <v>6</v>
      </c>
      <c r="S679" s="308">
        <f>+Table227[[#This Row],[Proj To Date
Actuals]]*1.02^R679</f>
        <v>497786.50401068456</v>
      </c>
    </row>
    <row r="680" spans="1:19" x14ac:dyDescent="0.25">
      <c r="A680" s="476" t="s">
        <v>1552</v>
      </c>
      <c r="B680" s="475" t="s">
        <v>4095</v>
      </c>
      <c r="C680" s="422" t="e">
        <f>VLOOKUP(B680,'Matter &amp; CI#'!$D$4:$E$595,2,FALSE)</f>
        <v>#N/A</v>
      </c>
      <c r="D680" s="476" t="s">
        <v>1553</v>
      </c>
      <c r="E680" s="476" t="s">
        <v>34</v>
      </c>
      <c r="F680" s="476" t="s">
        <v>24</v>
      </c>
      <c r="G680" s="475" t="s">
        <v>2013</v>
      </c>
      <c r="H680" s="516"/>
      <c r="I680" s="477" t="s">
        <v>5</v>
      </c>
      <c r="J680" s="476" t="s">
        <v>6</v>
      </c>
      <c r="K680" s="476" t="s">
        <v>7</v>
      </c>
      <c r="L680" s="184">
        <v>41719</v>
      </c>
      <c r="M680" s="184">
        <v>42909</v>
      </c>
      <c r="N680" s="480">
        <v>1151315.99</v>
      </c>
      <c r="O680" s="478" t="str">
        <f>IFERROR(VLOOKUP(A680,[1]Approval!A:C,3,FALSE),"")</f>
        <v>FIN Approval - External</v>
      </c>
      <c r="P680" s="184">
        <f>IFERROR(VLOOKUP(A680,[1]Approval!A:J,10,FALSE),"")</f>
        <v>42909</v>
      </c>
      <c r="R680" s="425">
        <f>2020-YEAR(Table227[[#This Row],[In-
Service
Date]])</f>
        <v>6</v>
      </c>
      <c r="S680" s="308">
        <f>+Table227[[#This Row],[Proj To Date
Actuals]]*1.02^R680</f>
        <v>1296568.8006357274</v>
      </c>
    </row>
    <row r="681" spans="1:19" x14ac:dyDescent="0.25">
      <c r="A681" s="476" t="s">
        <v>791</v>
      </c>
      <c r="B681" s="475" t="s">
        <v>4176</v>
      </c>
      <c r="C681" s="422" t="e">
        <f>VLOOKUP(B681,'Matter &amp; CI#'!$D$4:$E$595,2,FALSE)</f>
        <v>#N/A</v>
      </c>
      <c r="D681" s="476" t="s">
        <v>792</v>
      </c>
      <c r="E681" s="476" t="s">
        <v>34</v>
      </c>
      <c r="F681" s="476" t="s">
        <v>24</v>
      </c>
      <c r="G681" s="475" t="s">
        <v>2013</v>
      </c>
      <c r="H681" s="516"/>
      <c r="I681" s="477" t="s">
        <v>5</v>
      </c>
      <c r="J681" s="476" t="s">
        <v>6</v>
      </c>
      <c r="K681" s="476" t="s">
        <v>7</v>
      </c>
      <c r="L681" s="184">
        <v>41719</v>
      </c>
      <c r="M681" s="184">
        <v>42909</v>
      </c>
      <c r="N681" s="480">
        <v>235583.46</v>
      </c>
      <c r="O681" s="478" t="str">
        <f>IFERROR(VLOOKUP(A681,[1]Approval!A:C,3,FALSE),"")</f>
        <v>FIN Approval - Internal</v>
      </c>
      <c r="P681" s="184">
        <f>IFERROR(VLOOKUP(A681,[1]Approval!A:J,10,FALSE),"")</f>
        <v>42909</v>
      </c>
      <c r="R681" s="425">
        <f>2020-YEAR(Table227[[#This Row],[In-
Service
Date]])</f>
        <v>6</v>
      </c>
      <c r="S681" s="308">
        <f>+Table227[[#This Row],[Proj To Date
Actuals]]*1.02^R681</f>
        <v>265305.23925218376</v>
      </c>
    </row>
    <row r="682" spans="1:19" x14ac:dyDescent="0.25">
      <c r="A682" s="476" t="s">
        <v>789</v>
      </c>
      <c r="B682" s="475" t="s">
        <v>4194</v>
      </c>
      <c r="C682" s="422" t="e">
        <f>VLOOKUP(B682,'Matter &amp; CI#'!$D$4:$E$595,2,FALSE)</f>
        <v>#N/A</v>
      </c>
      <c r="D682" s="476" t="s">
        <v>790</v>
      </c>
      <c r="E682" s="476" t="s">
        <v>41</v>
      </c>
      <c r="F682" s="476" t="s">
        <v>24</v>
      </c>
      <c r="G682" s="475" t="s">
        <v>2013</v>
      </c>
      <c r="H682" s="516"/>
      <c r="I682" s="477" t="s">
        <v>5</v>
      </c>
      <c r="J682" s="476" t="s">
        <v>6</v>
      </c>
      <c r="K682" s="476" t="s">
        <v>7</v>
      </c>
      <c r="L682" s="184">
        <v>41733</v>
      </c>
      <c r="M682" s="184">
        <v>42428</v>
      </c>
      <c r="N682" s="480">
        <v>2650781.44</v>
      </c>
      <c r="O682" s="478" t="str">
        <f>IFERROR(VLOOKUP(A682,[1]Approval!A:C,3,FALSE),"")</f>
        <v>FIN Approval - Internal</v>
      </c>
      <c r="P682" s="184">
        <f>IFERROR(VLOOKUP(A682,[1]Approval!A:J,10,FALSE),"")</f>
        <v>42423</v>
      </c>
      <c r="R682" s="425">
        <f>2020-YEAR(Table227[[#This Row],[In-
Service
Date]])</f>
        <v>6</v>
      </c>
      <c r="S682" s="308">
        <f>+Table227[[#This Row],[Proj To Date
Actuals]]*1.02^R682</f>
        <v>2985210.43941051</v>
      </c>
    </row>
    <row r="683" spans="1:19" x14ac:dyDescent="0.25">
      <c r="A683" s="476" t="s">
        <v>793</v>
      </c>
      <c r="B683" s="475" t="s">
        <v>4139</v>
      </c>
      <c r="C683" s="422" t="e">
        <f>VLOOKUP(B683,'Matter &amp; CI#'!$D$4:$E$595,2,FALSE)</f>
        <v>#N/A</v>
      </c>
      <c r="D683" s="476" t="s">
        <v>794</v>
      </c>
      <c r="E683" s="476" t="s">
        <v>42</v>
      </c>
      <c r="F683" s="476" t="s">
        <v>24</v>
      </c>
      <c r="G683" s="475" t="s">
        <v>2013</v>
      </c>
      <c r="H683" s="516"/>
      <c r="I683" s="477" t="s">
        <v>5</v>
      </c>
      <c r="J683" s="476" t="s">
        <v>29</v>
      </c>
      <c r="K683" s="476" t="s">
        <v>7</v>
      </c>
      <c r="L683" s="184">
        <v>41813</v>
      </c>
      <c r="M683" s="184">
        <v>42400</v>
      </c>
      <c r="N683" s="480">
        <v>91653.759999999995</v>
      </c>
      <c r="O683" s="478" t="str">
        <f>IFERROR(VLOOKUP(A683,[1]Approval!A:C,3,FALSE),"")</f>
        <v>FIN Approval - Internal</v>
      </c>
      <c r="P683" s="184">
        <f>IFERROR(VLOOKUP(A683,[1]Approval!A:J,10,FALSE),"")</f>
        <v>42418</v>
      </c>
      <c r="R683" s="425">
        <f>2020-YEAR(Table227[[#This Row],[In-
Service
Date]])</f>
        <v>6</v>
      </c>
      <c r="S683" s="308">
        <f>+Table227[[#This Row],[Proj To Date
Actuals]]*1.02^R683</f>
        <v>103217.02009624203</v>
      </c>
    </row>
    <row r="684" spans="1:19" x14ac:dyDescent="0.25">
      <c r="A684" s="476" t="s">
        <v>572</v>
      </c>
      <c r="B684" s="475" t="s">
        <v>4172</v>
      </c>
      <c r="C684" s="422" t="e">
        <f>VLOOKUP(B684,'Matter &amp; CI#'!$D$4:$E$595,2,FALSE)</f>
        <v>#N/A</v>
      </c>
      <c r="D684" s="476" t="s">
        <v>573</v>
      </c>
      <c r="E684" s="476" t="s">
        <v>42</v>
      </c>
      <c r="F684" s="476" t="s">
        <v>24</v>
      </c>
      <c r="G684" s="475" t="s">
        <v>2013</v>
      </c>
      <c r="H684" s="516"/>
      <c r="I684" s="477" t="s">
        <v>5</v>
      </c>
      <c r="J684" s="476" t="s">
        <v>6</v>
      </c>
      <c r="K684" s="476" t="s">
        <v>7</v>
      </c>
      <c r="L684" s="184">
        <v>41820</v>
      </c>
      <c r="M684" s="184">
        <v>42915</v>
      </c>
      <c r="N684" s="480">
        <v>2908944.23</v>
      </c>
      <c r="O684" s="478" t="str">
        <f>IFERROR(VLOOKUP(A684,[1]Approval!A:C,3,FALSE),"")</f>
        <v>FIN Approval - External</v>
      </c>
      <c r="P684" s="184">
        <f>IFERROR(VLOOKUP(A684,[1]Approval!A:J,10,FALSE),"")</f>
        <v>42915</v>
      </c>
      <c r="R684" s="425">
        <f>2020-YEAR(Table227[[#This Row],[In-
Service
Date]])</f>
        <v>6</v>
      </c>
      <c r="S684" s="308">
        <f>+Table227[[#This Row],[Proj To Date
Actuals]]*1.02^R684</f>
        <v>3275943.6715608537</v>
      </c>
    </row>
    <row r="685" spans="1:19" x14ac:dyDescent="0.25">
      <c r="A685" s="476" t="s">
        <v>1823</v>
      </c>
      <c r="B685" s="475" t="s">
        <v>4193</v>
      </c>
      <c r="C685" s="422" t="e">
        <f>VLOOKUP(B685,'Matter &amp; CI#'!$D$4:$E$595,2,FALSE)</f>
        <v>#N/A</v>
      </c>
      <c r="D685" s="476" t="s">
        <v>1824</v>
      </c>
      <c r="E685" s="476" t="s">
        <v>41</v>
      </c>
      <c r="F685" s="476" t="s">
        <v>24</v>
      </c>
      <c r="G685" s="475" t="s">
        <v>2013</v>
      </c>
      <c r="H685" s="516"/>
      <c r="I685" s="477" t="s">
        <v>5</v>
      </c>
      <c r="J685" s="476" t="s">
        <v>6</v>
      </c>
      <c r="K685" s="476" t="s">
        <v>7</v>
      </c>
      <c r="L685" s="184">
        <v>41912</v>
      </c>
      <c r="M685" s="184">
        <v>42428</v>
      </c>
      <c r="N685" s="480">
        <v>1680583.65</v>
      </c>
      <c r="O685" s="478" t="str">
        <f>IFERROR(VLOOKUP(A685,[1]Approval!A:C,3,FALSE),"")</f>
        <v>FIN Approval - Internal</v>
      </c>
      <c r="P685" s="184">
        <f>IFERROR(VLOOKUP(A685,[1]Approval!A:J,10,FALSE),"")</f>
        <v>42423</v>
      </c>
      <c r="R685" s="425">
        <f>2020-YEAR(Table227[[#This Row],[In-
Service
Date]])</f>
        <v>6</v>
      </c>
      <c r="S685" s="308">
        <f>+Table227[[#This Row],[Proj To Date
Actuals]]*1.02^R685</f>
        <v>1892610.1490595234</v>
      </c>
    </row>
    <row r="686" spans="1:19" x14ac:dyDescent="0.25">
      <c r="A686" s="476" t="s">
        <v>1857</v>
      </c>
      <c r="B686" s="475" t="s">
        <v>4317</v>
      </c>
      <c r="C686" s="422" t="e">
        <f>VLOOKUP(B686,'Matter &amp; CI#'!$D$4:$E$595,2,FALSE)</f>
        <v>#N/A</v>
      </c>
      <c r="D686" s="476" t="s">
        <v>1858</v>
      </c>
      <c r="E686" s="476" t="s">
        <v>42</v>
      </c>
      <c r="F686" s="476" t="s">
        <v>24</v>
      </c>
      <c r="G686" s="475" t="s">
        <v>2013</v>
      </c>
      <c r="H686" s="516"/>
      <c r="I686" s="477" t="s">
        <v>5</v>
      </c>
      <c r="J686" s="476" t="s">
        <v>29</v>
      </c>
      <c r="K686" s="476" t="s">
        <v>7</v>
      </c>
      <c r="L686" s="184">
        <v>41912</v>
      </c>
      <c r="M686" s="184">
        <v>42909</v>
      </c>
      <c r="N686" s="480">
        <v>523137.52</v>
      </c>
      <c r="O686" s="478" t="str">
        <f>IFERROR(VLOOKUP(A686,[1]Approval!A:C,3,FALSE),"")</f>
        <v>FIN Approval - Internal</v>
      </c>
      <c r="P686" s="184">
        <f>IFERROR(VLOOKUP(A686,[1]Approval!A:J,10,FALSE),"")</f>
        <v>42909</v>
      </c>
      <c r="R686" s="425">
        <f>2020-YEAR(Table227[[#This Row],[In-
Service
Date]])</f>
        <v>6</v>
      </c>
      <c r="S686" s="308">
        <f>+Table227[[#This Row],[Proj To Date
Actuals]]*1.02^R686</f>
        <v>589137.81513096928</v>
      </c>
    </row>
    <row r="687" spans="1:19" x14ac:dyDescent="0.25">
      <c r="A687" s="476" t="s">
        <v>1839</v>
      </c>
      <c r="B687" s="475" t="s">
        <v>4219</v>
      </c>
      <c r="C687" s="422" t="e">
        <f>VLOOKUP(B687,'Matter &amp; CI#'!$D$4:$E$595,2,FALSE)</f>
        <v>#N/A</v>
      </c>
      <c r="D687" s="476" t="s">
        <v>1840</v>
      </c>
      <c r="E687" s="476" t="s">
        <v>78</v>
      </c>
      <c r="F687" s="476" t="s">
        <v>24</v>
      </c>
      <c r="G687" s="475" t="s">
        <v>2013</v>
      </c>
      <c r="H687" s="516"/>
      <c r="I687" s="477" t="s">
        <v>5</v>
      </c>
      <c r="J687" s="476" t="s">
        <v>6</v>
      </c>
      <c r="K687" s="476" t="s">
        <v>7</v>
      </c>
      <c r="L687" s="184">
        <v>41929</v>
      </c>
      <c r="M687" s="184">
        <v>43556</v>
      </c>
      <c r="N687" s="480">
        <v>4270257.5999999996</v>
      </c>
      <c r="O687" s="478" t="str">
        <f>IFERROR(VLOOKUP(A687,[1]Approval!A:C,3,FALSE),"")</f>
        <v>FIN Approval - External</v>
      </c>
      <c r="P687" s="184">
        <f>IFERROR(VLOOKUP(A687,[1]Approval!A:J,10,FALSE),"")</f>
        <v>43468</v>
      </c>
      <c r="R687" s="425">
        <f>2020-YEAR(Table227[[#This Row],[In-
Service
Date]])</f>
        <v>6</v>
      </c>
      <c r="S687" s="308">
        <f>+Table227[[#This Row],[Proj To Date
Actuals]]*1.02^R687</f>
        <v>4809003.6296964819</v>
      </c>
    </row>
    <row r="688" spans="1:19" x14ac:dyDescent="0.25">
      <c r="A688" s="476" t="s">
        <v>568</v>
      </c>
      <c r="B688" s="475" t="s">
        <v>4268</v>
      </c>
      <c r="C688" s="422" t="e">
        <f>VLOOKUP(B688,'Matter &amp; CI#'!$D$4:$E$595,2,FALSE)</f>
        <v>#N/A</v>
      </c>
      <c r="D688" s="476" t="s">
        <v>569</v>
      </c>
      <c r="E688" s="476" t="s">
        <v>42</v>
      </c>
      <c r="F688" s="476" t="s">
        <v>24</v>
      </c>
      <c r="G688" s="475" t="s">
        <v>2013</v>
      </c>
      <c r="H688" s="516"/>
      <c r="I688" s="477" t="s">
        <v>5</v>
      </c>
      <c r="J688" s="476" t="s">
        <v>6</v>
      </c>
      <c r="K688" s="476" t="s">
        <v>7</v>
      </c>
      <c r="L688" s="184">
        <v>41935</v>
      </c>
      <c r="M688" s="184">
        <v>42751</v>
      </c>
      <c r="N688" s="480">
        <v>784409.1</v>
      </c>
      <c r="O688" s="478" t="str">
        <f>IFERROR(VLOOKUP(A688,[1]Approval!A:C,3,FALSE),"")</f>
        <v>FIN Approval - Internal</v>
      </c>
      <c r="P688" s="184">
        <f>IFERROR(VLOOKUP(A688,[1]Approval!A:J,10,FALSE),"")</f>
        <v>42751</v>
      </c>
      <c r="R688" s="425">
        <f>2020-YEAR(Table227[[#This Row],[In-
Service
Date]])</f>
        <v>6</v>
      </c>
      <c r="S688" s="308">
        <f>+Table227[[#This Row],[Proj To Date
Actuals]]*1.02^R688</f>
        <v>883372.04974869697</v>
      </c>
    </row>
    <row r="689" spans="1:19" x14ac:dyDescent="0.25">
      <c r="A689" s="476" t="s">
        <v>1498</v>
      </c>
      <c r="B689" s="475" t="s">
        <v>4026</v>
      </c>
      <c r="C689" s="422" t="e">
        <f>VLOOKUP(B689,'Matter &amp; CI#'!$D$4:$E$595,2,FALSE)</f>
        <v>#N/A</v>
      </c>
      <c r="D689" s="476" t="s">
        <v>1499</v>
      </c>
      <c r="E689" s="476" t="s">
        <v>50</v>
      </c>
      <c r="F689" s="476" t="s">
        <v>24</v>
      </c>
      <c r="G689" s="475" t="s">
        <v>2013</v>
      </c>
      <c r="H689" s="516"/>
      <c r="I689" s="477" t="s">
        <v>5</v>
      </c>
      <c r="J689" s="476" t="s">
        <v>29</v>
      </c>
      <c r="K689" s="476" t="s">
        <v>7</v>
      </c>
      <c r="L689" s="184">
        <v>41941</v>
      </c>
      <c r="M689" s="184">
        <v>42752</v>
      </c>
      <c r="N689" s="480">
        <v>305021.65000000002</v>
      </c>
      <c r="O689" s="478" t="str">
        <f>IFERROR(VLOOKUP(A689,[1]Approval!A:C,3,FALSE),"")</f>
        <v>FIN Approval - Internal</v>
      </c>
      <c r="P689" s="184">
        <f>IFERROR(VLOOKUP(A689,[1]Approval!A:J,10,FALSE),"")</f>
        <v>42752</v>
      </c>
      <c r="R689" s="425">
        <f>2020-YEAR(Table227[[#This Row],[In-
Service
Date]])</f>
        <v>6</v>
      </c>
      <c r="S689" s="308">
        <f>+Table227[[#This Row],[Proj To Date
Actuals]]*1.02^R689</f>
        <v>343503.91929189709</v>
      </c>
    </row>
    <row r="690" spans="1:19" x14ac:dyDescent="0.25">
      <c r="A690" s="476" t="s">
        <v>1280</v>
      </c>
      <c r="B690" s="475" t="s">
        <v>4105</v>
      </c>
      <c r="C690" s="422" t="e">
        <f>VLOOKUP(B690,'Matter &amp; CI#'!$D$4:$E$595,2,FALSE)</f>
        <v>#N/A</v>
      </c>
      <c r="D690" s="476" t="s">
        <v>1281</v>
      </c>
      <c r="E690" s="476" t="s">
        <v>34</v>
      </c>
      <c r="F690" s="476" t="s">
        <v>24</v>
      </c>
      <c r="G690" s="475" t="s">
        <v>2013</v>
      </c>
      <c r="H690" s="516"/>
      <c r="I690" s="477" t="s">
        <v>5</v>
      </c>
      <c r="J690" s="476" t="s">
        <v>6</v>
      </c>
      <c r="K690" s="476" t="s">
        <v>7</v>
      </c>
      <c r="L690" s="184">
        <v>41941</v>
      </c>
      <c r="M690" s="184">
        <v>42913</v>
      </c>
      <c r="N690" s="480">
        <v>455177.83</v>
      </c>
      <c r="O690" s="478" t="str">
        <f>IFERROR(VLOOKUP(A690,[1]Approval!A:C,3,FALSE),"")</f>
        <v>FIN Approval - Internal</v>
      </c>
      <c r="P690" s="184">
        <f>IFERROR(VLOOKUP(A690,[1]Approval!A:J,10,FALSE),"")</f>
        <v>42913</v>
      </c>
      <c r="R690" s="425">
        <f>2020-YEAR(Table227[[#This Row],[In-
Service
Date]])</f>
        <v>6</v>
      </c>
      <c r="S690" s="308">
        <f>+Table227[[#This Row],[Proj To Date
Actuals]]*1.02^R690</f>
        <v>512604.16622813779</v>
      </c>
    </row>
    <row r="691" spans="1:19" x14ac:dyDescent="0.25">
      <c r="A691" s="476" t="s">
        <v>809</v>
      </c>
      <c r="B691" s="475" t="s">
        <v>4220</v>
      </c>
      <c r="C691" s="422" t="e">
        <f>VLOOKUP(B691,'Matter &amp; CI#'!$D$4:$E$595,2,FALSE)</f>
        <v>#N/A</v>
      </c>
      <c r="D691" s="476" t="s">
        <v>810</v>
      </c>
      <c r="E691" s="476" t="s">
        <v>78</v>
      </c>
      <c r="F691" s="476" t="s">
        <v>24</v>
      </c>
      <c r="G691" s="475" t="s">
        <v>2013</v>
      </c>
      <c r="H691" s="516"/>
      <c r="I691" s="477" t="s">
        <v>5</v>
      </c>
      <c r="J691" s="476" t="s">
        <v>6</v>
      </c>
      <c r="K691" s="476" t="s">
        <v>28</v>
      </c>
      <c r="L691" s="184">
        <v>41943</v>
      </c>
      <c r="N691" s="480">
        <v>5179766.6500000004</v>
      </c>
      <c r="O691" s="478" t="str">
        <f>IFERROR(VLOOKUP(A691,[1]Approval!A:C,3,FALSE),"")</f>
        <v>FIN Approval - External</v>
      </c>
      <c r="P691" s="184">
        <f>IFERROR(VLOOKUP(A691,[1]Approval!A:J,10,FALSE),"")</f>
        <v>43483</v>
      </c>
      <c r="R691" s="425">
        <f>2020-YEAR(Table227[[#This Row],[In-
Service
Date]])</f>
        <v>6</v>
      </c>
      <c r="S691" s="308">
        <f>+Table227[[#This Row],[Proj To Date
Actuals]]*1.02^R691</f>
        <v>5833258.5417869855</v>
      </c>
    </row>
    <row r="692" spans="1:19" x14ac:dyDescent="0.25">
      <c r="A692" s="476" t="s">
        <v>113</v>
      </c>
      <c r="B692" s="475" t="s">
        <v>4216</v>
      </c>
      <c r="C692" s="422" t="e">
        <f>VLOOKUP(B692,'Matter &amp; CI#'!$D$4:$E$595,2,FALSE)</f>
        <v>#N/A</v>
      </c>
      <c r="D692" s="476" t="s">
        <v>114</v>
      </c>
      <c r="E692" s="476" t="s">
        <v>115</v>
      </c>
      <c r="F692" s="476" t="s">
        <v>24</v>
      </c>
      <c r="G692" s="475" t="s">
        <v>2013</v>
      </c>
      <c r="H692" s="516"/>
      <c r="I692" s="477" t="s">
        <v>5</v>
      </c>
      <c r="J692" s="476" t="s">
        <v>6</v>
      </c>
      <c r="K692" s="476" t="s">
        <v>7</v>
      </c>
      <c r="L692" s="184">
        <v>41967</v>
      </c>
      <c r="M692" s="184">
        <v>42915</v>
      </c>
      <c r="N692" s="480">
        <v>478660.11</v>
      </c>
      <c r="O692" s="478" t="str">
        <f>IFERROR(VLOOKUP(A692,[1]Approval!A:C,3,FALSE),"")</f>
        <v>FIN Approval - Internal</v>
      </c>
      <c r="P692" s="184">
        <f>IFERROR(VLOOKUP(A692,[1]Approval!A:J,10,FALSE),"")</f>
        <v>42915</v>
      </c>
      <c r="R692" s="425">
        <f>2020-YEAR(Table227[[#This Row],[In-
Service
Date]])</f>
        <v>6</v>
      </c>
      <c r="S692" s="308">
        <f>+Table227[[#This Row],[Proj To Date
Actuals]]*1.02^R692</f>
        <v>539049.02748277236</v>
      </c>
    </row>
    <row r="693" spans="1:19" x14ac:dyDescent="0.25">
      <c r="A693" s="476" t="s">
        <v>1308</v>
      </c>
      <c r="B693" s="475" t="s">
        <v>4215</v>
      </c>
      <c r="C693" s="422" t="e">
        <f>VLOOKUP(B693,'Matter &amp; CI#'!$D$4:$E$595,2,FALSE)</f>
        <v>#N/A</v>
      </c>
      <c r="D693" s="476" t="s">
        <v>1309</v>
      </c>
      <c r="E693" s="476" t="s">
        <v>115</v>
      </c>
      <c r="F693" s="476" t="s">
        <v>24</v>
      </c>
      <c r="G693" s="475" t="s">
        <v>2013</v>
      </c>
      <c r="H693" s="516"/>
      <c r="I693" s="477" t="s">
        <v>5</v>
      </c>
      <c r="J693" s="476" t="s">
        <v>6</v>
      </c>
      <c r="K693" s="476" t="s">
        <v>7</v>
      </c>
      <c r="L693" s="184">
        <v>41971</v>
      </c>
      <c r="M693" s="184">
        <v>42915</v>
      </c>
      <c r="N693" s="480">
        <v>835040.36</v>
      </c>
      <c r="O693" s="478" t="str">
        <f>IFERROR(VLOOKUP(A693,[1]Approval!A:C,3,FALSE),"")</f>
        <v>FIN Approval - Internal</v>
      </c>
      <c r="P693" s="184">
        <f>IFERROR(VLOOKUP(A693,[1]Approval!A:J,10,FALSE),"")</f>
        <v>42915</v>
      </c>
      <c r="R693" s="425">
        <f>2020-YEAR(Table227[[#This Row],[In-
Service
Date]])</f>
        <v>6</v>
      </c>
      <c r="S693" s="308">
        <f>+Table227[[#This Row],[Proj To Date
Actuals]]*1.02^R693</f>
        <v>940391.07200068154</v>
      </c>
    </row>
    <row r="694" spans="1:19" x14ac:dyDescent="0.25">
      <c r="A694" s="476" t="s">
        <v>1304</v>
      </c>
      <c r="B694" s="475" t="s">
        <v>4217</v>
      </c>
      <c r="C694" s="422" t="e">
        <f>VLOOKUP(B694,'Matter &amp; CI#'!$D$4:$E$595,2,FALSE)</f>
        <v>#N/A</v>
      </c>
      <c r="D694" s="476" t="s">
        <v>1305</v>
      </c>
      <c r="E694" s="476" t="s">
        <v>115</v>
      </c>
      <c r="F694" s="476" t="s">
        <v>24</v>
      </c>
      <c r="G694" s="475" t="s">
        <v>2013</v>
      </c>
      <c r="H694" s="516"/>
      <c r="I694" s="477" t="s">
        <v>5</v>
      </c>
      <c r="J694" s="476" t="s">
        <v>6</v>
      </c>
      <c r="K694" s="476" t="s">
        <v>7</v>
      </c>
      <c r="L694" s="184">
        <v>41971</v>
      </c>
      <c r="M694" s="184">
        <v>42915</v>
      </c>
      <c r="N694" s="480">
        <v>1208366.32</v>
      </c>
      <c r="O694" s="478" t="str">
        <f>IFERROR(VLOOKUP(A694,[1]Approval!A:C,3,FALSE),"")</f>
        <v>FIN Approval - Internal</v>
      </c>
      <c r="P694" s="184">
        <f>IFERROR(VLOOKUP(A694,[1]Approval!A:J,10,FALSE),"")</f>
        <v>42940</v>
      </c>
      <c r="R694" s="425">
        <f>2020-YEAR(Table227[[#This Row],[In-
Service
Date]])</f>
        <v>6</v>
      </c>
      <c r="S694" s="308">
        <f>+Table227[[#This Row],[Proj To Date
Actuals]]*1.02^R694</f>
        <v>1360816.7382883369</v>
      </c>
    </row>
    <row r="695" spans="1:19" x14ac:dyDescent="0.25">
      <c r="A695" s="476" t="s">
        <v>1328</v>
      </c>
      <c r="B695" s="475" t="s">
        <v>4388</v>
      </c>
      <c r="C695" s="422" t="e">
        <f>VLOOKUP(B695,'Matter &amp; CI#'!$D$4:$E$595,2,FALSE)</f>
        <v>#N/A</v>
      </c>
      <c r="D695" s="476" t="s">
        <v>1329</v>
      </c>
      <c r="E695" s="476" t="s">
        <v>115</v>
      </c>
      <c r="F695" s="476" t="s">
        <v>24</v>
      </c>
      <c r="G695" s="475" t="s">
        <v>2013</v>
      </c>
      <c r="H695" s="516"/>
      <c r="I695" s="477" t="s">
        <v>5</v>
      </c>
      <c r="J695" s="476" t="s">
        <v>6</v>
      </c>
      <c r="K695" s="476" t="s">
        <v>7</v>
      </c>
      <c r="L695" s="184">
        <v>41988</v>
      </c>
      <c r="M695" s="184">
        <v>43922</v>
      </c>
      <c r="N695" s="480">
        <v>1085295.48</v>
      </c>
      <c r="O695" s="478" t="str">
        <f>IFERROR(VLOOKUP(A695,[1]Approval!A:C,3,FALSE),"")</f>
        <v>FIN Approval - Internal</v>
      </c>
      <c r="P695" s="184">
        <f>IFERROR(VLOOKUP(A695,[1]Approval!A:J,10,FALSE),"")</f>
        <v>43906</v>
      </c>
      <c r="R695" s="425">
        <f>2020-YEAR(Table227[[#This Row],[In-
Service
Date]])</f>
        <v>6</v>
      </c>
      <c r="S695" s="308">
        <f>+Table227[[#This Row],[Proj To Date
Actuals]]*1.02^R695</f>
        <v>1222218.9833730841</v>
      </c>
    </row>
    <row r="696" spans="1:19" x14ac:dyDescent="0.25">
      <c r="A696" s="476" t="s">
        <v>359</v>
      </c>
      <c r="B696" s="475" t="s">
        <v>4279</v>
      </c>
      <c r="C696" s="422" t="e">
        <f>VLOOKUP(B696,'Matter &amp; CI#'!$D$4:$E$595,2,FALSE)</f>
        <v>#N/A</v>
      </c>
      <c r="D696" s="476" t="s">
        <v>360</v>
      </c>
      <c r="E696" s="476" t="s">
        <v>34</v>
      </c>
      <c r="F696" s="476" t="s">
        <v>24</v>
      </c>
      <c r="G696" s="475" t="s">
        <v>2013</v>
      </c>
      <c r="H696" s="516"/>
      <c r="I696" s="477" t="s">
        <v>5</v>
      </c>
      <c r="J696" s="476" t="s">
        <v>6</v>
      </c>
      <c r="K696" s="476" t="s">
        <v>7</v>
      </c>
      <c r="L696" s="184">
        <v>42004</v>
      </c>
      <c r="M696" s="184">
        <v>42718</v>
      </c>
      <c r="N696" s="480">
        <v>115602.71</v>
      </c>
      <c r="O696" s="478" t="str">
        <f>IFERROR(VLOOKUP(A696,[1]Approval!A:C,3,FALSE),"")</f>
        <v>FIN Approval - Internal</v>
      </c>
      <c r="P696" s="184">
        <f>IFERROR(VLOOKUP(A696,[1]Approval!A:J,10,FALSE),"")</f>
        <v>42718</v>
      </c>
      <c r="R696" s="425">
        <f>2020-YEAR(Table227[[#This Row],[In-
Service
Date]])</f>
        <v>6</v>
      </c>
      <c r="S696" s="308">
        <f>+Table227[[#This Row],[Proj To Date
Actuals]]*1.02^R696</f>
        <v>130187.42756707461</v>
      </c>
    </row>
    <row r="697" spans="1:19" x14ac:dyDescent="0.25">
      <c r="A697" s="476" t="s">
        <v>1586</v>
      </c>
      <c r="B697" s="475" t="s">
        <v>4316</v>
      </c>
      <c r="C697" s="422" t="e">
        <f>VLOOKUP(B697,'Matter &amp; CI#'!$D$4:$E$595,2,FALSE)</f>
        <v>#N/A</v>
      </c>
      <c r="D697" s="476" t="s">
        <v>1587</v>
      </c>
      <c r="E697" s="476" t="s">
        <v>50</v>
      </c>
      <c r="F697" s="476" t="s">
        <v>24</v>
      </c>
      <c r="G697" s="475" t="s">
        <v>2013</v>
      </c>
      <c r="H697" s="516"/>
      <c r="I697" s="477" t="s">
        <v>5</v>
      </c>
      <c r="J697" s="476" t="s">
        <v>29</v>
      </c>
      <c r="K697" s="476" t="s">
        <v>7</v>
      </c>
      <c r="L697" s="184">
        <v>42012</v>
      </c>
      <c r="M697" s="184">
        <v>42613</v>
      </c>
      <c r="N697" s="480">
        <v>493256.93</v>
      </c>
      <c r="O697" s="478" t="str">
        <f>IFERROR(VLOOKUP(A697,[1]Approval!A:C,3,FALSE),"")</f>
        <v>FIN Approval - Internal</v>
      </c>
      <c r="P697" s="184">
        <f>IFERROR(VLOOKUP(A697,[1]Approval!A:J,10,FALSE),"")</f>
        <v>42625</v>
      </c>
      <c r="R697" s="425">
        <f>2020-YEAR(Table227[[#This Row],[In-
Service
Date]])</f>
        <v>5</v>
      </c>
      <c r="S697" s="308">
        <f>+Table227[[#This Row],[Proj To Date
Actuals]]*1.02^R697</f>
        <v>544595.50745836622</v>
      </c>
    </row>
    <row r="698" spans="1:19" x14ac:dyDescent="0.25">
      <c r="A698" s="476" t="s">
        <v>1060</v>
      </c>
      <c r="B698" s="475" t="s">
        <v>4205</v>
      </c>
      <c r="C698" s="422" t="e">
        <f>VLOOKUP(B698,'Matter &amp; CI#'!$D$4:$E$595,2,FALSE)</f>
        <v>#N/A</v>
      </c>
      <c r="D698" s="476" t="s">
        <v>1061</v>
      </c>
      <c r="E698" s="476" t="s">
        <v>34</v>
      </c>
      <c r="F698" s="476" t="s">
        <v>24</v>
      </c>
      <c r="G698" s="475" t="s">
        <v>2013</v>
      </c>
      <c r="H698" s="516"/>
      <c r="I698" s="477" t="s">
        <v>5</v>
      </c>
      <c r="J698" s="476" t="s">
        <v>6</v>
      </c>
      <c r="K698" s="476" t="s">
        <v>7</v>
      </c>
      <c r="L698" s="184">
        <v>42035</v>
      </c>
      <c r="M698" s="184">
        <v>42752</v>
      </c>
      <c r="N698" s="480">
        <v>119223.28</v>
      </c>
      <c r="O698" s="478" t="str">
        <f>IFERROR(VLOOKUP(A698,[1]Approval!A:C,3,FALSE),"")</f>
        <v>FIN Approval - Internal</v>
      </c>
      <c r="P698" s="184">
        <f>IFERROR(VLOOKUP(A698,[1]Approval!A:J,10,FALSE),"")</f>
        <v>42752</v>
      </c>
      <c r="R698" s="425">
        <f>2020-YEAR(Table227[[#This Row],[In-
Service
Date]])</f>
        <v>5</v>
      </c>
      <c r="S698" s="308">
        <f>+Table227[[#This Row],[Proj To Date
Actuals]]*1.02^R698</f>
        <v>131632.1347425385</v>
      </c>
    </row>
    <row r="699" spans="1:19" x14ac:dyDescent="0.25">
      <c r="A699" s="476" t="s">
        <v>1324</v>
      </c>
      <c r="B699" s="475" t="s">
        <v>4276</v>
      </c>
      <c r="C699" s="422" t="e">
        <f>VLOOKUP(B699,'Matter &amp; CI#'!$D$4:$E$595,2,FALSE)</f>
        <v>#N/A</v>
      </c>
      <c r="D699" s="476" t="s">
        <v>1325</v>
      </c>
      <c r="E699" s="476" t="s">
        <v>42</v>
      </c>
      <c r="F699" s="476" t="s">
        <v>24</v>
      </c>
      <c r="G699" s="475" t="s">
        <v>2013</v>
      </c>
      <c r="H699" s="516"/>
      <c r="I699" s="477" t="s">
        <v>5</v>
      </c>
      <c r="J699" s="476" t="s">
        <v>6</v>
      </c>
      <c r="K699" s="476" t="s">
        <v>7</v>
      </c>
      <c r="L699" s="184">
        <v>42035</v>
      </c>
      <c r="M699" s="184">
        <v>43586</v>
      </c>
      <c r="N699" s="480">
        <v>831031.91</v>
      </c>
      <c r="O699" s="478" t="str">
        <f>IFERROR(VLOOKUP(A699,[1]Approval!A:C,3,FALSE),"")</f>
        <v>FIN Approval - Internal</v>
      </c>
      <c r="P699" s="184">
        <f>IFERROR(VLOOKUP(A699,[1]Approval!A:J,10,FALSE),"")</f>
        <v>43549</v>
      </c>
      <c r="R699" s="425">
        <f>2020-YEAR(Table227[[#This Row],[In-
Service
Date]])</f>
        <v>5</v>
      </c>
      <c r="S699" s="308">
        <f>+Table227[[#This Row],[Proj To Date
Actuals]]*1.02^R699</f>
        <v>917526.37867763021</v>
      </c>
    </row>
    <row r="700" spans="1:19" x14ac:dyDescent="0.25">
      <c r="A700" s="476" t="s">
        <v>825</v>
      </c>
      <c r="B700" s="475" t="s">
        <v>4313</v>
      </c>
      <c r="C700" s="422" t="e">
        <f>VLOOKUP(B700,'Matter &amp; CI#'!$D$4:$E$595,2,FALSE)</f>
        <v>#N/A</v>
      </c>
      <c r="D700" s="476" t="s">
        <v>826</v>
      </c>
      <c r="E700" s="476" t="s">
        <v>42</v>
      </c>
      <c r="F700" s="476" t="s">
        <v>24</v>
      </c>
      <c r="G700" s="475" t="s">
        <v>2013</v>
      </c>
      <c r="H700" s="516"/>
      <c r="I700" s="477" t="s">
        <v>5</v>
      </c>
      <c r="J700" s="476" t="s">
        <v>29</v>
      </c>
      <c r="K700" s="476" t="s">
        <v>7</v>
      </c>
      <c r="L700" s="184">
        <v>42035</v>
      </c>
      <c r="M700" s="184">
        <v>42909</v>
      </c>
      <c r="N700" s="480">
        <v>195188.76</v>
      </c>
      <c r="O700" s="478" t="str">
        <f>IFERROR(VLOOKUP(A700,[1]Approval!A:C,3,FALSE),"")</f>
        <v>FIN Approval - Internal</v>
      </c>
      <c r="P700" s="184">
        <f>IFERROR(VLOOKUP(A700,[1]Approval!A:J,10,FALSE),"")</f>
        <v>42909</v>
      </c>
      <c r="R700" s="425">
        <f>2020-YEAR(Table227[[#This Row],[In-
Service
Date]])</f>
        <v>5</v>
      </c>
      <c r="S700" s="308">
        <f>+Table227[[#This Row],[Proj To Date
Actuals]]*1.02^R700</f>
        <v>215504.16291641205</v>
      </c>
    </row>
    <row r="701" spans="1:19" x14ac:dyDescent="0.25">
      <c r="A701" s="476" t="s">
        <v>586</v>
      </c>
      <c r="B701" s="475" t="s">
        <v>4391</v>
      </c>
      <c r="C701" s="422" t="e">
        <f>VLOOKUP(B701,'Matter &amp; CI#'!$D$4:$E$595,2,FALSE)</f>
        <v>#N/A</v>
      </c>
      <c r="D701" s="476" t="s">
        <v>587</v>
      </c>
      <c r="E701" s="476" t="s">
        <v>42</v>
      </c>
      <c r="F701" s="476" t="s">
        <v>24</v>
      </c>
      <c r="G701" s="475" t="s">
        <v>2013</v>
      </c>
      <c r="H701" s="516"/>
      <c r="I701" s="477" t="s">
        <v>5</v>
      </c>
      <c r="J701" s="476" t="s">
        <v>29</v>
      </c>
      <c r="K701" s="476" t="s">
        <v>7</v>
      </c>
      <c r="L701" s="184">
        <v>42035</v>
      </c>
      <c r="M701" s="184">
        <v>42940</v>
      </c>
      <c r="N701" s="480">
        <v>296981.06</v>
      </c>
      <c r="O701" s="478" t="str">
        <f>IFERROR(VLOOKUP(A701,[1]Approval!A:C,3,FALSE),"")</f>
        <v>FIN Approval - Internal</v>
      </c>
      <c r="P701" s="184">
        <f>IFERROR(VLOOKUP(A701,[1]Approval!A:J,10,FALSE),"")</f>
        <v>42940</v>
      </c>
      <c r="R701" s="425">
        <f>2020-YEAR(Table227[[#This Row],[In-
Service
Date]])</f>
        <v>5</v>
      </c>
      <c r="S701" s="308">
        <f>+Table227[[#This Row],[Proj To Date
Actuals]]*1.02^R701</f>
        <v>327891.08725998737</v>
      </c>
    </row>
    <row r="702" spans="1:19" x14ac:dyDescent="0.25">
      <c r="A702" s="476" t="s">
        <v>564</v>
      </c>
      <c r="B702" s="475" t="s">
        <v>4202</v>
      </c>
      <c r="C702" s="422" t="e">
        <f>VLOOKUP(B702,'Matter &amp; CI#'!$D$4:$E$595,2,FALSE)</f>
        <v>#N/A</v>
      </c>
      <c r="D702" s="476" t="s">
        <v>565</v>
      </c>
      <c r="E702" s="476" t="s">
        <v>34</v>
      </c>
      <c r="F702" s="476" t="s">
        <v>24</v>
      </c>
      <c r="G702" s="475" t="s">
        <v>2013</v>
      </c>
      <c r="H702" s="516"/>
      <c r="I702" s="477" t="s">
        <v>5</v>
      </c>
      <c r="J702" s="476" t="s">
        <v>6</v>
      </c>
      <c r="K702" s="476" t="s">
        <v>7</v>
      </c>
      <c r="L702" s="184">
        <v>42063</v>
      </c>
      <c r="M702" s="184">
        <v>43862</v>
      </c>
      <c r="N702" s="480">
        <v>1840076.53</v>
      </c>
      <c r="O702" s="478" t="str">
        <f>IFERROR(VLOOKUP(A702,[1]Approval!A:C,3,FALSE),"")</f>
        <v>FIN Approval - Internal</v>
      </c>
      <c r="P702" s="184">
        <f>IFERROR(VLOOKUP(A702,[1]Approval!A:J,10,FALSE),"")</f>
        <v>43700</v>
      </c>
      <c r="R702" s="425">
        <f>2020-YEAR(Table227[[#This Row],[In-
Service
Date]])</f>
        <v>5</v>
      </c>
      <c r="S702" s="308">
        <f>+Table227[[#This Row],[Proj To Date
Actuals]]*1.02^R702</f>
        <v>2031593.1731918689</v>
      </c>
    </row>
    <row r="703" spans="1:19" x14ac:dyDescent="0.25">
      <c r="A703" s="476" t="s">
        <v>96</v>
      </c>
      <c r="B703" s="475" t="s">
        <v>4203</v>
      </c>
      <c r="C703" s="422" t="e">
        <f>VLOOKUP(B703,'Matter &amp; CI#'!$D$4:$E$595,2,FALSE)</f>
        <v>#N/A</v>
      </c>
      <c r="D703" s="476" t="s">
        <v>97</v>
      </c>
      <c r="E703" s="476" t="s">
        <v>34</v>
      </c>
      <c r="F703" s="476" t="s">
        <v>24</v>
      </c>
      <c r="G703" s="475" t="s">
        <v>2013</v>
      </c>
      <c r="H703" s="516"/>
      <c r="I703" s="477" t="s">
        <v>5</v>
      </c>
      <c r="J703" s="476" t="s">
        <v>6</v>
      </c>
      <c r="K703" s="476" t="s">
        <v>7</v>
      </c>
      <c r="L703" s="184">
        <v>42063</v>
      </c>
      <c r="M703" s="184">
        <v>42751</v>
      </c>
      <c r="N703" s="480">
        <v>515620.29</v>
      </c>
      <c r="O703" s="478" t="str">
        <f>IFERROR(VLOOKUP(A703,[1]Approval!A:C,3,FALSE),"")</f>
        <v>FIN Approval - Internal</v>
      </c>
      <c r="P703" s="184">
        <f>IFERROR(VLOOKUP(A703,[1]Approval!A:J,10,FALSE),"")</f>
        <v>42751</v>
      </c>
      <c r="R703" s="425">
        <f>2020-YEAR(Table227[[#This Row],[In-
Service
Date]])</f>
        <v>5</v>
      </c>
      <c r="S703" s="308">
        <f>+Table227[[#This Row],[Proj To Date
Actuals]]*1.02^R703</f>
        <v>569286.46392941696</v>
      </c>
    </row>
    <row r="704" spans="1:19" x14ac:dyDescent="0.25">
      <c r="A704" s="476" t="s">
        <v>1300</v>
      </c>
      <c r="B704" s="475" t="s">
        <v>4207</v>
      </c>
      <c r="C704" s="422" t="e">
        <f>VLOOKUP(B704,'Matter &amp; CI#'!$D$4:$E$595,2,FALSE)</f>
        <v>#N/A</v>
      </c>
      <c r="D704" s="476" t="s">
        <v>1301</v>
      </c>
      <c r="E704" s="476" t="s">
        <v>34</v>
      </c>
      <c r="F704" s="476" t="s">
        <v>24</v>
      </c>
      <c r="G704" s="475" t="s">
        <v>2013</v>
      </c>
      <c r="H704" s="516"/>
      <c r="I704" s="477" t="s">
        <v>5</v>
      </c>
      <c r="J704" s="476" t="s">
        <v>6</v>
      </c>
      <c r="K704" s="476" t="s">
        <v>7</v>
      </c>
      <c r="L704" s="184">
        <v>42063</v>
      </c>
      <c r="M704" s="184">
        <v>43922</v>
      </c>
      <c r="N704" s="480">
        <v>42507.92</v>
      </c>
      <c r="O704" s="478" t="str">
        <f>IFERROR(VLOOKUP(A704,[1]Approval!A:C,3,FALSE),"")</f>
        <v>FIN Approval - Internal</v>
      </c>
      <c r="P704" s="184">
        <f>IFERROR(VLOOKUP(A704,[1]Approval!A:J,10,FALSE),"")</f>
        <v>43915</v>
      </c>
      <c r="R704" s="425">
        <f>2020-YEAR(Table227[[#This Row],[In-
Service
Date]])</f>
        <v>5</v>
      </c>
      <c r="S704" s="308">
        <f>+Table227[[#This Row],[Proj To Date
Actuals]]*1.02^R704</f>
        <v>46932.178455961344</v>
      </c>
    </row>
    <row r="705" spans="1:19" x14ac:dyDescent="0.25">
      <c r="A705" s="476" t="s">
        <v>373</v>
      </c>
      <c r="B705" s="475" t="s">
        <v>4371</v>
      </c>
      <c r="C705" s="422" t="e">
        <f>VLOOKUP(B705,'Matter &amp; CI#'!$D$4:$E$595,2,FALSE)</f>
        <v>#N/A</v>
      </c>
      <c r="D705" s="476" t="s">
        <v>374</v>
      </c>
      <c r="E705" s="476" t="s">
        <v>42</v>
      </c>
      <c r="F705" s="476" t="s">
        <v>24</v>
      </c>
      <c r="G705" s="475" t="s">
        <v>2013</v>
      </c>
      <c r="H705" s="516"/>
      <c r="I705" s="477" t="s">
        <v>5</v>
      </c>
      <c r="J705" s="476" t="s">
        <v>6</v>
      </c>
      <c r="K705" s="476" t="s">
        <v>7</v>
      </c>
      <c r="L705" s="184">
        <v>42094</v>
      </c>
      <c r="M705" s="184">
        <v>42940</v>
      </c>
      <c r="N705" s="480">
        <v>783892.35</v>
      </c>
      <c r="O705" s="478" t="str">
        <f>IFERROR(VLOOKUP(A705,[1]Approval!A:C,3,FALSE),"")</f>
        <v>FIN Approval - Internal</v>
      </c>
      <c r="P705" s="184">
        <f>IFERROR(VLOOKUP(A705,[1]Approval!A:J,10,FALSE),"")</f>
        <v>42940</v>
      </c>
      <c r="R705" s="425">
        <f>2020-YEAR(Table227[[#This Row],[In-
Service
Date]])</f>
        <v>5</v>
      </c>
      <c r="S705" s="308">
        <f>+Table227[[#This Row],[Proj To Date
Actuals]]*1.02^R705</f>
        <v>865480.49541033548</v>
      </c>
    </row>
    <row r="706" spans="1:19" x14ac:dyDescent="0.25">
      <c r="A706" s="476" t="s">
        <v>813</v>
      </c>
      <c r="B706" s="475" t="s">
        <v>4221</v>
      </c>
      <c r="C706" s="422" t="e">
        <f>VLOOKUP(B706,'Matter &amp; CI#'!$D$4:$E$595,2,FALSE)</f>
        <v>#N/A</v>
      </c>
      <c r="D706" s="476" t="s">
        <v>814</v>
      </c>
      <c r="E706" s="476" t="s">
        <v>78</v>
      </c>
      <c r="F706" s="476" t="s">
        <v>24</v>
      </c>
      <c r="G706" s="475" t="s">
        <v>2013</v>
      </c>
      <c r="H706" s="516"/>
      <c r="I706" s="477" t="s">
        <v>5</v>
      </c>
      <c r="J706" s="476" t="s">
        <v>6</v>
      </c>
      <c r="K706" s="476" t="s">
        <v>7</v>
      </c>
      <c r="L706" s="184">
        <v>42124</v>
      </c>
      <c r="M706" s="184">
        <v>43922</v>
      </c>
      <c r="N706" s="480">
        <v>7981090.0099999998</v>
      </c>
      <c r="O706" s="478" t="str">
        <f>IFERROR(VLOOKUP(A706,[1]Approval!A:C,3,FALSE),"")</f>
        <v>FIN Approval - Internal</v>
      </c>
      <c r="P706" s="184">
        <f>IFERROR(VLOOKUP(A706,[1]Approval!A:J,10,FALSE),"")</f>
        <v>43915</v>
      </c>
      <c r="R706" s="425">
        <f>2020-YEAR(Table227[[#This Row],[In-
Service
Date]])</f>
        <v>5</v>
      </c>
      <c r="S706" s="308">
        <f>+Table227[[#This Row],[Proj To Date
Actuals]]*1.02^R706</f>
        <v>8811768.2686522957</v>
      </c>
    </row>
    <row r="707" spans="1:19" x14ac:dyDescent="0.25">
      <c r="A707" s="476" t="s">
        <v>381</v>
      </c>
      <c r="B707" s="475" t="s">
        <v>4354</v>
      </c>
      <c r="C707" s="422" t="e">
        <f>VLOOKUP(B707,'Matter &amp; CI#'!$D$4:$E$595,2,FALSE)</f>
        <v>#N/A</v>
      </c>
      <c r="D707" s="476" t="s">
        <v>382</v>
      </c>
      <c r="E707" s="476" t="s">
        <v>42</v>
      </c>
      <c r="F707" s="476" t="s">
        <v>24</v>
      </c>
      <c r="G707" s="475" t="s">
        <v>2013</v>
      </c>
      <c r="H707" s="516"/>
      <c r="I707" s="477" t="s">
        <v>5</v>
      </c>
      <c r="J707" s="476" t="s">
        <v>6</v>
      </c>
      <c r="K707" s="476" t="s">
        <v>7</v>
      </c>
      <c r="L707" s="184">
        <v>42124</v>
      </c>
      <c r="M707" s="184">
        <v>43586</v>
      </c>
      <c r="N707" s="480">
        <v>2378745.9700000002</v>
      </c>
      <c r="O707" s="478" t="str">
        <f>IFERROR(VLOOKUP(A707,[1]Approval!A:C,3,FALSE),"")</f>
        <v>FIN Approval - Internal</v>
      </c>
      <c r="P707" s="184">
        <f>IFERROR(VLOOKUP(A707,[1]Approval!A:J,10,FALSE),"")</f>
        <v>43507</v>
      </c>
      <c r="R707" s="425">
        <f>2020-YEAR(Table227[[#This Row],[In-
Service
Date]])</f>
        <v>5</v>
      </c>
      <c r="S707" s="308">
        <f>+Table227[[#This Row],[Proj To Date
Actuals]]*1.02^R707</f>
        <v>2626327.7611663635</v>
      </c>
    </row>
    <row r="708" spans="1:19" x14ac:dyDescent="0.25">
      <c r="A708" s="476" t="s">
        <v>1845</v>
      </c>
      <c r="B708" s="475" t="s">
        <v>4274</v>
      </c>
      <c r="C708" s="422" t="e">
        <f>VLOOKUP(B708,'Matter &amp; CI#'!$D$4:$E$595,2,FALSE)</f>
        <v>#N/A</v>
      </c>
      <c r="D708" s="476" t="s">
        <v>1846</v>
      </c>
      <c r="E708" s="476" t="s">
        <v>34</v>
      </c>
      <c r="F708" s="476" t="s">
        <v>24</v>
      </c>
      <c r="G708" s="475" t="s">
        <v>2013</v>
      </c>
      <c r="H708" s="516"/>
      <c r="I708" s="477" t="s">
        <v>5</v>
      </c>
      <c r="J708" s="476" t="s">
        <v>6</v>
      </c>
      <c r="K708" s="476" t="s">
        <v>7</v>
      </c>
      <c r="L708" s="184">
        <v>42155</v>
      </c>
      <c r="M708" s="184">
        <v>42751</v>
      </c>
      <c r="N708" s="480">
        <v>291873.68</v>
      </c>
      <c r="O708" s="478" t="str">
        <f>IFERROR(VLOOKUP(A708,[1]Approval!A:C,3,FALSE),"")</f>
        <v>FIN Approval - Internal</v>
      </c>
      <c r="P708" s="184">
        <f>IFERROR(VLOOKUP(A708,[1]Approval!A:J,10,FALSE),"")</f>
        <v>42751</v>
      </c>
      <c r="R708" s="425">
        <f>2020-YEAR(Table227[[#This Row],[In-
Service
Date]])</f>
        <v>5</v>
      </c>
      <c r="S708" s="308">
        <f>+Table227[[#This Row],[Proj To Date
Actuals]]*1.02^R708</f>
        <v>322252.12704733975</v>
      </c>
    </row>
    <row r="709" spans="1:19" x14ac:dyDescent="0.25">
      <c r="A709" s="476" t="s">
        <v>365</v>
      </c>
      <c r="B709" s="475" t="s">
        <v>4312</v>
      </c>
      <c r="C709" s="422" t="e">
        <f>VLOOKUP(B709,'Matter &amp; CI#'!$D$4:$E$595,2,FALSE)</f>
        <v>#N/A</v>
      </c>
      <c r="D709" s="476" t="s">
        <v>366</v>
      </c>
      <c r="E709" s="476" t="s">
        <v>42</v>
      </c>
      <c r="F709" s="476" t="s">
        <v>24</v>
      </c>
      <c r="G709" s="475" t="s">
        <v>2013</v>
      </c>
      <c r="H709" s="516"/>
      <c r="I709" s="477" t="s">
        <v>5</v>
      </c>
      <c r="J709" s="476" t="s">
        <v>29</v>
      </c>
      <c r="K709" s="476" t="s">
        <v>7</v>
      </c>
      <c r="L709" s="184">
        <v>42185</v>
      </c>
      <c r="M709" s="184">
        <v>43586</v>
      </c>
      <c r="N709" s="480">
        <v>71268.14</v>
      </c>
      <c r="O709" s="478" t="str">
        <f>IFERROR(VLOOKUP(A709,[1]Approval!A:C,3,FALSE),"")</f>
        <v>FIN Approval - Internal</v>
      </c>
      <c r="P709" s="184">
        <f>IFERROR(VLOOKUP(A709,[1]Approval!A:J,10,FALSE),"")</f>
        <v>43549</v>
      </c>
      <c r="R709" s="425">
        <f>2020-YEAR(Table227[[#This Row],[In-
Service
Date]])</f>
        <v>5</v>
      </c>
      <c r="S709" s="308">
        <f>+Table227[[#This Row],[Proj To Date
Actuals]]*1.02^R709</f>
        <v>78685.785253770053</v>
      </c>
    </row>
    <row r="710" spans="1:19" x14ac:dyDescent="0.25">
      <c r="A710" s="476" t="s">
        <v>1592</v>
      </c>
      <c r="B710" s="475" t="s">
        <v>4338</v>
      </c>
      <c r="C710" s="422" t="e">
        <f>VLOOKUP(B710,'Matter &amp; CI#'!$D$4:$E$595,2,FALSE)</f>
        <v>#N/A</v>
      </c>
      <c r="D710" s="476" t="s">
        <v>1593</v>
      </c>
      <c r="E710" s="476" t="s">
        <v>42</v>
      </c>
      <c r="F710" s="476" t="s">
        <v>24</v>
      </c>
      <c r="G710" s="475" t="s">
        <v>2013</v>
      </c>
      <c r="H710" s="516"/>
      <c r="I710" s="477" t="s">
        <v>5</v>
      </c>
      <c r="J710" s="476" t="s">
        <v>29</v>
      </c>
      <c r="K710" s="476" t="s">
        <v>7</v>
      </c>
      <c r="L710" s="184">
        <v>42185</v>
      </c>
      <c r="M710" s="184">
        <v>42940</v>
      </c>
      <c r="N710" s="480">
        <v>141721.13</v>
      </c>
      <c r="O710" s="478" t="str">
        <f>IFERROR(VLOOKUP(A710,[1]Approval!A:C,3,FALSE),"")</f>
        <v>FIN Approval - Internal</v>
      </c>
      <c r="P710" s="184">
        <f>IFERROR(VLOOKUP(A710,[1]Approval!A:J,10,FALSE),"")</f>
        <v>42940</v>
      </c>
      <c r="R710" s="425">
        <f>2020-YEAR(Table227[[#This Row],[In-
Service
Date]])</f>
        <v>5</v>
      </c>
      <c r="S710" s="308">
        <f>+Table227[[#This Row],[Proj To Date
Actuals]]*1.02^R710</f>
        <v>156471.57904081163</v>
      </c>
    </row>
    <row r="711" spans="1:19" x14ac:dyDescent="0.25">
      <c r="A711" s="476" t="s">
        <v>1330</v>
      </c>
      <c r="B711" s="475" t="s">
        <v>4351</v>
      </c>
      <c r="C711" s="422" t="e">
        <f>VLOOKUP(B711,'Matter &amp; CI#'!$D$4:$E$595,2,FALSE)</f>
        <v>#N/A</v>
      </c>
      <c r="D711" s="476" t="s">
        <v>1331</v>
      </c>
      <c r="E711" s="476" t="s">
        <v>34</v>
      </c>
      <c r="F711" s="476" t="s">
        <v>24</v>
      </c>
      <c r="G711" s="475" t="s">
        <v>2013</v>
      </c>
      <c r="H711" s="516"/>
      <c r="I711" s="477" t="s">
        <v>5</v>
      </c>
      <c r="J711" s="476" t="s">
        <v>6</v>
      </c>
      <c r="K711" s="476" t="s">
        <v>7</v>
      </c>
      <c r="L711" s="184">
        <v>42185</v>
      </c>
      <c r="M711" s="184">
        <v>43952</v>
      </c>
      <c r="N711" s="480">
        <v>1505923.87</v>
      </c>
      <c r="O711" s="478" t="str">
        <f>IFERROR(VLOOKUP(A711,[1]Approval!A:C,3,FALSE),"")</f>
        <v>FIN Approval - Internal</v>
      </c>
      <c r="P711" s="184">
        <f>IFERROR(VLOOKUP(A711,[1]Approval!A:J,10,FALSE),"")</f>
        <v>43915</v>
      </c>
      <c r="R711" s="425">
        <f>2020-YEAR(Table227[[#This Row],[In-
Service
Date]])</f>
        <v>5</v>
      </c>
      <c r="S711" s="308">
        <f>+Table227[[#This Row],[Proj To Date
Actuals]]*1.02^R711</f>
        <v>1662661.6359476526</v>
      </c>
    </row>
    <row r="712" spans="1:19" x14ac:dyDescent="0.25">
      <c r="A712" s="476" t="s">
        <v>1336</v>
      </c>
      <c r="B712" s="475" t="s">
        <v>4414</v>
      </c>
      <c r="C712" s="422" t="e">
        <f>VLOOKUP(B712,'Matter &amp; CI#'!$D$4:$E$595,2,FALSE)</f>
        <v>#N/A</v>
      </c>
      <c r="D712" s="476" t="s">
        <v>1337</v>
      </c>
      <c r="E712" s="476" t="s">
        <v>42</v>
      </c>
      <c r="F712" s="476" t="s">
        <v>24</v>
      </c>
      <c r="G712" s="475" t="s">
        <v>2013</v>
      </c>
      <c r="H712" s="516"/>
      <c r="I712" s="477" t="s">
        <v>5</v>
      </c>
      <c r="J712" s="476" t="s">
        <v>29</v>
      </c>
      <c r="K712" s="476" t="s">
        <v>7</v>
      </c>
      <c r="L712" s="184">
        <v>42185</v>
      </c>
      <c r="M712" s="184">
        <v>42940</v>
      </c>
      <c r="N712" s="480">
        <v>68982.09</v>
      </c>
      <c r="O712" s="478" t="str">
        <f>IFERROR(VLOOKUP(A712,[1]Approval!A:C,3,FALSE),"")</f>
        <v>FIN Approval - Internal</v>
      </c>
      <c r="P712" s="184">
        <f>IFERROR(VLOOKUP(A712,[1]Approval!A:J,10,FALSE),"")</f>
        <v>42940</v>
      </c>
      <c r="R712" s="425">
        <f>2020-YEAR(Table227[[#This Row],[In-
Service
Date]])</f>
        <v>5</v>
      </c>
      <c r="S712" s="308">
        <f>+Table227[[#This Row],[Proj To Date
Actuals]]*1.02^R712</f>
        <v>76161.801333614683</v>
      </c>
    </row>
    <row r="713" spans="1:19" x14ac:dyDescent="0.25">
      <c r="A713" s="476" t="s">
        <v>751</v>
      </c>
      <c r="B713" s="475" t="s">
        <v>4214</v>
      </c>
      <c r="C713" s="422" t="e">
        <f>VLOOKUP(B713,'Matter &amp; CI#'!$D$4:$E$595,2,FALSE)</f>
        <v>#N/A</v>
      </c>
      <c r="D713" s="476" t="s">
        <v>752</v>
      </c>
      <c r="E713" s="476" t="s">
        <v>34</v>
      </c>
      <c r="F713" s="476" t="s">
        <v>24</v>
      </c>
      <c r="G713" s="475" t="s">
        <v>2013</v>
      </c>
      <c r="H713" s="516"/>
      <c r="I713" s="477" t="s">
        <v>5</v>
      </c>
      <c r="J713" s="476" t="s">
        <v>6</v>
      </c>
      <c r="K713" s="476" t="s">
        <v>7</v>
      </c>
      <c r="L713" s="184">
        <v>42247</v>
      </c>
      <c r="M713" s="184">
        <v>43952</v>
      </c>
      <c r="N713" s="480">
        <v>1756776.09</v>
      </c>
      <c r="O713" s="478" t="str">
        <f>IFERROR(VLOOKUP(A713,[1]Approval!A:C,3,FALSE),"")</f>
        <v>FIN Approval - Internal</v>
      </c>
      <c r="P713" s="184">
        <f>IFERROR(VLOOKUP(A713,[1]Approval!A:J,10,FALSE),"")</f>
        <v>43976</v>
      </c>
      <c r="R713" s="425">
        <f>2020-YEAR(Table227[[#This Row],[In-
Service
Date]])</f>
        <v>5</v>
      </c>
      <c r="S713" s="308">
        <f>+Table227[[#This Row],[Proj To Date
Actuals]]*1.02^R713</f>
        <v>1939622.7564897556</v>
      </c>
    </row>
    <row r="714" spans="1:19" x14ac:dyDescent="0.25">
      <c r="A714" s="476" t="s">
        <v>1602</v>
      </c>
      <c r="B714" s="475" t="s">
        <v>4413</v>
      </c>
      <c r="C714" s="422" t="e">
        <f>VLOOKUP(B714,'Matter &amp; CI#'!$D$4:$E$595,2,FALSE)</f>
        <v>#N/A</v>
      </c>
      <c r="D714" s="476" t="s">
        <v>1603</v>
      </c>
      <c r="E714" s="476" t="s">
        <v>42</v>
      </c>
      <c r="F714" s="476" t="s">
        <v>24</v>
      </c>
      <c r="G714" s="475" t="s">
        <v>2013</v>
      </c>
      <c r="H714" s="516"/>
      <c r="I714" s="477" t="s">
        <v>5</v>
      </c>
      <c r="J714" s="476" t="s">
        <v>29</v>
      </c>
      <c r="K714" s="476" t="s">
        <v>7</v>
      </c>
      <c r="L714" s="184">
        <v>42247</v>
      </c>
      <c r="M714" s="184">
        <v>42940</v>
      </c>
      <c r="N714" s="480">
        <v>194841.38</v>
      </c>
      <c r="O714" s="478" t="str">
        <f>IFERROR(VLOOKUP(A714,[1]Approval!A:C,3,FALSE),"")</f>
        <v>FIN Approval - Internal</v>
      </c>
      <c r="P714" s="184">
        <f>IFERROR(VLOOKUP(A714,[1]Approval!A:J,10,FALSE),"")</f>
        <v>42940</v>
      </c>
      <c r="R714" s="425">
        <f>2020-YEAR(Table227[[#This Row],[In-
Service
Date]])</f>
        <v>5</v>
      </c>
      <c r="S714" s="308">
        <f>+Table227[[#This Row],[Proj To Date
Actuals]]*1.02^R714</f>
        <v>215120.62732699641</v>
      </c>
    </row>
    <row r="715" spans="1:19" x14ac:dyDescent="0.25">
      <c r="A715" s="476" t="s">
        <v>134</v>
      </c>
      <c r="B715" s="475" t="s">
        <v>4271</v>
      </c>
      <c r="C715" s="422" t="e">
        <f>VLOOKUP(B715,'Matter &amp; CI#'!$D$4:$E$595,2,FALSE)</f>
        <v>#N/A</v>
      </c>
      <c r="D715" s="476" t="s">
        <v>135</v>
      </c>
      <c r="E715" s="476" t="s">
        <v>42</v>
      </c>
      <c r="F715" s="476" t="s">
        <v>24</v>
      </c>
      <c r="G715" s="475" t="s">
        <v>2013</v>
      </c>
      <c r="H715" s="516"/>
      <c r="I715" s="477" t="s">
        <v>5</v>
      </c>
      <c r="J715" s="476" t="s">
        <v>6</v>
      </c>
      <c r="K715" s="476" t="s">
        <v>7</v>
      </c>
      <c r="L715" s="184">
        <v>42308</v>
      </c>
      <c r="M715" s="184">
        <v>44044</v>
      </c>
      <c r="N715" s="480">
        <v>756962.24</v>
      </c>
      <c r="O715" s="478" t="str">
        <f>IFERROR(VLOOKUP(A715,[1]Approval!A:C,3,FALSE),"")</f>
        <v>FIN Approval - Internal</v>
      </c>
      <c r="P715" s="184">
        <f>IFERROR(VLOOKUP(A715,[1]Approval!A:J,10,FALSE),"")</f>
        <v>43976</v>
      </c>
      <c r="R715" s="425">
        <f>2020-YEAR(Table227[[#This Row],[In-
Service
Date]])</f>
        <v>5</v>
      </c>
      <c r="S715" s="308">
        <f>+Table227[[#This Row],[Proj To Date
Actuals]]*1.02^R715</f>
        <v>835747.47793127119</v>
      </c>
    </row>
    <row r="716" spans="1:19" x14ac:dyDescent="0.25">
      <c r="A716" s="476" t="s">
        <v>377</v>
      </c>
      <c r="B716" s="475" t="s">
        <v>4348</v>
      </c>
      <c r="C716" s="422" t="e">
        <f>VLOOKUP(B716,'Matter &amp; CI#'!$D$4:$E$595,2,FALSE)</f>
        <v>#N/A</v>
      </c>
      <c r="D716" s="476" t="s">
        <v>378</v>
      </c>
      <c r="E716" s="476" t="s">
        <v>42</v>
      </c>
      <c r="F716" s="476" t="s">
        <v>24</v>
      </c>
      <c r="G716" s="475" t="s">
        <v>2013</v>
      </c>
      <c r="H716" s="516"/>
      <c r="I716" s="477" t="s">
        <v>5</v>
      </c>
      <c r="J716" s="476" t="s">
        <v>6</v>
      </c>
      <c r="K716" s="476" t="s">
        <v>7</v>
      </c>
      <c r="L716" s="184">
        <v>42308</v>
      </c>
      <c r="M716" s="184">
        <v>42940</v>
      </c>
      <c r="N716" s="480">
        <v>569221.84</v>
      </c>
      <c r="O716" s="478" t="str">
        <f>IFERROR(VLOOKUP(A716,[1]Approval!A:C,3,FALSE),"")</f>
        <v>FIN Approval - Internal</v>
      </c>
      <c r="P716" s="184">
        <f>IFERROR(VLOOKUP(A716,[1]Approval!A:J,10,FALSE),"")</f>
        <v>42940</v>
      </c>
      <c r="R716" s="425">
        <f>2020-YEAR(Table227[[#This Row],[In-
Service
Date]])</f>
        <v>5</v>
      </c>
      <c r="S716" s="308">
        <f>+Table227[[#This Row],[Proj To Date
Actuals]]*1.02^R716</f>
        <v>628466.90630618192</v>
      </c>
    </row>
    <row r="717" spans="1:19" x14ac:dyDescent="0.25">
      <c r="A717" s="476" t="s">
        <v>387</v>
      </c>
      <c r="B717" s="475" t="s">
        <v>4408</v>
      </c>
      <c r="C717" s="422" t="e">
        <f>VLOOKUP(B717,'Matter &amp; CI#'!$D$4:$E$595,2,FALSE)</f>
        <v>#N/A</v>
      </c>
      <c r="D717" s="476" t="s">
        <v>388</v>
      </c>
      <c r="E717" s="476" t="s">
        <v>42</v>
      </c>
      <c r="F717" s="476" t="s">
        <v>24</v>
      </c>
      <c r="G717" s="475" t="s">
        <v>2013</v>
      </c>
      <c r="H717" s="516"/>
      <c r="I717" s="477" t="s">
        <v>5</v>
      </c>
      <c r="J717" s="476" t="s">
        <v>29</v>
      </c>
      <c r="K717" s="476" t="s">
        <v>7</v>
      </c>
      <c r="L717" s="184">
        <v>42308</v>
      </c>
      <c r="M717" s="184">
        <v>42940</v>
      </c>
      <c r="N717" s="480">
        <v>87764.58</v>
      </c>
      <c r="O717" s="478" t="str">
        <f>IFERROR(VLOOKUP(A717,[1]Approval!A:C,3,FALSE),"")</f>
        <v>FIN Approval - Internal</v>
      </c>
      <c r="P717" s="184">
        <f>IFERROR(VLOOKUP(A717,[1]Approval!A:J,10,FALSE),"")</f>
        <v>42940</v>
      </c>
      <c r="R717" s="425">
        <f>2020-YEAR(Table227[[#This Row],[In-
Service
Date]])</f>
        <v>5</v>
      </c>
      <c r="S717" s="308">
        <f>+Table227[[#This Row],[Proj To Date
Actuals]]*1.02^R717</f>
        <v>96899.187978910661</v>
      </c>
    </row>
    <row r="718" spans="1:19" x14ac:dyDescent="0.25">
      <c r="A718" s="476" t="s">
        <v>1618</v>
      </c>
      <c r="B718" s="475" t="s">
        <v>4096</v>
      </c>
      <c r="C718" s="422" t="e">
        <f>VLOOKUP(B718,'Matter &amp; CI#'!$D$4:$E$595,2,FALSE)</f>
        <v>#N/A</v>
      </c>
      <c r="D718" s="476" t="s">
        <v>1619</v>
      </c>
      <c r="E718" s="476" t="s">
        <v>34</v>
      </c>
      <c r="F718" s="476" t="s">
        <v>24</v>
      </c>
      <c r="G718" s="475" t="s">
        <v>2013</v>
      </c>
      <c r="H718" s="516"/>
      <c r="I718" s="477" t="s">
        <v>5</v>
      </c>
      <c r="J718" s="476" t="s">
        <v>6</v>
      </c>
      <c r="K718" s="476" t="s">
        <v>7</v>
      </c>
      <c r="L718" s="184">
        <v>42338</v>
      </c>
      <c r="M718" s="184">
        <v>43862</v>
      </c>
      <c r="N718" s="480">
        <v>427630.1</v>
      </c>
      <c r="O718" s="478" t="str">
        <f>IFERROR(VLOOKUP(A718,[1]Approval!A:C,3,FALSE),"")</f>
        <v>FIN Approval - Internal</v>
      </c>
      <c r="P718" s="184">
        <f>IFERROR(VLOOKUP(A718,[1]Approval!A:J,10,FALSE),"")</f>
        <v>43700</v>
      </c>
      <c r="R718" s="425">
        <f>2020-YEAR(Table227[[#This Row],[In-
Service
Date]])</f>
        <v>5</v>
      </c>
      <c r="S718" s="308">
        <f>+Table227[[#This Row],[Proj To Date
Actuals]]*1.02^R718</f>
        <v>472138.18428049632</v>
      </c>
    </row>
    <row r="719" spans="1:19" x14ac:dyDescent="0.25">
      <c r="A719" s="476" t="s">
        <v>1072</v>
      </c>
      <c r="B719" s="475" t="s">
        <v>4275</v>
      </c>
      <c r="C719" s="422" t="e">
        <f>VLOOKUP(B719,'Matter &amp; CI#'!$D$4:$E$595,2,FALSE)</f>
        <v>#N/A</v>
      </c>
      <c r="D719" s="476" t="s">
        <v>1073</v>
      </c>
      <c r="E719" s="476" t="s">
        <v>34</v>
      </c>
      <c r="F719" s="476" t="s">
        <v>24</v>
      </c>
      <c r="G719" s="475" t="s">
        <v>2013</v>
      </c>
      <c r="H719" s="516"/>
      <c r="I719" s="477" t="s">
        <v>5</v>
      </c>
      <c r="J719" s="476" t="s">
        <v>6</v>
      </c>
      <c r="K719" s="476" t="s">
        <v>7</v>
      </c>
      <c r="L719" s="184">
        <v>42338</v>
      </c>
      <c r="M719" s="184">
        <v>42940</v>
      </c>
      <c r="N719" s="480">
        <v>415813.52</v>
      </c>
      <c r="O719" s="478" t="str">
        <f>IFERROR(VLOOKUP(A719,[1]Approval!A:C,3,FALSE),"")</f>
        <v>FIN Approval - Internal</v>
      </c>
      <c r="P719" s="184">
        <f>IFERROR(VLOOKUP(A719,[1]Approval!A:J,10,FALSE),"")</f>
        <v>42940</v>
      </c>
      <c r="R719" s="425">
        <f>2020-YEAR(Table227[[#This Row],[In-
Service
Date]])</f>
        <v>5</v>
      </c>
      <c r="S719" s="308">
        <f>+Table227[[#This Row],[Proj To Date
Actuals]]*1.02^R719</f>
        <v>459091.72514301928</v>
      </c>
    </row>
    <row r="720" spans="1:19" x14ac:dyDescent="0.25">
      <c r="A720" s="476" t="s">
        <v>1604</v>
      </c>
      <c r="B720" s="475" t="s">
        <v>4406</v>
      </c>
      <c r="C720" s="422" t="e">
        <f>VLOOKUP(B720,'Matter &amp; CI#'!$D$4:$E$595,2,FALSE)</f>
        <v>#N/A</v>
      </c>
      <c r="D720" s="476" t="s">
        <v>1605</v>
      </c>
      <c r="E720" s="476" t="s">
        <v>42</v>
      </c>
      <c r="F720" s="476" t="s">
        <v>24</v>
      </c>
      <c r="G720" s="475" t="s">
        <v>2013</v>
      </c>
      <c r="H720" s="516"/>
      <c r="I720" s="477" t="s">
        <v>5</v>
      </c>
      <c r="J720" s="476" t="s">
        <v>29</v>
      </c>
      <c r="K720" s="476" t="s">
        <v>7</v>
      </c>
      <c r="L720" s="184">
        <v>42400</v>
      </c>
      <c r="M720" s="184">
        <v>42940</v>
      </c>
      <c r="N720" s="480">
        <v>253888.4</v>
      </c>
      <c r="O720" s="478" t="str">
        <f>IFERROR(VLOOKUP(A720,[1]Approval!A:C,3,FALSE),"")</f>
        <v>FIN Approval - Internal</v>
      </c>
      <c r="P720" s="184">
        <f>IFERROR(VLOOKUP(A720,[1]Approval!A:J,10,FALSE),"")</f>
        <v>42940</v>
      </c>
      <c r="R720" s="425">
        <f>2020-YEAR(Table227[[#This Row],[In-
Service
Date]])</f>
        <v>4</v>
      </c>
      <c r="S720" s="308">
        <f>+Table227[[#This Row],[Proj To Date
Actuals]]*1.02^R720</f>
        <v>274816.96921094396</v>
      </c>
    </row>
    <row r="721" spans="1:19" x14ac:dyDescent="0.25">
      <c r="A721" s="476" t="s">
        <v>1608</v>
      </c>
      <c r="B721" s="475" t="s">
        <v>4433</v>
      </c>
      <c r="C721" s="422" t="e">
        <f>VLOOKUP(B721,'Matter &amp; CI#'!$D$4:$E$595,2,FALSE)</f>
        <v>#N/A</v>
      </c>
      <c r="D721" s="476" t="s">
        <v>1609</v>
      </c>
      <c r="E721" s="476" t="s">
        <v>34</v>
      </c>
      <c r="F721" s="476" t="s">
        <v>24</v>
      </c>
      <c r="G721" s="475" t="s">
        <v>2013</v>
      </c>
      <c r="H721" s="516"/>
      <c r="I721" s="477" t="s">
        <v>5</v>
      </c>
      <c r="J721" s="476" t="s">
        <v>6</v>
      </c>
      <c r="K721" s="476" t="s">
        <v>7</v>
      </c>
      <c r="L721" s="184">
        <v>42400</v>
      </c>
      <c r="M721" s="184">
        <v>43738</v>
      </c>
      <c r="N721" s="480">
        <v>273736.64</v>
      </c>
      <c r="O721" s="478" t="str">
        <f>IFERROR(VLOOKUP(A721,[1]Approval!A:C,3,FALSE),"")</f>
        <v>FIN Approval - Internal</v>
      </c>
      <c r="P721" s="184">
        <f>IFERROR(VLOOKUP(A721,[1]Approval!A:J,10,FALSE),"")</f>
        <v>43677</v>
      </c>
      <c r="R721" s="425">
        <f>2020-YEAR(Table227[[#This Row],[In-
Service
Date]])</f>
        <v>4</v>
      </c>
      <c r="S721" s="308">
        <f>+Table227[[#This Row],[Proj To Date
Actuals]]*1.02^R721</f>
        <v>296301.34250634239</v>
      </c>
    </row>
    <row r="722" spans="1:19" x14ac:dyDescent="0.25">
      <c r="A722" s="476" t="s">
        <v>405</v>
      </c>
      <c r="B722" s="475" t="s">
        <v>4491</v>
      </c>
      <c r="C722" s="422" t="e">
        <f>VLOOKUP(B722,'Matter &amp; CI#'!$D$4:$E$595,2,FALSE)</f>
        <v>#N/A</v>
      </c>
      <c r="D722" s="476" t="s">
        <v>406</v>
      </c>
      <c r="E722" s="476" t="s">
        <v>34</v>
      </c>
      <c r="F722" s="476" t="s">
        <v>24</v>
      </c>
      <c r="G722" s="475" t="s">
        <v>2013</v>
      </c>
      <c r="H722" s="516"/>
      <c r="I722" s="477" t="s">
        <v>5</v>
      </c>
      <c r="J722" s="476" t="s">
        <v>6</v>
      </c>
      <c r="K722" s="476" t="s">
        <v>7</v>
      </c>
      <c r="L722" s="184">
        <v>42400</v>
      </c>
      <c r="M722" s="184">
        <v>42940</v>
      </c>
      <c r="N722" s="480">
        <v>4467074.72</v>
      </c>
      <c r="O722" s="478" t="str">
        <f>IFERROR(VLOOKUP(A722,[1]Approval!A:C,3,FALSE),"")</f>
        <v>FIN Approval - Internal</v>
      </c>
      <c r="P722" s="184">
        <f>IFERROR(VLOOKUP(A722,[1]Approval!A:J,10,FALSE),"")</f>
        <v>42940</v>
      </c>
      <c r="R722" s="425">
        <f>2020-YEAR(Table227[[#This Row],[In-
Service
Date]])</f>
        <v>4</v>
      </c>
      <c r="S722" s="308">
        <f>+Table227[[#This Row],[Proj To Date
Actuals]]*1.02^R722</f>
        <v>4835305.338050995</v>
      </c>
    </row>
    <row r="723" spans="1:19" x14ac:dyDescent="0.25">
      <c r="A723" s="476" t="s">
        <v>341</v>
      </c>
      <c r="B723" s="475" t="s">
        <v>4192</v>
      </c>
      <c r="C723" s="422" t="e">
        <f>VLOOKUP(B723,'Matter &amp; CI#'!$D$4:$E$595,2,FALSE)</f>
        <v>#N/A</v>
      </c>
      <c r="D723" s="476" t="s">
        <v>342</v>
      </c>
      <c r="E723" s="476" t="s">
        <v>73</v>
      </c>
      <c r="F723" s="476" t="s">
        <v>24</v>
      </c>
      <c r="G723" s="475" t="s">
        <v>2013</v>
      </c>
      <c r="H723" s="516"/>
      <c r="I723" s="477" t="s">
        <v>5</v>
      </c>
      <c r="J723" s="476" t="s">
        <v>6</v>
      </c>
      <c r="K723" s="476" t="s">
        <v>7</v>
      </c>
      <c r="L723" s="184">
        <v>42428</v>
      </c>
      <c r="M723" s="184">
        <v>43343</v>
      </c>
      <c r="N723" s="480">
        <v>3362634.16</v>
      </c>
      <c r="O723" s="478" t="str">
        <f>IFERROR(VLOOKUP(A723,[1]Approval!A:C,3,FALSE),"")</f>
        <v>FIN Approval - Internal</v>
      </c>
      <c r="P723" s="184">
        <f>IFERROR(VLOOKUP(A723,[1]Approval!A:J,10,FALSE),"")</f>
        <v>43279</v>
      </c>
      <c r="R723" s="425">
        <f>2020-YEAR(Table227[[#This Row],[In-
Service
Date]])</f>
        <v>4</v>
      </c>
      <c r="S723" s="308">
        <f>+Table227[[#This Row],[Proj To Date
Actuals]]*1.02^R723</f>
        <v>3639823.3570985855</v>
      </c>
    </row>
    <row r="724" spans="1:19" x14ac:dyDescent="0.25">
      <c r="A724" s="476" t="s">
        <v>574</v>
      </c>
      <c r="B724" s="475" t="s">
        <v>4277</v>
      </c>
      <c r="C724" s="422" t="e">
        <f>VLOOKUP(B724,'Matter &amp; CI#'!$D$4:$E$595,2,FALSE)</f>
        <v>#N/A</v>
      </c>
      <c r="D724" s="476" t="s">
        <v>575</v>
      </c>
      <c r="E724" s="476" t="s">
        <v>34</v>
      </c>
      <c r="F724" s="476" t="s">
        <v>24</v>
      </c>
      <c r="G724" s="475" t="s">
        <v>2013</v>
      </c>
      <c r="H724" s="516"/>
      <c r="I724" s="477" t="s">
        <v>5</v>
      </c>
      <c r="J724" s="476" t="s">
        <v>6</v>
      </c>
      <c r="K724" s="476" t="s">
        <v>28</v>
      </c>
      <c r="L724" s="184">
        <v>42429</v>
      </c>
      <c r="N724" s="480">
        <v>352085.48</v>
      </c>
      <c r="O724" s="478" t="str">
        <f>IFERROR(VLOOKUP(A724,[1]Approval!A:C,3,FALSE),"")</f>
        <v/>
      </c>
      <c r="P724" s="184" t="str">
        <f>IFERROR(VLOOKUP(A724,[1]Approval!A:J,10,FALSE),"")</f>
        <v/>
      </c>
      <c r="R724" s="425">
        <f>2020-YEAR(Table227[[#This Row],[In-
Service
Date]])</f>
        <v>4</v>
      </c>
      <c r="S724" s="308">
        <f>+Table227[[#This Row],[Proj To Date
Actuals]]*1.02^R724</f>
        <v>381108.64662103675</v>
      </c>
    </row>
    <row r="725" spans="1:19" x14ac:dyDescent="0.25">
      <c r="A725" s="476" t="s">
        <v>401</v>
      </c>
      <c r="B725" s="475" t="s">
        <v>4347</v>
      </c>
      <c r="C725" s="422" t="e">
        <f>VLOOKUP(B725,'Matter &amp; CI#'!$D$4:$E$595,2,FALSE)</f>
        <v>#N/A</v>
      </c>
      <c r="D725" s="476" t="s">
        <v>402</v>
      </c>
      <c r="E725" s="476" t="s">
        <v>42</v>
      </c>
      <c r="F725" s="476" t="s">
        <v>24</v>
      </c>
      <c r="G725" s="475" t="s">
        <v>2013</v>
      </c>
      <c r="H725" s="516"/>
      <c r="I725" s="477" t="s">
        <v>5</v>
      </c>
      <c r="J725" s="476" t="s">
        <v>6</v>
      </c>
      <c r="K725" s="476" t="s">
        <v>7</v>
      </c>
      <c r="L725" s="184">
        <v>42429</v>
      </c>
      <c r="M725" s="184">
        <v>43862</v>
      </c>
      <c r="N725" s="480">
        <v>911299.45</v>
      </c>
      <c r="O725" s="478" t="str">
        <f>IFERROR(VLOOKUP(A725,[1]Approval!A:C,3,FALSE),"")</f>
        <v>FIN Approval - Internal</v>
      </c>
      <c r="P725" s="184">
        <f>IFERROR(VLOOKUP(A725,[1]Approval!A:J,10,FALSE),"")</f>
        <v>43889</v>
      </c>
      <c r="R725" s="425">
        <f>2020-YEAR(Table227[[#This Row],[In-
Service
Date]])</f>
        <v>4</v>
      </c>
      <c r="S725" s="308">
        <f>+Table227[[#This Row],[Proj To Date
Actuals]]*1.02^R725</f>
        <v>986419.83207031188</v>
      </c>
    </row>
    <row r="726" spans="1:19" x14ac:dyDescent="0.25">
      <c r="A726" s="476" t="s">
        <v>1600</v>
      </c>
      <c r="B726" s="475" t="s">
        <v>4352</v>
      </c>
      <c r="C726" s="422" t="e">
        <f>VLOOKUP(B726,'Matter &amp; CI#'!$D$4:$E$595,2,FALSE)</f>
        <v>#N/A</v>
      </c>
      <c r="D726" s="476" t="s">
        <v>1601</v>
      </c>
      <c r="E726" s="476" t="s">
        <v>34</v>
      </c>
      <c r="F726" s="476" t="s">
        <v>24</v>
      </c>
      <c r="G726" s="475" t="s">
        <v>2013</v>
      </c>
      <c r="H726" s="516"/>
      <c r="I726" s="477" t="s">
        <v>5</v>
      </c>
      <c r="J726" s="476" t="s">
        <v>6</v>
      </c>
      <c r="K726" s="476" t="s">
        <v>7</v>
      </c>
      <c r="L726" s="184">
        <v>42429</v>
      </c>
      <c r="M726" s="184">
        <v>43952</v>
      </c>
      <c r="N726" s="480">
        <v>387388.87</v>
      </c>
      <c r="O726" s="478" t="str">
        <f>IFERROR(VLOOKUP(A726,[1]Approval!A:C,3,FALSE),"")</f>
        <v>FIN Approval - Internal</v>
      </c>
      <c r="P726" s="184">
        <f>IFERROR(VLOOKUP(A726,[1]Approval!A:J,10,FALSE),"")</f>
        <v>43915</v>
      </c>
      <c r="R726" s="425">
        <f>2020-YEAR(Table227[[#This Row],[In-
Service
Date]])</f>
        <v>4</v>
      </c>
      <c r="S726" s="308">
        <f>+Table227[[#This Row],[Proj To Date
Actuals]]*1.02^R726</f>
        <v>419322.17131405917</v>
      </c>
    </row>
    <row r="727" spans="1:19" x14ac:dyDescent="0.25">
      <c r="A727" s="476" t="s">
        <v>146</v>
      </c>
      <c r="B727" s="475" t="s">
        <v>4416</v>
      </c>
      <c r="C727" s="422" t="e">
        <f>VLOOKUP(B727,'Matter &amp; CI#'!$D$4:$E$595,2,FALSE)</f>
        <v>#N/A</v>
      </c>
      <c r="D727" s="476" t="s">
        <v>147</v>
      </c>
      <c r="E727" s="476" t="s">
        <v>42</v>
      </c>
      <c r="F727" s="476" t="s">
        <v>24</v>
      </c>
      <c r="G727" s="475" t="s">
        <v>2013</v>
      </c>
      <c r="H727" s="516"/>
      <c r="I727" s="477" t="s">
        <v>5</v>
      </c>
      <c r="J727" s="476" t="s">
        <v>29</v>
      </c>
      <c r="K727" s="476" t="s">
        <v>7</v>
      </c>
      <c r="L727" s="184">
        <v>42429</v>
      </c>
      <c r="M727" s="184">
        <v>42940</v>
      </c>
      <c r="N727" s="480">
        <v>114739.16</v>
      </c>
      <c r="O727" s="478" t="str">
        <f>IFERROR(VLOOKUP(A727,[1]Approval!A:C,3,FALSE),"")</f>
        <v>FIN Approval - Internal</v>
      </c>
      <c r="P727" s="184">
        <f>IFERROR(VLOOKUP(A727,[1]Approval!A:J,10,FALSE),"")</f>
        <v>42940</v>
      </c>
      <c r="R727" s="425">
        <f>2020-YEAR(Table227[[#This Row],[In-
Service
Date]])</f>
        <v>4</v>
      </c>
      <c r="S727" s="308">
        <f>+Table227[[#This Row],[Proj To Date
Actuals]]*1.02^R727</f>
        <v>124197.3567953856</v>
      </c>
    </row>
    <row r="728" spans="1:19" x14ac:dyDescent="0.25">
      <c r="A728" s="476" t="s">
        <v>1588</v>
      </c>
      <c r="B728" s="475" t="s">
        <v>4278</v>
      </c>
      <c r="C728" s="422" t="e">
        <f>VLOOKUP(B728,'Matter &amp; CI#'!$D$4:$E$595,2,FALSE)</f>
        <v>#N/A</v>
      </c>
      <c r="D728" s="476" t="s">
        <v>1589</v>
      </c>
      <c r="E728" s="476" t="s">
        <v>42</v>
      </c>
      <c r="F728" s="476" t="s">
        <v>24</v>
      </c>
      <c r="G728" s="475" t="s">
        <v>2013</v>
      </c>
      <c r="H728" s="516"/>
      <c r="I728" s="477" t="s">
        <v>5</v>
      </c>
      <c r="J728" s="476" t="s">
        <v>6</v>
      </c>
      <c r="K728" s="476" t="s">
        <v>28</v>
      </c>
      <c r="L728" s="184">
        <v>42460</v>
      </c>
      <c r="N728" s="480">
        <v>10628779.02</v>
      </c>
      <c r="O728" s="478" t="str">
        <f>IFERROR(VLOOKUP(A728,[1]Approval!A:C,3,FALSE),"")</f>
        <v/>
      </c>
      <c r="P728" s="184" t="str">
        <f>IFERROR(VLOOKUP(A728,[1]Approval!A:J,10,FALSE),"")</f>
        <v/>
      </c>
      <c r="R728" s="425">
        <f>2020-YEAR(Table227[[#This Row],[In-
Service
Date]])</f>
        <v>4</v>
      </c>
      <c r="S728" s="308">
        <f>+Table227[[#This Row],[Proj To Date
Actuals]]*1.02^R728</f>
        <v>11504932.232781282</v>
      </c>
    </row>
    <row r="729" spans="1:19" x14ac:dyDescent="0.25">
      <c r="A729" s="476" t="s">
        <v>1322</v>
      </c>
      <c r="B729" s="475" t="s">
        <v>4314</v>
      </c>
      <c r="C729" s="422" t="e">
        <f>VLOOKUP(B729,'Matter &amp; CI#'!$D$4:$E$595,2,FALSE)</f>
        <v>#N/A</v>
      </c>
      <c r="D729" s="476" t="s">
        <v>1323</v>
      </c>
      <c r="E729" s="476" t="s">
        <v>42</v>
      </c>
      <c r="F729" s="476" t="s">
        <v>24</v>
      </c>
      <c r="G729" s="475" t="s">
        <v>2013</v>
      </c>
      <c r="H729" s="516"/>
      <c r="I729" s="477" t="s">
        <v>5</v>
      </c>
      <c r="J729" s="476" t="s">
        <v>29</v>
      </c>
      <c r="K729" s="476" t="s">
        <v>7</v>
      </c>
      <c r="L729" s="184">
        <v>42460</v>
      </c>
      <c r="M729" s="184">
        <v>42940</v>
      </c>
      <c r="N729" s="480">
        <v>655354.98</v>
      </c>
      <c r="O729" s="478" t="str">
        <f>IFERROR(VLOOKUP(A729,[1]Approval!A:C,3,FALSE),"")</f>
        <v>FIN Approval - Internal</v>
      </c>
      <c r="P729" s="184">
        <f>IFERROR(VLOOKUP(A729,[1]Approval!A:J,10,FALSE),"")</f>
        <v>42940</v>
      </c>
      <c r="R729" s="425">
        <f>2020-YEAR(Table227[[#This Row],[In-
Service
Date]])</f>
        <v>4</v>
      </c>
      <c r="S729" s="308">
        <f>+Table227[[#This Row],[Proj To Date
Actuals]]*1.02^R729</f>
        <v>709377.30656815681</v>
      </c>
    </row>
    <row r="730" spans="1:19" x14ac:dyDescent="0.25">
      <c r="A730" s="476" t="s">
        <v>1889</v>
      </c>
      <c r="B730" s="475" t="s">
        <v>4345</v>
      </c>
      <c r="C730" s="422" t="e">
        <f>VLOOKUP(B730,'Matter &amp; CI#'!$D$4:$E$595,2,FALSE)</f>
        <v>#N/A</v>
      </c>
      <c r="D730" s="476" t="s">
        <v>1890</v>
      </c>
      <c r="E730" s="476" t="s">
        <v>42</v>
      </c>
      <c r="F730" s="476" t="s">
        <v>24</v>
      </c>
      <c r="G730" s="475" t="s">
        <v>2013</v>
      </c>
      <c r="H730" s="516"/>
      <c r="I730" s="477" t="s">
        <v>5</v>
      </c>
      <c r="J730" s="476" t="s">
        <v>6</v>
      </c>
      <c r="K730" s="476" t="s">
        <v>7</v>
      </c>
      <c r="L730" s="184">
        <v>42460</v>
      </c>
      <c r="M730" s="184">
        <v>43738</v>
      </c>
      <c r="N730" s="480">
        <v>822290.77</v>
      </c>
      <c r="O730" s="478" t="str">
        <f>IFERROR(VLOOKUP(A730,[1]Approval!A:C,3,FALSE),"")</f>
        <v>FIN Approval - Internal</v>
      </c>
      <c r="P730" s="184">
        <f>IFERROR(VLOOKUP(A730,[1]Approval!A:J,10,FALSE),"")</f>
        <v>43677</v>
      </c>
      <c r="R730" s="425">
        <f>2020-YEAR(Table227[[#This Row],[In-
Service
Date]])</f>
        <v>4</v>
      </c>
      <c r="S730" s="308">
        <f>+Table227[[#This Row],[Proj To Date
Actuals]]*1.02^R730</f>
        <v>890073.97431916324</v>
      </c>
    </row>
    <row r="731" spans="1:19" x14ac:dyDescent="0.25">
      <c r="A731" s="476" t="s">
        <v>1881</v>
      </c>
      <c r="B731" s="475" t="s">
        <v>4346</v>
      </c>
      <c r="C731" s="422" t="e">
        <f>VLOOKUP(B731,'Matter &amp; CI#'!$D$4:$E$595,2,FALSE)</f>
        <v>#N/A</v>
      </c>
      <c r="D731" s="476" t="s">
        <v>1882</v>
      </c>
      <c r="E731" s="476" t="s">
        <v>42</v>
      </c>
      <c r="F731" s="476" t="s">
        <v>24</v>
      </c>
      <c r="G731" s="475" t="s">
        <v>2013</v>
      </c>
      <c r="H731" s="516"/>
      <c r="I731" s="477" t="s">
        <v>5</v>
      </c>
      <c r="J731" s="476" t="s">
        <v>6</v>
      </c>
      <c r="K731" s="476" t="s">
        <v>7</v>
      </c>
      <c r="L731" s="184">
        <v>42460</v>
      </c>
      <c r="M731" s="184">
        <v>42940</v>
      </c>
      <c r="N731" s="480">
        <v>705259.85</v>
      </c>
      <c r="O731" s="478" t="str">
        <f>IFERROR(VLOOKUP(A731,[1]Approval!A:C,3,FALSE),"")</f>
        <v>FIN Approval - Internal</v>
      </c>
      <c r="P731" s="184">
        <f>IFERROR(VLOOKUP(A731,[1]Approval!A:J,10,FALSE),"")</f>
        <v>42940</v>
      </c>
      <c r="R731" s="425">
        <f>2020-YEAR(Table227[[#This Row],[In-
Service
Date]])</f>
        <v>4</v>
      </c>
      <c r="S731" s="308">
        <f>+Table227[[#This Row],[Proj To Date
Actuals]]*1.02^R731</f>
        <v>763395.94279677595</v>
      </c>
    </row>
    <row r="732" spans="1:19" x14ac:dyDescent="0.25">
      <c r="A732" s="476" t="s">
        <v>1096</v>
      </c>
      <c r="B732" s="475" t="s">
        <v>4353</v>
      </c>
      <c r="C732" s="422" t="e">
        <f>VLOOKUP(B732,'Matter &amp; CI#'!$D$4:$E$595,2,FALSE)</f>
        <v>#N/A</v>
      </c>
      <c r="D732" s="476" t="s">
        <v>1097</v>
      </c>
      <c r="E732" s="476" t="s">
        <v>34</v>
      </c>
      <c r="F732" s="476" t="s">
        <v>24</v>
      </c>
      <c r="G732" s="475" t="s">
        <v>2013</v>
      </c>
      <c r="H732" s="516"/>
      <c r="I732" s="477" t="s">
        <v>5</v>
      </c>
      <c r="J732" s="476" t="s">
        <v>6</v>
      </c>
      <c r="K732" s="476" t="s">
        <v>7</v>
      </c>
      <c r="L732" s="184">
        <v>42460</v>
      </c>
      <c r="M732" s="184">
        <v>43586</v>
      </c>
      <c r="N732" s="480">
        <v>522124.01</v>
      </c>
      <c r="O732" s="478" t="str">
        <f>IFERROR(VLOOKUP(A732,[1]Approval!A:C,3,FALSE),"")</f>
        <v>FIN Approval - Internal</v>
      </c>
      <c r="P732" s="184">
        <f>IFERROR(VLOOKUP(A732,[1]Approval!A:J,10,FALSE),"")</f>
        <v>43507</v>
      </c>
      <c r="R732" s="425">
        <f>2020-YEAR(Table227[[#This Row],[In-
Service
Date]])</f>
        <v>4</v>
      </c>
      <c r="S732" s="308">
        <f>+Table227[[#This Row],[Proj To Date
Actuals]]*1.02^R732</f>
        <v>565163.8199321616</v>
      </c>
    </row>
    <row r="733" spans="1:19" x14ac:dyDescent="0.25">
      <c r="A733" s="476" t="s">
        <v>843</v>
      </c>
      <c r="B733" s="475" t="s">
        <v>4370</v>
      </c>
      <c r="C733" s="422" t="e">
        <f>VLOOKUP(B733,'Matter &amp; CI#'!$D$4:$E$595,2,FALSE)</f>
        <v>#N/A</v>
      </c>
      <c r="D733" s="476" t="s">
        <v>844</v>
      </c>
      <c r="E733" s="476" t="s">
        <v>42</v>
      </c>
      <c r="F733" s="476" t="s">
        <v>24</v>
      </c>
      <c r="G733" s="475" t="s">
        <v>2013</v>
      </c>
      <c r="H733" s="516"/>
      <c r="I733" s="477" t="s">
        <v>5</v>
      </c>
      <c r="J733" s="476" t="s">
        <v>6</v>
      </c>
      <c r="K733" s="476" t="s">
        <v>7</v>
      </c>
      <c r="L733" s="184">
        <v>42460</v>
      </c>
      <c r="M733" s="184">
        <v>43891</v>
      </c>
      <c r="N733" s="480">
        <v>149514.29999999999</v>
      </c>
      <c r="O733" s="478" t="str">
        <f>IFERROR(VLOOKUP(A733,[1]Approval!A:C,3,FALSE),"")</f>
        <v>FIN Approval - Internal</v>
      </c>
      <c r="P733" s="184">
        <f>IFERROR(VLOOKUP(A733,[1]Approval!A:J,10,FALSE),"")</f>
        <v>43892</v>
      </c>
      <c r="R733" s="425">
        <f>2020-YEAR(Table227[[#This Row],[In-
Service
Date]])</f>
        <v>4</v>
      </c>
      <c r="S733" s="308">
        <f>+Table227[[#This Row],[Proj To Date
Actuals]]*1.02^R733</f>
        <v>161839.08669988799</v>
      </c>
    </row>
    <row r="734" spans="1:19" x14ac:dyDescent="0.25">
      <c r="A734" s="476" t="s">
        <v>1342</v>
      </c>
      <c r="B734" s="475" t="s">
        <v>4372</v>
      </c>
      <c r="C734" s="422" t="e">
        <f>VLOOKUP(B734,'Matter &amp; CI#'!$D$4:$E$595,2,FALSE)</f>
        <v>#N/A</v>
      </c>
      <c r="D734" s="476" t="s">
        <v>1343</v>
      </c>
      <c r="E734" s="476" t="s">
        <v>34</v>
      </c>
      <c r="F734" s="476" t="s">
        <v>24</v>
      </c>
      <c r="G734" s="475" t="s">
        <v>2013</v>
      </c>
      <c r="H734" s="516"/>
      <c r="I734" s="477" t="s">
        <v>5</v>
      </c>
      <c r="J734" s="476" t="s">
        <v>6</v>
      </c>
      <c r="K734" s="476" t="s">
        <v>7</v>
      </c>
      <c r="L734" s="184">
        <v>42460</v>
      </c>
      <c r="M734" s="184">
        <v>43738</v>
      </c>
      <c r="N734" s="480">
        <v>1476013.58</v>
      </c>
      <c r="O734" s="478" t="str">
        <f>IFERROR(VLOOKUP(A734,[1]Approval!A:C,3,FALSE),"")</f>
        <v>FIN Approval - Internal</v>
      </c>
      <c r="P734" s="184">
        <f>IFERROR(VLOOKUP(A734,[1]Approval!A:J,10,FALSE),"")</f>
        <v>43700</v>
      </c>
      <c r="R734" s="425">
        <f>2020-YEAR(Table227[[#This Row],[In-
Service
Date]])</f>
        <v>4</v>
      </c>
      <c r="S734" s="308">
        <f>+Table227[[#This Row],[Proj To Date
Actuals]]*1.02^R734</f>
        <v>1597684.5675887328</v>
      </c>
    </row>
    <row r="735" spans="1:19" x14ac:dyDescent="0.25">
      <c r="A735" s="476" t="s">
        <v>138</v>
      </c>
      <c r="B735" s="475" t="s">
        <v>4409</v>
      </c>
      <c r="C735" s="422" t="e">
        <f>VLOOKUP(B735,'Matter &amp; CI#'!$D$4:$E$595,2,FALSE)</f>
        <v>#N/A</v>
      </c>
      <c r="D735" s="476" t="s">
        <v>139</v>
      </c>
      <c r="E735" s="476" t="s">
        <v>42</v>
      </c>
      <c r="F735" s="476" t="s">
        <v>24</v>
      </c>
      <c r="G735" s="475" t="s">
        <v>2013</v>
      </c>
      <c r="H735" s="516"/>
      <c r="I735" s="477" t="s">
        <v>5</v>
      </c>
      <c r="J735" s="476" t="s">
        <v>29</v>
      </c>
      <c r="K735" s="476" t="s">
        <v>7</v>
      </c>
      <c r="L735" s="184">
        <v>42460</v>
      </c>
      <c r="M735" s="184">
        <v>43830</v>
      </c>
      <c r="N735" s="480">
        <v>375923.24</v>
      </c>
      <c r="O735" s="478" t="str">
        <f>IFERROR(VLOOKUP(A735,[1]Approval!A:C,3,FALSE),"")</f>
        <v>FIN Approval - Internal</v>
      </c>
      <c r="P735" s="184">
        <f>IFERROR(VLOOKUP(A735,[1]Approval!A:J,10,FALSE),"")</f>
        <v>43787</v>
      </c>
      <c r="R735" s="425">
        <f>2020-YEAR(Table227[[#This Row],[In-
Service
Date]])</f>
        <v>4</v>
      </c>
      <c r="S735" s="308">
        <f>+Table227[[#This Row],[Proj To Date
Actuals]]*1.02^R735</f>
        <v>406911.40466739837</v>
      </c>
    </row>
    <row r="736" spans="1:19" x14ac:dyDescent="0.25">
      <c r="A736" s="476" t="s">
        <v>1352</v>
      </c>
      <c r="B736" s="475" t="s">
        <v>4485</v>
      </c>
      <c r="C736" s="422" t="e">
        <f>VLOOKUP(B736,'Matter &amp; CI#'!$D$4:$E$595,2,FALSE)</f>
        <v>#N/A</v>
      </c>
      <c r="D736" s="476" t="s">
        <v>1353</v>
      </c>
      <c r="E736" s="476" t="s">
        <v>42</v>
      </c>
      <c r="F736" s="476" t="s">
        <v>24</v>
      </c>
      <c r="G736" s="475" t="s">
        <v>2013</v>
      </c>
      <c r="H736" s="516"/>
      <c r="I736" s="477" t="s">
        <v>5</v>
      </c>
      <c r="J736" s="476" t="s">
        <v>6</v>
      </c>
      <c r="K736" s="476" t="s">
        <v>7</v>
      </c>
      <c r="L736" s="184">
        <v>42460</v>
      </c>
      <c r="M736" s="184">
        <v>43586</v>
      </c>
      <c r="N736" s="480">
        <v>1940802</v>
      </c>
      <c r="O736" s="478" t="str">
        <f>IFERROR(VLOOKUP(A736,[1]Approval!A:C,3,FALSE),"")</f>
        <v>FIN Approval - Internal</v>
      </c>
      <c r="P736" s="184">
        <f>IFERROR(VLOOKUP(A736,[1]Approval!A:J,10,FALSE),"")</f>
        <v>43769</v>
      </c>
      <c r="R736" s="425">
        <f>2020-YEAR(Table227[[#This Row],[In-
Service
Date]])</f>
        <v>4</v>
      </c>
      <c r="S736" s="308">
        <f>+Table227[[#This Row],[Proj To Date
Actuals]]*1.02^R736</f>
        <v>2100786.50099232</v>
      </c>
    </row>
    <row r="737" spans="1:19" x14ac:dyDescent="0.25">
      <c r="A737" s="476" t="s">
        <v>1905</v>
      </c>
      <c r="B737" s="475" t="s">
        <v>4508</v>
      </c>
      <c r="C737" s="422" t="e">
        <f>VLOOKUP(B737,'Matter &amp; CI#'!$D$4:$E$595,2,FALSE)</f>
        <v>#N/A</v>
      </c>
      <c r="D737" s="476" t="s">
        <v>1906</v>
      </c>
      <c r="E737" s="476" t="s">
        <v>42</v>
      </c>
      <c r="F737" s="476" t="s">
        <v>24</v>
      </c>
      <c r="G737" s="475" t="s">
        <v>2013</v>
      </c>
      <c r="H737" s="516"/>
      <c r="I737" s="477" t="s">
        <v>5</v>
      </c>
      <c r="J737" s="476" t="s">
        <v>29</v>
      </c>
      <c r="K737" s="476" t="s">
        <v>7</v>
      </c>
      <c r="L737" s="184">
        <v>42482</v>
      </c>
      <c r="M737" s="184">
        <v>44044</v>
      </c>
      <c r="N737" s="480">
        <v>215817.67</v>
      </c>
      <c r="O737" s="478" t="str">
        <f>IFERROR(VLOOKUP(A737,[1]Approval!A:C,3,FALSE),"")</f>
        <v>FIN Approval - Internal</v>
      </c>
      <c r="P737" s="184">
        <f>IFERROR(VLOOKUP(A737,[1]Approval!A:J,10,FALSE),"")</f>
        <v>43915</v>
      </c>
      <c r="R737" s="425">
        <f>2020-YEAR(Table227[[#This Row],[In-
Service
Date]])</f>
        <v>4</v>
      </c>
      <c r="S737" s="308">
        <f>+Table227[[#This Row],[Proj To Date
Actuals]]*1.02^R737</f>
        <v>233607.98670426721</v>
      </c>
    </row>
    <row r="738" spans="1:19" x14ac:dyDescent="0.25">
      <c r="A738" s="476" t="s">
        <v>357</v>
      </c>
      <c r="B738" s="475" t="s">
        <v>4284</v>
      </c>
      <c r="C738" s="422" t="e">
        <f>VLOOKUP(B738,'Matter &amp; CI#'!$D$4:$E$595,2,FALSE)</f>
        <v>#N/A</v>
      </c>
      <c r="D738" s="476" t="s">
        <v>358</v>
      </c>
      <c r="E738" s="476" t="s">
        <v>42</v>
      </c>
      <c r="F738" s="476" t="s">
        <v>24</v>
      </c>
      <c r="G738" s="475" t="s">
        <v>2013</v>
      </c>
      <c r="H738" s="516"/>
      <c r="I738" s="477" t="s">
        <v>5</v>
      </c>
      <c r="J738" s="476" t="s">
        <v>6</v>
      </c>
      <c r="K738" s="476" t="s">
        <v>7</v>
      </c>
      <c r="L738" s="184">
        <v>42490</v>
      </c>
      <c r="M738" s="184">
        <v>43830</v>
      </c>
      <c r="N738" s="480">
        <v>699595.97</v>
      </c>
      <c r="O738" s="478" t="str">
        <f>IFERROR(VLOOKUP(A738,[1]Approval!A:C,3,FALSE),"")</f>
        <v>FIN Approval - Internal</v>
      </c>
      <c r="P738" s="184">
        <f>IFERROR(VLOOKUP(A738,[1]Approval!A:J,10,FALSE),"")</f>
        <v>43797</v>
      </c>
      <c r="R738" s="425">
        <f>2020-YEAR(Table227[[#This Row],[In-
Service
Date]])</f>
        <v>4</v>
      </c>
      <c r="S738" s="308">
        <f>+Table227[[#This Row],[Proj To Date
Actuals]]*1.02^R738</f>
        <v>757265.1769343951</v>
      </c>
    </row>
    <row r="739" spans="1:19" x14ac:dyDescent="0.25">
      <c r="A739" s="476" t="s">
        <v>379</v>
      </c>
      <c r="B739" s="475" t="s">
        <v>4349</v>
      </c>
      <c r="C739" s="422" t="e">
        <f>VLOOKUP(B739,'Matter &amp; CI#'!$D$4:$E$595,2,FALSE)</f>
        <v>#N/A</v>
      </c>
      <c r="D739" s="476" t="s">
        <v>380</v>
      </c>
      <c r="E739" s="476" t="s">
        <v>42</v>
      </c>
      <c r="F739" s="476" t="s">
        <v>24</v>
      </c>
      <c r="G739" s="475" t="s">
        <v>2013</v>
      </c>
      <c r="H739" s="516"/>
      <c r="I739" s="477" t="s">
        <v>5</v>
      </c>
      <c r="J739" s="476" t="s">
        <v>6</v>
      </c>
      <c r="K739" s="476" t="s">
        <v>7</v>
      </c>
      <c r="L739" s="184">
        <v>42490</v>
      </c>
      <c r="M739" s="184">
        <v>42940</v>
      </c>
      <c r="N739" s="480">
        <v>377198.53</v>
      </c>
      <c r="O739" s="478" t="str">
        <f>IFERROR(VLOOKUP(A739,[1]Approval!A:C,3,FALSE),"")</f>
        <v>FIN Approval - Internal</v>
      </c>
      <c r="P739" s="184">
        <f>IFERROR(VLOOKUP(A739,[1]Approval!A:J,10,FALSE),"")</f>
        <v>42940</v>
      </c>
      <c r="R739" s="425">
        <f>2020-YEAR(Table227[[#This Row],[In-
Service
Date]])</f>
        <v>4</v>
      </c>
      <c r="S739" s="308">
        <f>+Table227[[#This Row],[Proj To Date
Actuals]]*1.02^R739</f>
        <v>408291.81957672484</v>
      </c>
    </row>
    <row r="740" spans="1:19" x14ac:dyDescent="0.25">
      <c r="A740" s="476" t="s">
        <v>612</v>
      </c>
      <c r="B740" s="475" t="s">
        <v>4477</v>
      </c>
      <c r="C740" s="422" t="e">
        <f>VLOOKUP(B740,'Matter &amp; CI#'!$D$4:$E$595,2,FALSE)</f>
        <v>#N/A</v>
      </c>
      <c r="D740" s="476" t="s">
        <v>613</v>
      </c>
      <c r="E740" s="476" t="s">
        <v>34</v>
      </c>
      <c r="F740" s="476" t="s">
        <v>24</v>
      </c>
      <c r="G740" s="475" t="s">
        <v>2013</v>
      </c>
      <c r="H740" s="516"/>
      <c r="I740" s="477" t="s">
        <v>5</v>
      </c>
      <c r="J740" s="476" t="s">
        <v>6</v>
      </c>
      <c r="K740" s="476" t="s">
        <v>7</v>
      </c>
      <c r="L740" s="184">
        <v>42490</v>
      </c>
      <c r="M740" s="184">
        <v>43891</v>
      </c>
      <c r="N740" s="480">
        <v>3526302.04</v>
      </c>
      <c r="O740" s="478" t="str">
        <f>IFERROR(VLOOKUP(A740,[1]Approval!A:C,3,FALSE),"")</f>
        <v>FIN Approval - Internal</v>
      </c>
      <c r="P740" s="184">
        <f>IFERROR(VLOOKUP(A740,[1]Approval!A:J,10,FALSE),"")</f>
        <v>43892</v>
      </c>
      <c r="R740" s="425">
        <f>2020-YEAR(Table227[[#This Row],[In-
Service
Date]])</f>
        <v>4</v>
      </c>
      <c r="S740" s="308">
        <f>+Table227[[#This Row],[Proj To Date
Actuals]]*1.02^R740</f>
        <v>3816982.7339696065</v>
      </c>
    </row>
    <row r="741" spans="1:19" x14ac:dyDescent="0.25">
      <c r="A741" s="476" t="s">
        <v>875</v>
      </c>
      <c r="B741" s="475" t="s">
        <v>4512</v>
      </c>
      <c r="C741" s="422" t="e">
        <f>VLOOKUP(B741,'Matter &amp; CI#'!$D$4:$E$595,2,FALSE)</f>
        <v>#N/A</v>
      </c>
      <c r="D741" s="476" t="s">
        <v>876</v>
      </c>
      <c r="E741" s="476" t="s">
        <v>42</v>
      </c>
      <c r="F741" s="476" t="s">
        <v>24</v>
      </c>
      <c r="G741" s="475" t="s">
        <v>2013</v>
      </c>
      <c r="H741" s="516"/>
      <c r="I741" s="477" t="s">
        <v>5</v>
      </c>
      <c r="J741" s="476" t="s">
        <v>29</v>
      </c>
      <c r="K741" s="476" t="s">
        <v>7</v>
      </c>
      <c r="L741" s="184">
        <v>42520</v>
      </c>
      <c r="M741" s="184">
        <v>42940</v>
      </c>
      <c r="N741" s="480">
        <v>175269.23</v>
      </c>
      <c r="O741" s="478" t="str">
        <f>IFERROR(VLOOKUP(A741,[1]Approval!A:C,3,FALSE),"")</f>
        <v>FIN Approval - Internal</v>
      </c>
      <c r="P741" s="184">
        <f>IFERROR(VLOOKUP(A741,[1]Approval!A:J,10,FALSE),"")</f>
        <v>42940</v>
      </c>
      <c r="R741" s="425">
        <f>2020-YEAR(Table227[[#This Row],[In-
Service
Date]])</f>
        <v>4</v>
      </c>
      <c r="S741" s="308">
        <f>+Table227[[#This Row],[Proj To Date
Actuals]]*1.02^R741</f>
        <v>189717.0512104368</v>
      </c>
    </row>
    <row r="742" spans="1:19" x14ac:dyDescent="0.25">
      <c r="A742" s="476" t="s">
        <v>1632</v>
      </c>
      <c r="B742" s="475" t="s">
        <v>4486</v>
      </c>
      <c r="C742" s="422" t="e">
        <f>VLOOKUP(B742,'Matter &amp; CI#'!$D$4:$E$595,2,FALSE)</f>
        <v>#N/A</v>
      </c>
      <c r="D742" s="476" t="s">
        <v>1633</v>
      </c>
      <c r="E742" s="476" t="s">
        <v>42</v>
      </c>
      <c r="F742" s="476" t="s">
        <v>24</v>
      </c>
      <c r="G742" s="475" t="s">
        <v>2013</v>
      </c>
      <c r="H742" s="516"/>
      <c r="I742" s="477" t="s">
        <v>5</v>
      </c>
      <c r="J742" s="476" t="s">
        <v>6</v>
      </c>
      <c r="K742" s="476" t="s">
        <v>7</v>
      </c>
      <c r="L742" s="184">
        <v>42521</v>
      </c>
      <c r="M742" s="184">
        <v>43586</v>
      </c>
      <c r="N742" s="480">
        <v>1519276.91</v>
      </c>
      <c r="O742" s="478" t="str">
        <f>IFERROR(VLOOKUP(A742,[1]Approval!A:C,3,FALSE),"")</f>
        <v>FIN Approval - Internal</v>
      </c>
      <c r="P742" s="184">
        <f>IFERROR(VLOOKUP(A742,[1]Approval!A:J,10,FALSE),"")</f>
        <v>43553</v>
      </c>
      <c r="R742" s="425">
        <f>2020-YEAR(Table227[[#This Row],[In-
Service
Date]])</f>
        <v>4</v>
      </c>
      <c r="S742" s="308">
        <f>+Table227[[#This Row],[Proj To Date
Actuals]]*1.02^R742</f>
        <v>1644514.1873294255</v>
      </c>
    </row>
    <row r="743" spans="1:19" x14ac:dyDescent="0.25">
      <c r="A743" s="476" t="s">
        <v>417</v>
      </c>
      <c r="B743" s="475" t="s">
        <v>4506</v>
      </c>
      <c r="C743" s="422" t="e">
        <f>VLOOKUP(B743,'Matter &amp; CI#'!$D$4:$E$595,2,FALSE)</f>
        <v>#N/A</v>
      </c>
      <c r="D743" s="476" t="s">
        <v>418</v>
      </c>
      <c r="E743" s="476" t="s">
        <v>42</v>
      </c>
      <c r="F743" s="476" t="s">
        <v>24</v>
      </c>
      <c r="G743" s="475" t="s">
        <v>2013</v>
      </c>
      <c r="H743" s="516"/>
      <c r="I743" s="477" t="s">
        <v>5</v>
      </c>
      <c r="J743" s="476" t="s">
        <v>29</v>
      </c>
      <c r="K743" s="476" t="s">
        <v>7</v>
      </c>
      <c r="L743" s="184">
        <v>42551</v>
      </c>
      <c r="M743" s="184">
        <v>43862</v>
      </c>
      <c r="N743" s="480">
        <v>165791.63</v>
      </c>
      <c r="O743" s="478" t="str">
        <f>IFERROR(VLOOKUP(A743,[1]Approval!A:C,3,FALSE),"")</f>
        <v>FIN Approval - Internal</v>
      </c>
      <c r="P743" s="184">
        <f>IFERROR(VLOOKUP(A743,[1]Approval!A:J,10,FALSE),"")</f>
        <v>43817</v>
      </c>
      <c r="R743" s="425">
        <f>2020-YEAR(Table227[[#This Row],[In-
Service
Date]])</f>
        <v>4</v>
      </c>
      <c r="S743" s="308">
        <f>+Table227[[#This Row],[Proj To Date
Actuals]]*1.02^R743</f>
        <v>179458.19217082081</v>
      </c>
    </row>
    <row r="744" spans="1:19" x14ac:dyDescent="0.25">
      <c r="A744" s="476" t="s">
        <v>867</v>
      </c>
      <c r="B744" s="475" t="s">
        <v>4509</v>
      </c>
      <c r="C744" s="422" t="e">
        <f>VLOOKUP(B744,'Matter &amp; CI#'!$D$4:$E$595,2,FALSE)</f>
        <v>#N/A</v>
      </c>
      <c r="D744" s="476" t="s">
        <v>868</v>
      </c>
      <c r="E744" s="476" t="s">
        <v>42</v>
      </c>
      <c r="F744" s="476" t="s">
        <v>24</v>
      </c>
      <c r="G744" s="475" t="s">
        <v>2013</v>
      </c>
      <c r="H744" s="516"/>
      <c r="I744" s="477" t="s">
        <v>5</v>
      </c>
      <c r="J744" s="476" t="s">
        <v>29</v>
      </c>
      <c r="K744" s="476" t="s">
        <v>7</v>
      </c>
      <c r="L744" s="184">
        <v>42551</v>
      </c>
      <c r="M744" s="184">
        <v>42940</v>
      </c>
      <c r="N744" s="480">
        <v>167327.48000000001</v>
      </c>
      <c r="O744" s="478" t="str">
        <f>IFERROR(VLOOKUP(A744,[1]Approval!A:C,3,FALSE),"")</f>
        <v>FIN Approval - Internal</v>
      </c>
      <c r="P744" s="184">
        <f>IFERROR(VLOOKUP(A744,[1]Approval!A:J,10,FALSE),"")</f>
        <v>42940</v>
      </c>
      <c r="R744" s="425">
        <f>2020-YEAR(Table227[[#This Row],[In-
Service
Date]])</f>
        <v>4</v>
      </c>
      <c r="S744" s="308">
        <f>+Table227[[#This Row],[Proj To Date
Actuals]]*1.02^R744</f>
        <v>181120.6456037568</v>
      </c>
    </row>
    <row r="745" spans="1:19" x14ac:dyDescent="0.25">
      <c r="A745" s="476" t="s">
        <v>626</v>
      </c>
      <c r="B745" s="475" t="s">
        <v>4510</v>
      </c>
      <c r="C745" s="422" t="e">
        <f>VLOOKUP(B745,'Matter &amp; CI#'!$D$4:$E$595,2,FALSE)</f>
        <v>#N/A</v>
      </c>
      <c r="D745" s="476" t="s">
        <v>627</v>
      </c>
      <c r="E745" s="476" t="s">
        <v>42</v>
      </c>
      <c r="F745" s="476" t="s">
        <v>24</v>
      </c>
      <c r="G745" s="475" t="s">
        <v>2013</v>
      </c>
      <c r="H745" s="516"/>
      <c r="I745" s="477" t="s">
        <v>5</v>
      </c>
      <c r="J745" s="476" t="s">
        <v>29</v>
      </c>
      <c r="K745" s="476" t="s">
        <v>7</v>
      </c>
      <c r="L745" s="184">
        <v>42551</v>
      </c>
      <c r="M745" s="184">
        <v>43922</v>
      </c>
      <c r="N745" s="480">
        <v>53176.18</v>
      </c>
      <c r="O745" s="478" t="str">
        <f>IFERROR(VLOOKUP(A745,[1]Approval!A:C,3,FALSE),"")</f>
        <v>FIN Approval - Internal</v>
      </c>
      <c r="P745" s="184">
        <f>IFERROR(VLOOKUP(A745,[1]Approval!A:J,10,FALSE),"")</f>
        <v>43915</v>
      </c>
      <c r="R745" s="425">
        <f>2020-YEAR(Table227[[#This Row],[In-
Service
Date]])</f>
        <v>4</v>
      </c>
      <c r="S745" s="308">
        <f>+Table227[[#This Row],[Proj To Date
Actuals]]*1.02^R745</f>
        <v>57559.6073779488</v>
      </c>
    </row>
    <row r="746" spans="1:19" x14ac:dyDescent="0.25">
      <c r="A746" s="476" t="s">
        <v>1122</v>
      </c>
      <c r="B746" s="475" t="s">
        <v>4511</v>
      </c>
      <c r="C746" s="422" t="e">
        <f>VLOOKUP(B746,'Matter &amp; CI#'!$D$4:$E$595,2,FALSE)</f>
        <v>#N/A</v>
      </c>
      <c r="D746" s="476" t="s">
        <v>1123</v>
      </c>
      <c r="E746" s="476" t="s">
        <v>42</v>
      </c>
      <c r="F746" s="476" t="s">
        <v>24</v>
      </c>
      <c r="G746" s="475" t="s">
        <v>2013</v>
      </c>
      <c r="H746" s="516"/>
      <c r="I746" s="477" t="s">
        <v>5</v>
      </c>
      <c r="J746" s="476" t="s">
        <v>29</v>
      </c>
      <c r="K746" s="476" t="s">
        <v>7</v>
      </c>
      <c r="L746" s="184">
        <v>42551</v>
      </c>
      <c r="M746" s="184">
        <v>44044</v>
      </c>
      <c r="N746" s="480">
        <v>81451.520000000004</v>
      </c>
      <c r="O746" s="478" t="str">
        <f>IFERROR(VLOOKUP(A746,[1]Approval!A:C,3,FALSE),"")</f>
        <v>FIN Approval - Internal</v>
      </c>
      <c r="P746" s="184">
        <f>IFERROR(VLOOKUP(A746,[1]Approval!A:J,10,FALSE),"")</f>
        <v>43915</v>
      </c>
      <c r="R746" s="425">
        <f>2020-YEAR(Table227[[#This Row],[In-
Service
Date]])</f>
        <v>4</v>
      </c>
      <c r="S746" s="308">
        <f>+Table227[[#This Row],[Proj To Date
Actuals]]*1.02^R746</f>
        <v>88165.744728883205</v>
      </c>
    </row>
    <row r="747" spans="1:19" x14ac:dyDescent="0.25">
      <c r="A747" s="476" t="s">
        <v>154</v>
      </c>
      <c r="B747" s="475" t="s">
        <v>4473</v>
      </c>
      <c r="C747" s="422" t="e">
        <f>VLOOKUP(B747,'Matter &amp; CI#'!$D$4:$E$595,2,FALSE)</f>
        <v>#N/A</v>
      </c>
      <c r="D747" s="476" t="s">
        <v>155</v>
      </c>
      <c r="E747" s="476" t="s">
        <v>34</v>
      </c>
      <c r="F747" s="476" t="s">
        <v>24</v>
      </c>
      <c r="G747" s="475" t="s">
        <v>2013</v>
      </c>
      <c r="H747" s="516"/>
      <c r="I747" s="477" t="s">
        <v>5</v>
      </c>
      <c r="J747" s="476" t="s">
        <v>6</v>
      </c>
      <c r="K747" s="476" t="s">
        <v>7</v>
      </c>
      <c r="L747" s="184">
        <v>42582</v>
      </c>
      <c r="M747" s="184">
        <v>43862</v>
      </c>
      <c r="N747" s="480">
        <v>1178178.5900000001</v>
      </c>
      <c r="O747" s="478" t="str">
        <f>IFERROR(VLOOKUP(A747,[1]Approval!A:C,3,FALSE),"")</f>
        <v>FIN Approval - Internal</v>
      </c>
      <c r="P747" s="184">
        <f>IFERROR(VLOOKUP(A747,[1]Approval!A:J,10,FALSE),"")</f>
        <v>43700</v>
      </c>
      <c r="R747" s="425">
        <f>2020-YEAR(Table227[[#This Row],[In-
Service
Date]])</f>
        <v>4</v>
      </c>
      <c r="S747" s="308">
        <f>+Table227[[#This Row],[Proj To Date
Actuals]]*1.02^R747</f>
        <v>1275298.3960394545</v>
      </c>
    </row>
    <row r="748" spans="1:19" x14ac:dyDescent="0.25">
      <c r="A748" s="476" t="s">
        <v>1873</v>
      </c>
      <c r="B748" s="475" t="s">
        <v>4407</v>
      </c>
      <c r="C748" s="422" t="e">
        <f>VLOOKUP(B748,'Matter &amp; CI#'!$D$4:$E$595,2,FALSE)</f>
        <v>#N/A</v>
      </c>
      <c r="D748" s="476" t="s">
        <v>1874</v>
      </c>
      <c r="E748" s="476" t="s">
        <v>42</v>
      </c>
      <c r="F748" s="476" t="s">
        <v>24</v>
      </c>
      <c r="G748" s="475" t="s">
        <v>2013</v>
      </c>
      <c r="H748" s="516"/>
      <c r="I748" s="477" t="s">
        <v>5</v>
      </c>
      <c r="J748" s="476" t="s">
        <v>29</v>
      </c>
      <c r="K748" s="476" t="s">
        <v>7</v>
      </c>
      <c r="L748" s="184">
        <v>42586</v>
      </c>
      <c r="M748" s="184">
        <v>43830</v>
      </c>
      <c r="N748" s="480">
        <v>339770.86</v>
      </c>
      <c r="O748" s="478" t="str">
        <f>IFERROR(VLOOKUP(A748,[1]Approval!A:C,3,FALSE),"")</f>
        <v>FIN Approval - Internal</v>
      </c>
      <c r="P748" s="184">
        <f>IFERROR(VLOOKUP(A748,[1]Approval!A:J,10,FALSE),"")</f>
        <v>43797</v>
      </c>
      <c r="R748" s="425">
        <f>2020-YEAR(Table227[[#This Row],[In-
Service
Date]])</f>
        <v>4</v>
      </c>
      <c r="S748" s="308">
        <f>+Table227[[#This Row],[Proj To Date
Actuals]]*1.02^R748</f>
        <v>367778.9058948576</v>
      </c>
    </row>
    <row r="749" spans="1:19" x14ac:dyDescent="0.25">
      <c r="A749" s="476" t="s">
        <v>1354</v>
      </c>
      <c r="B749" s="475" t="s">
        <v>4487</v>
      </c>
      <c r="C749" s="422" t="e">
        <f>VLOOKUP(B749,'Matter &amp; CI#'!$D$4:$E$595,2,FALSE)</f>
        <v>#N/A</v>
      </c>
      <c r="D749" s="476" t="s">
        <v>1355</v>
      </c>
      <c r="E749" s="476" t="s">
        <v>42</v>
      </c>
      <c r="F749" s="476" t="s">
        <v>24</v>
      </c>
      <c r="G749" s="475" t="s">
        <v>2013</v>
      </c>
      <c r="H749" s="516"/>
      <c r="I749" s="477" t="s">
        <v>5</v>
      </c>
      <c r="J749" s="476" t="s">
        <v>6</v>
      </c>
      <c r="K749" s="476" t="s">
        <v>7</v>
      </c>
      <c r="L749" s="184">
        <v>42586</v>
      </c>
      <c r="M749" s="184">
        <v>43862</v>
      </c>
      <c r="N749" s="480">
        <v>1198819.71</v>
      </c>
      <c r="O749" s="478" t="str">
        <f>IFERROR(VLOOKUP(A749,[1]Approval!A:C,3,FALSE),"")</f>
        <v>FIN Approval - Internal</v>
      </c>
      <c r="P749" s="184">
        <f>IFERROR(VLOOKUP(A749,[1]Approval!A:J,10,FALSE),"")</f>
        <v>43700</v>
      </c>
      <c r="R749" s="425">
        <f>2020-YEAR(Table227[[#This Row],[In-
Service
Date]])</f>
        <v>4</v>
      </c>
      <c r="S749" s="308">
        <f>+Table227[[#This Row],[Proj To Date
Actuals]]*1.02^R749</f>
        <v>1297641.0081458734</v>
      </c>
    </row>
    <row r="750" spans="1:19" x14ac:dyDescent="0.25">
      <c r="A750" s="476" t="s">
        <v>606</v>
      </c>
      <c r="B750" s="475" t="s">
        <v>4208</v>
      </c>
      <c r="C750" s="422" t="e">
        <f>VLOOKUP(B750,'Matter &amp; CI#'!$D$4:$E$595,2,FALSE)</f>
        <v>#N/A</v>
      </c>
      <c r="D750" s="476" t="s">
        <v>607</v>
      </c>
      <c r="E750" s="476" t="s">
        <v>42</v>
      </c>
      <c r="F750" s="476" t="s">
        <v>24</v>
      </c>
      <c r="G750" s="475" t="s">
        <v>2013</v>
      </c>
      <c r="H750" s="516"/>
      <c r="I750" s="477" t="s">
        <v>5</v>
      </c>
      <c r="J750" s="476" t="s">
        <v>6</v>
      </c>
      <c r="K750" s="476" t="s">
        <v>28</v>
      </c>
      <c r="L750" s="184">
        <v>42613</v>
      </c>
      <c r="N750" s="480">
        <v>833760.61</v>
      </c>
      <c r="O750" s="478" t="str">
        <f>IFERROR(VLOOKUP(A750,[1]Approval!A:C,3,FALSE),"")</f>
        <v>FIN Approval - External</v>
      </c>
      <c r="P750" s="184">
        <f>IFERROR(VLOOKUP(A750,[1]Approval!A:J,10,FALSE),"")</f>
        <v>43714</v>
      </c>
      <c r="R750" s="425">
        <f>2020-YEAR(Table227[[#This Row],[In-
Service
Date]])</f>
        <v>4</v>
      </c>
      <c r="S750" s="308">
        <f>+Table227[[#This Row],[Proj To Date
Actuals]]*1.02^R750</f>
        <v>902489.29800521757</v>
      </c>
    </row>
    <row r="751" spans="1:19" x14ac:dyDescent="0.25">
      <c r="A751" s="476" t="s">
        <v>578</v>
      </c>
      <c r="B751" s="475" t="s">
        <v>4303</v>
      </c>
      <c r="C751" s="422" t="e">
        <f>VLOOKUP(B751,'Matter &amp; CI#'!$D$4:$E$595,2,FALSE)</f>
        <v>#N/A</v>
      </c>
      <c r="D751" s="476" t="s">
        <v>579</v>
      </c>
      <c r="E751" s="476" t="s">
        <v>42</v>
      </c>
      <c r="F751" s="476" t="s">
        <v>24</v>
      </c>
      <c r="G751" s="475" t="s">
        <v>2013</v>
      </c>
      <c r="H751" s="516"/>
      <c r="I751" s="477" t="s">
        <v>5</v>
      </c>
      <c r="J751" s="476" t="s">
        <v>29</v>
      </c>
      <c r="K751" s="476" t="s">
        <v>7</v>
      </c>
      <c r="L751" s="184">
        <v>42613</v>
      </c>
      <c r="M751" s="184">
        <v>43891</v>
      </c>
      <c r="N751" s="480">
        <v>125986.98</v>
      </c>
      <c r="O751" s="478" t="str">
        <f>IFERROR(VLOOKUP(A751,[1]Approval!A:C,3,FALSE),"")</f>
        <v>FIN Approval - Internal</v>
      </c>
      <c r="P751" s="184">
        <f>IFERROR(VLOOKUP(A751,[1]Approval!A:J,10,FALSE),"")</f>
        <v>43817</v>
      </c>
      <c r="R751" s="425">
        <f>2020-YEAR(Table227[[#This Row],[In-
Service
Date]])</f>
        <v>4</v>
      </c>
      <c r="S751" s="308">
        <f>+Table227[[#This Row],[Proj To Date
Actuals]]*1.02^R751</f>
        <v>136372.3588932768</v>
      </c>
    </row>
    <row r="752" spans="1:19" x14ac:dyDescent="0.25">
      <c r="A752" s="476" t="s">
        <v>393</v>
      </c>
      <c r="B752" s="475" t="s">
        <v>4415</v>
      </c>
      <c r="C752" s="422" t="e">
        <f>VLOOKUP(B752,'Matter &amp; CI#'!$D$4:$E$595,2,FALSE)</f>
        <v>#N/A</v>
      </c>
      <c r="D752" s="476" t="s">
        <v>394</v>
      </c>
      <c r="E752" s="476" t="s">
        <v>42</v>
      </c>
      <c r="F752" s="476" t="s">
        <v>24</v>
      </c>
      <c r="G752" s="475" t="s">
        <v>2013</v>
      </c>
      <c r="H752" s="516"/>
      <c r="I752" s="477" t="s">
        <v>5</v>
      </c>
      <c r="J752" s="476" t="s">
        <v>29</v>
      </c>
      <c r="K752" s="476" t="s">
        <v>7</v>
      </c>
      <c r="L752" s="184">
        <v>42613</v>
      </c>
      <c r="M752" s="184">
        <v>42940</v>
      </c>
      <c r="N752" s="480">
        <v>40267.97</v>
      </c>
      <c r="O752" s="478" t="str">
        <f>IFERROR(VLOOKUP(A752,[1]Approval!A:C,3,FALSE),"")</f>
        <v>FIN Approval - Internal</v>
      </c>
      <c r="P752" s="184">
        <f>IFERROR(VLOOKUP(A752,[1]Approval!A:J,10,FALSE),"")</f>
        <v>42940</v>
      </c>
      <c r="R752" s="425">
        <f>2020-YEAR(Table227[[#This Row],[In-
Service
Date]])</f>
        <v>4</v>
      </c>
      <c r="S752" s="308">
        <f>+Table227[[#This Row],[Proj To Date
Actuals]]*1.02^R752</f>
        <v>43587.345745915198</v>
      </c>
    </row>
    <row r="753" spans="1:19" x14ac:dyDescent="0.25">
      <c r="A753" s="476" t="s">
        <v>162</v>
      </c>
      <c r="B753" s="475" t="s">
        <v>4464</v>
      </c>
      <c r="C753" s="422" t="e">
        <f>VLOOKUP(B753,'Matter &amp; CI#'!$D$4:$E$595,2,FALSE)</f>
        <v>#N/A</v>
      </c>
      <c r="D753" s="476" t="s">
        <v>163</v>
      </c>
      <c r="E753" s="476" t="s">
        <v>42</v>
      </c>
      <c r="F753" s="476" t="s">
        <v>24</v>
      </c>
      <c r="G753" s="475" t="s">
        <v>2013</v>
      </c>
      <c r="H753" s="516"/>
      <c r="I753" s="477" t="s">
        <v>5</v>
      </c>
      <c r="J753" s="476" t="s">
        <v>6</v>
      </c>
      <c r="K753" s="476" t="s">
        <v>28</v>
      </c>
      <c r="L753" s="184">
        <v>42613</v>
      </c>
      <c r="N753" s="480">
        <v>891792.35</v>
      </c>
      <c r="O753" s="478" t="str">
        <f>IFERROR(VLOOKUP(A753,[1]Approval!A:C,3,FALSE),"")</f>
        <v/>
      </c>
      <c r="P753" s="184" t="str">
        <f>IFERROR(VLOOKUP(A753,[1]Approval!A:J,10,FALSE),"")</f>
        <v/>
      </c>
      <c r="R753" s="425">
        <f>2020-YEAR(Table227[[#This Row],[In-
Service
Date]])</f>
        <v>4</v>
      </c>
      <c r="S753" s="308">
        <f>+Table227[[#This Row],[Proj To Date
Actuals]]*1.02^R753</f>
        <v>965304.7196819759</v>
      </c>
    </row>
    <row r="754" spans="1:19" x14ac:dyDescent="0.25">
      <c r="A754" s="476" t="s">
        <v>1895</v>
      </c>
      <c r="B754" s="475" t="s">
        <v>4466</v>
      </c>
      <c r="C754" s="422" t="e">
        <f>VLOOKUP(B754,'Matter &amp; CI#'!$D$4:$E$595,2,FALSE)</f>
        <v>#N/A</v>
      </c>
      <c r="D754" s="476" t="s">
        <v>1896</v>
      </c>
      <c r="E754" s="476" t="s">
        <v>42</v>
      </c>
      <c r="F754" s="476" t="s">
        <v>24</v>
      </c>
      <c r="G754" s="475" t="s">
        <v>2013</v>
      </c>
      <c r="H754" s="516"/>
      <c r="I754" s="477" t="s">
        <v>5</v>
      </c>
      <c r="J754" s="476" t="s">
        <v>6</v>
      </c>
      <c r="K754" s="476" t="s">
        <v>7</v>
      </c>
      <c r="L754" s="184">
        <v>42613</v>
      </c>
      <c r="M754" s="184">
        <v>43830</v>
      </c>
      <c r="N754" s="480">
        <v>1509306.56</v>
      </c>
      <c r="O754" s="478" t="str">
        <f>IFERROR(VLOOKUP(A754,[1]Approval!A:C,3,FALSE),"")</f>
        <v>FIN Approval - Internal</v>
      </c>
      <c r="P754" s="184">
        <f>IFERROR(VLOOKUP(A754,[1]Approval!A:J,10,FALSE),"")</f>
        <v>43797</v>
      </c>
      <c r="R754" s="425">
        <f>2020-YEAR(Table227[[#This Row],[In-
Service
Date]])</f>
        <v>4</v>
      </c>
      <c r="S754" s="308">
        <f>+Table227[[#This Row],[Proj To Date
Actuals]]*1.02^R754</f>
        <v>1633721.9598429697</v>
      </c>
    </row>
    <row r="755" spans="1:19" x14ac:dyDescent="0.25">
      <c r="A755" s="476" t="s">
        <v>873</v>
      </c>
      <c r="B755" s="475" t="s">
        <v>4531</v>
      </c>
      <c r="C755" s="422" t="e">
        <f>VLOOKUP(B755,'Matter &amp; CI#'!$D$4:$E$595,2,FALSE)</f>
        <v>#N/A</v>
      </c>
      <c r="D755" s="476" t="s">
        <v>874</v>
      </c>
      <c r="E755" s="476" t="s">
        <v>42</v>
      </c>
      <c r="F755" s="476" t="s">
        <v>24</v>
      </c>
      <c r="G755" s="475" t="s">
        <v>2013</v>
      </c>
      <c r="H755" s="516"/>
      <c r="I755" s="477" t="s">
        <v>5</v>
      </c>
      <c r="J755" s="476" t="s">
        <v>29</v>
      </c>
      <c r="K755" s="476" t="s">
        <v>7</v>
      </c>
      <c r="L755" s="184">
        <v>42613</v>
      </c>
      <c r="M755" s="184">
        <v>43922</v>
      </c>
      <c r="N755" s="480">
        <v>88052.53</v>
      </c>
      <c r="O755" s="478" t="str">
        <f>IFERROR(VLOOKUP(A755,[1]Approval!A:C,3,FALSE),"")</f>
        <v>FIN Approval - Internal</v>
      </c>
      <c r="P755" s="184">
        <f>IFERROR(VLOOKUP(A755,[1]Approval!A:J,10,FALSE),"")</f>
        <v>43906</v>
      </c>
      <c r="R755" s="425">
        <f>2020-YEAR(Table227[[#This Row],[In-
Service
Date]])</f>
        <v>4</v>
      </c>
      <c r="S755" s="308">
        <f>+Table227[[#This Row],[Proj To Date
Actuals]]*1.02^R755</f>
        <v>95310.890241364803</v>
      </c>
    </row>
    <row r="756" spans="1:19" x14ac:dyDescent="0.25">
      <c r="A756" s="476" t="s">
        <v>1642</v>
      </c>
      <c r="B756" s="475" t="s">
        <v>4546</v>
      </c>
      <c r="C756" s="422" t="e">
        <f>VLOOKUP(B756,'Matter &amp; CI#'!$D$4:$E$595,2,FALSE)</f>
        <v>#N/A</v>
      </c>
      <c r="D756" s="476" t="s">
        <v>1643</v>
      </c>
      <c r="E756" s="476" t="s">
        <v>42</v>
      </c>
      <c r="F756" s="476" t="s">
        <v>24</v>
      </c>
      <c r="G756" s="475" t="s">
        <v>2013</v>
      </c>
      <c r="H756" s="516"/>
      <c r="I756" s="477" t="s">
        <v>5</v>
      </c>
      <c r="J756" s="476" t="s">
        <v>29</v>
      </c>
      <c r="K756" s="476" t="s">
        <v>7</v>
      </c>
      <c r="L756" s="184">
        <v>42613</v>
      </c>
      <c r="M756" s="184">
        <v>43830</v>
      </c>
      <c r="N756" s="480">
        <v>92319.48</v>
      </c>
      <c r="O756" s="478" t="str">
        <f>IFERROR(VLOOKUP(A756,[1]Approval!A:C,3,FALSE),"")</f>
        <v>FIN Approval - Internal</v>
      </c>
      <c r="P756" s="184">
        <f>IFERROR(VLOOKUP(A756,[1]Approval!A:J,10,FALSE),"")</f>
        <v>43797</v>
      </c>
      <c r="R756" s="425">
        <f>2020-YEAR(Table227[[#This Row],[In-
Service
Date]])</f>
        <v>4</v>
      </c>
      <c r="S756" s="308">
        <f>+Table227[[#This Row],[Proj To Date
Actuals]]*1.02^R756</f>
        <v>99929.574146476793</v>
      </c>
    </row>
    <row r="757" spans="1:19" x14ac:dyDescent="0.25">
      <c r="A757" s="476" t="s">
        <v>877</v>
      </c>
      <c r="B757" s="475" t="s">
        <v>4556</v>
      </c>
      <c r="C757" s="422" t="e">
        <f>VLOOKUP(B757,'Matter &amp; CI#'!$D$4:$E$595,2,FALSE)</f>
        <v>#N/A</v>
      </c>
      <c r="D757" s="476" t="s">
        <v>878</v>
      </c>
      <c r="E757" s="476" t="s">
        <v>42</v>
      </c>
      <c r="F757" s="476" t="s">
        <v>24</v>
      </c>
      <c r="G757" s="475" t="s">
        <v>2013</v>
      </c>
      <c r="H757" s="516"/>
      <c r="I757" s="477" t="s">
        <v>5</v>
      </c>
      <c r="J757" s="476" t="s">
        <v>6</v>
      </c>
      <c r="K757" s="476" t="s">
        <v>7</v>
      </c>
      <c r="L757" s="184">
        <v>42613</v>
      </c>
      <c r="M757" s="184">
        <v>43862</v>
      </c>
      <c r="N757" s="480">
        <v>17060.419999999998</v>
      </c>
      <c r="O757" s="478" t="str">
        <f>IFERROR(VLOOKUP(A757,[1]Approval!A:C,3,FALSE),"")</f>
        <v>FIN Approval - Internal</v>
      </c>
      <c r="P757" s="184">
        <f>IFERROR(VLOOKUP(A757,[1]Approval!A:J,10,FALSE),"")</f>
        <v>43817</v>
      </c>
      <c r="R757" s="425">
        <f>2020-YEAR(Table227[[#This Row],[In-
Service
Date]])</f>
        <v>4</v>
      </c>
      <c r="S757" s="308">
        <f>+Table227[[#This Row],[Proj To Date
Actuals]]*1.02^R757</f>
        <v>18466.747271107197</v>
      </c>
    </row>
    <row r="758" spans="1:19" x14ac:dyDescent="0.25">
      <c r="A758" s="476" t="s">
        <v>166</v>
      </c>
      <c r="B758" s="475" t="s">
        <v>4461</v>
      </c>
      <c r="C758" s="422" t="e">
        <f>VLOOKUP(B758,'Matter &amp; CI#'!$D$4:$E$595,2,FALSE)</f>
        <v>#N/A</v>
      </c>
      <c r="D758" s="476" t="s">
        <v>167</v>
      </c>
      <c r="E758" s="476" t="s">
        <v>42</v>
      </c>
      <c r="F758" s="476" t="s">
        <v>24</v>
      </c>
      <c r="G758" s="475" t="s">
        <v>2013</v>
      </c>
      <c r="H758" s="516"/>
      <c r="I758" s="477" t="s">
        <v>5</v>
      </c>
      <c r="J758" s="476" t="s">
        <v>6</v>
      </c>
      <c r="K758" s="476" t="s">
        <v>28</v>
      </c>
      <c r="L758" s="184">
        <v>42615</v>
      </c>
      <c r="N758" s="480">
        <v>1552221.58</v>
      </c>
      <c r="O758" s="478" t="str">
        <f>IFERROR(VLOOKUP(A758,[1]Approval!A:C,3,FALSE),"")</f>
        <v/>
      </c>
      <c r="P758" s="184" t="str">
        <f>IFERROR(VLOOKUP(A758,[1]Approval!A:J,10,FALSE),"")</f>
        <v/>
      </c>
      <c r="R758" s="425">
        <f>2020-YEAR(Table227[[#This Row],[In-
Service
Date]])</f>
        <v>4</v>
      </c>
      <c r="S758" s="308">
        <f>+Table227[[#This Row],[Proj To Date
Actuals]]*1.02^R758</f>
        <v>1680174.5576380128</v>
      </c>
    </row>
    <row r="759" spans="1:19" x14ac:dyDescent="0.25">
      <c r="A759" s="476" t="s">
        <v>1084</v>
      </c>
      <c r="B759" s="475" t="s">
        <v>4366</v>
      </c>
      <c r="C759" s="422" t="e">
        <f>VLOOKUP(B759,'Matter &amp; CI#'!$D$4:$E$595,2,FALSE)</f>
        <v>#N/A</v>
      </c>
      <c r="D759" s="476" t="s">
        <v>1085</v>
      </c>
      <c r="E759" s="476" t="s">
        <v>235</v>
      </c>
      <c r="F759" s="476" t="s">
        <v>24</v>
      </c>
      <c r="G759" s="475" t="s">
        <v>2013</v>
      </c>
      <c r="H759" s="516"/>
      <c r="I759" s="477" t="s">
        <v>5</v>
      </c>
      <c r="J759" s="476" t="s">
        <v>6</v>
      </c>
      <c r="K759" s="476" t="s">
        <v>7</v>
      </c>
      <c r="L759" s="184">
        <v>42625</v>
      </c>
      <c r="M759" s="184">
        <v>43556</v>
      </c>
      <c r="N759" s="480">
        <v>3315242.44</v>
      </c>
      <c r="O759" s="478" t="str">
        <f>IFERROR(VLOOKUP(A759,[1]Approval!A:C,3,FALSE),"")</f>
        <v>FIN Approval - External</v>
      </c>
      <c r="P759" s="184">
        <f>IFERROR(VLOOKUP(A759,[1]Approval!A:J,10,FALSE),"")</f>
        <v>43327</v>
      </c>
      <c r="R759" s="425">
        <f>2020-YEAR(Table227[[#This Row],[In-
Service
Date]])</f>
        <v>4</v>
      </c>
      <c r="S759" s="308">
        <f>+Table227[[#This Row],[Proj To Date
Actuals]]*1.02^R759</f>
        <v>3588525.0352528701</v>
      </c>
    </row>
    <row r="760" spans="1:19" x14ac:dyDescent="0.25">
      <c r="A760" s="476" t="s">
        <v>142</v>
      </c>
      <c r="B760" s="475" t="s">
        <v>4269</v>
      </c>
      <c r="C760" s="422" t="e">
        <f>VLOOKUP(B760,'Matter &amp; CI#'!$D$4:$E$595,2,FALSE)</f>
        <v>#N/A</v>
      </c>
      <c r="D760" s="476" t="s">
        <v>143</v>
      </c>
      <c r="E760" s="476" t="s">
        <v>34</v>
      </c>
      <c r="F760" s="476" t="s">
        <v>24</v>
      </c>
      <c r="G760" s="475" t="s">
        <v>2013</v>
      </c>
      <c r="H760" s="516"/>
      <c r="I760" s="477" t="s">
        <v>5</v>
      </c>
      <c r="J760" s="476" t="s">
        <v>6</v>
      </c>
      <c r="K760" s="476" t="s">
        <v>7</v>
      </c>
      <c r="L760" s="184">
        <v>42634</v>
      </c>
      <c r="M760" s="184">
        <v>43862</v>
      </c>
      <c r="N760" s="480">
        <v>1157139.93</v>
      </c>
      <c r="O760" s="478" t="str">
        <f>IFERROR(VLOOKUP(A760,[1]Approval!A:C,3,FALSE),"")</f>
        <v>FIN Approval - Internal</v>
      </c>
      <c r="P760" s="184">
        <f>IFERROR(VLOOKUP(A760,[1]Approval!A:J,10,FALSE),"")</f>
        <v>43700</v>
      </c>
      <c r="R760" s="425">
        <f>2020-YEAR(Table227[[#This Row],[In-
Service
Date]])</f>
        <v>4</v>
      </c>
      <c r="S760" s="308">
        <f>+Table227[[#This Row],[Proj To Date
Actuals]]*1.02^R760</f>
        <v>1252525.4738521487</v>
      </c>
    </row>
    <row r="761" spans="1:19" x14ac:dyDescent="0.25">
      <c r="A761" s="476" t="s">
        <v>317</v>
      </c>
      <c r="B761" s="475" t="s">
        <v>4183</v>
      </c>
      <c r="C761" s="422" t="e">
        <f>VLOOKUP(B761,'Matter &amp; CI#'!$D$4:$E$595,2,FALSE)</f>
        <v>#N/A</v>
      </c>
      <c r="D761" s="476" t="s">
        <v>318</v>
      </c>
      <c r="E761" s="476" t="s">
        <v>42</v>
      </c>
      <c r="F761" s="476" t="s">
        <v>24</v>
      </c>
      <c r="G761" s="475" t="s">
        <v>2013</v>
      </c>
      <c r="H761" s="516"/>
      <c r="I761" s="477" t="s">
        <v>5</v>
      </c>
      <c r="J761" s="476" t="s">
        <v>6</v>
      </c>
      <c r="K761" s="476" t="s">
        <v>7</v>
      </c>
      <c r="L761" s="184">
        <v>42643</v>
      </c>
      <c r="M761" s="184">
        <v>43556</v>
      </c>
      <c r="N761" s="480">
        <v>303626.15999999997</v>
      </c>
      <c r="O761" s="478" t="str">
        <f>IFERROR(VLOOKUP(A761,[1]Approval!A:C,3,FALSE),"")</f>
        <v>FIN Approval - External</v>
      </c>
      <c r="P761" s="184">
        <f>IFERROR(VLOOKUP(A761,[1]Approval!A:J,10,FALSE),"")</f>
        <v>43490</v>
      </c>
      <c r="R761" s="425">
        <f>2020-YEAR(Table227[[#This Row],[In-
Service
Date]])</f>
        <v>4</v>
      </c>
      <c r="S761" s="308">
        <f>+Table227[[#This Row],[Proj To Date
Actuals]]*1.02^R761</f>
        <v>328654.72020130558</v>
      </c>
    </row>
    <row r="762" spans="1:19" x14ac:dyDescent="0.25">
      <c r="A762" s="476" t="s">
        <v>610</v>
      </c>
      <c r="B762" s="475" t="s">
        <v>4475</v>
      </c>
      <c r="C762" s="422" t="e">
        <f>VLOOKUP(B762,'Matter &amp; CI#'!$D$4:$E$595,2,FALSE)</f>
        <v>#N/A</v>
      </c>
      <c r="D762" s="476" t="s">
        <v>611</v>
      </c>
      <c r="E762" s="476" t="s">
        <v>34</v>
      </c>
      <c r="F762" s="476" t="s">
        <v>24</v>
      </c>
      <c r="G762" s="475" t="s">
        <v>2013</v>
      </c>
      <c r="H762" s="516"/>
      <c r="I762" s="477" t="s">
        <v>5</v>
      </c>
      <c r="J762" s="476" t="s">
        <v>6</v>
      </c>
      <c r="K762" s="476" t="s">
        <v>28</v>
      </c>
      <c r="L762" s="184">
        <v>42643</v>
      </c>
      <c r="N762" s="480">
        <v>582317.47</v>
      </c>
      <c r="O762" s="478" t="str">
        <f>IFERROR(VLOOKUP(A762,[1]Approval!A:C,3,FALSE),"")</f>
        <v/>
      </c>
      <c r="P762" s="184" t="str">
        <f>IFERROR(VLOOKUP(A762,[1]Approval!A:J,10,FALSE),"")</f>
        <v/>
      </c>
      <c r="R762" s="425">
        <f>2020-YEAR(Table227[[#This Row],[In-
Service
Date]])</f>
        <v>4</v>
      </c>
      <c r="S762" s="308">
        <f>+Table227[[#This Row],[Proj To Date
Actuals]]*1.02^R762</f>
        <v>630319.15685783513</v>
      </c>
    </row>
    <row r="763" spans="1:19" x14ac:dyDescent="0.25">
      <c r="A763" s="476" t="s">
        <v>634</v>
      </c>
      <c r="B763" s="475" t="s">
        <v>4550</v>
      </c>
      <c r="C763" s="422" t="e">
        <f>VLOOKUP(B763,'Matter &amp; CI#'!$D$4:$E$595,2,FALSE)</f>
        <v>#N/A</v>
      </c>
      <c r="D763" s="476" t="s">
        <v>635</v>
      </c>
      <c r="E763" s="476" t="s">
        <v>42</v>
      </c>
      <c r="F763" s="476" t="s">
        <v>24</v>
      </c>
      <c r="G763" s="475" t="s">
        <v>2013</v>
      </c>
      <c r="H763" s="516"/>
      <c r="I763" s="477" t="s">
        <v>5</v>
      </c>
      <c r="J763" s="476" t="s">
        <v>29</v>
      </c>
      <c r="K763" s="476" t="s">
        <v>7</v>
      </c>
      <c r="L763" s="184">
        <v>42643</v>
      </c>
      <c r="M763" s="184">
        <v>42940</v>
      </c>
      <c r="N763" s="480">
        <v>379099.55</v>
      </c>
      <c r="O763" s="478" t="str">
        <f>IFERROR(VLOOKUP(A763,[1]Approval!A:C,3,FALSE),"")</f>
        <v>FIN Approval - Internal</v>
      </c>
      <c r="P763" s="184">
        <f>IFERROR(VLOOKUP(A763,[1]Approval!A:J,10,FALSE),"")</f>
        <v>42940</v>
      </c>
      <c r="R763" s="425">
        <f>2020-YEAR(Table227[[#This Row],[In-
Service
Date]])</f>
        <v>4</v>
      </c>
      <c r="S763" s="308">
        <f>+Table227[[#This Row],[Proj To Date
Actuals]]*1.02^R763</f>
        <v>410349.54476152797</v>
      </c>
    </row>
    <row r="764" spans="1:19" x14ac:dyDescent="0.25">
      <c r="A764" s="476" t="s">
        <v>1382</v>
      </c>
      <c r="B764" s="475" t="s">
        <v>4552</v>
      </c>
      <c r="C764" s="422" t="e">
        <f>VLOOKUP(B764,'Matter &amp; CI#'!$D$4:$E$595,2,FALSE)</f>
        <v>#N/A</v>
      </c>
      <c r="D764" s="476" t="s">
        <v>1383</v>
      </c>
      <c r="E764" s="476" t="s">
        <v>42</v>
      </c>
      <c r="F764" s="476" t="s">
        <v>24</v>
      </c>
      <c r="G764" s="475" t="s">
        <v>2013</v>
      </c>
      <c r="H764" s="516"/>
      <c r="I764" s="477" t="s">
        <v>5</v>
      </c>
      <c r="J764" s="476" t="s">
        <v>29</v>
      </c>
      <c r="K764" s="476" t="s">
        <v>7</v>
      </c>
      <c r="L764" s="184">
        <v>42671</v>
      </c>
      <c r="M764" s="184">
        <v>43952</v>
      </c>
      <c r="N764" s="480">
        <v>56670.85</v>
      </c>
      <c r="O764" s="478" t="str">
        <f>IFERROR(VLOOKUP(A764,[1]Approval!A:C,3,FALSE),"")</f>
        <v>FIN Approval - Internal</v>
      </c>
      <c r="P764" s="184">
        <f>IFERROR(VLOOKUP(A764,[1]Approval!A:J,10,FALSE),"")</f>
        <v>43915</v>
      </c>
      <c r="R764" s="425">
        <f>2020-YEAR(Table227[[#This Row],[In-
Service
Date]])</f>
        <v>4</v>
      </c>
      <c r="S764" s="308">
        <f>+Table227[[#This Row],[Proj To Date
Actuals]]*1.02^R764</f>
        <v>61342.350574535994</v>
      </c>
    </row>
    <row r="765" spans="1:19" x14ac:dyDescent="0.25">
      <c r="A765" s="476" t="s">
        <v>1098</v>
      </c>
      <c r="B765" s="475" t="s">
        <v>4184</v>
      </c>
      <c r="C765" s="422" t="e">
        <f>VLOOKUP(B765,'Matter &amp; CI#'!$D$4:$E$595,2,FALSE)</f>
        <v>#N/A</v>
      </c>
      <c r="D765" s="476" t="s">
        <v>1099</v>
      </c>
      <c r="E765" s="476" t="s">
        <v>34</v>
      </c>
      <c r="F765" s="476" t="s">
        <v>24</v>
      </c>
      <c r="G765" s="475" t="s">
        <v>2013</v>
      </c>
      <c r="H765" s="516"/>
      <c r="I765" s="477" t="s">
        <v>5</v>
      </c>
      <c r="J765" s="476" t="s">
        <v>6</v>
      </c>
      <c r="K765" s="476" t="s">
        <v>7</v>
      </c>
      <c r="L765" s="184">
        <v>42674</v>
      </c>
      <c r="M765" s="184">
        <v>43952</v>
      </c>
      <c r="N765" s="480">
        <v>533267.75</v>
      </c>
      <c r="O765" s="478" t="str">
        <f>IFERROR(VLOOKUP(A765,[1]Approval!A:C,3,FALSE),"")</f>
        <v>FIN Approval - Internal</v>
      </c>
      <c r="P765" s="184">
        <f>IFERROR(VLOOKUP(A765,[1]Approval!A:J,10,FALSE),"")</f>
        <v>43915</v>
      </c>
      <c r="R765" s="425">
        <f>2020-YEAR(Table227[[#This Row],[In-
Service
Date]])</f>
        <v>4</v>
      </c>
      <c r="S765" s="308">
        <f>+Table227[[#This Row],[Proj To Date
Actuals]]*1.02^R765</f>
        <v>577226.16249083995</v>
      </c>
    </row>
    <row r="766" spans="1:19" x14ac:dyDescent="0.25">
      <c r="A766" s="476" t="s">
        <v>849</v>
      </c>
      <c r="B766" s="475" t="s">
        <v>4185</v>
      </c>
      <c r="C766" s="422" t="e">
        <f>VLOOKUP(B766,'Matter &amp; CI#'!$D$4:$E$595,2,FALSE)</f>
        <v>#N/A</v>
      </c>
      <c r="D766" s="476" t="s">
        <v>850</v>
      </c>
      <c r="E766" s="476" t="s">
        <v>34</v>
      </c>
      <c r="F766" s="476" t="s">
        <v>24</v>
      </c>
      <c r="G766" s="475" t="s">
        <v>2013</v>
      </c>
      <c r="H766" s="516"/>
      <c r="I766" s="477" t="s">
        <v>5</v>
      </c>
      <c r="J766" s="476" t="s">
        <v>6</v>
      </c>
      <c r="K766" s="476" t="s">
        <v>7</v>
      </c>
      <c r="L766" s="184">
        <v>42674</v>
      </c>
      <c r="M766" s="184">
        <v>43952</v>
      </c>
      <c r="N766" s="480">
        <v>1524240.2</v>
      </c>
      <c r="O766" s="478" t="str">
        <f>IFERROR(VLOOKUP(A766,[1]Approval!A:C,3,FALSE),"")</f>
        <v>FIN Approval - Internal</v>
      </c>
      <c r="P766" s="184">
        <f>IFERROR(VLOOKUP(A766,[1]Approval!A:J,10,FALSE),"")</f>
        <v>43915</v>
      </c>
      <c r="R766" s="425">
        <f>2020-YEAR(Table227[[#This Row],[In-
Service
Date]])</f>
        <v>4</v>
      </c>
      <c r="S766" s="308">
        <f>+Table227[[#This Row],[Proj To Date
Actuals]]*1.02^R766</f>
        <v>1649886.612044832</v>
      </c>
    </row>
    <row r="767" spans="1:19" x14ac:dyDescent="0.25">
      <c r="A767" s="476" t="s">
        <v>1374</v>
      </c>
      <c r="B767" s="475" t="s">
        <v>4460</v>
      </c>
      <c r="C767" s="422" t="e">
        <f>VLOOKUP(B767,'Matter &amp; CI#'!$D$4:$E$595,2,FALSE)</f>
        <v>#N/A</v>
      </c>
      <c r="D767" s="476" t="s">
        <v>1375</v>
      </c>
      <c r="E767" s="476" t="s">
        <v>42</v>
      </c>
      <c r="F767" s="476" t="s">
        <v>24</v>
      </c>
      <c r="G767" s="475" t="s">
        <v>2013</v>
      </c>
      <c r="H767" s="516"/>
      <c r="I767" s="477" t="s">
        <v>5</v>
      </c>
      <c r="J767" s="476" t="s">
        <v>6</v>
      </c>
      <c r="K767" s="476" t="s">
        <v>7</v>
      </c>
      <c r="L767" s="184">
        <v>42674</v>
      </c>
      <c r="M767" s="184">
        <v>43862</v>
      </c>
      <c r="N767" s="480">
        <v>947929.95</v>
      </c>
      <c r="O767" s="478" t="str">
        <f>IFERROR(VLOOKUP(A767,[1]Approval!A:C,3,FALSE),"")</f>
        <v>FIN Approval - Internal</v>
      </c>
      <c r="P767" s="184">
        <f>IFERROR(VLOOKUP(A767,[1]Approval!A:J,10,FALSE),"")</f>
        <v>43677</v>
      </c>
      <c r="R767" s="425">
        <f>2020-YEAR(Table227[[#This Row],[In-
Service
Date]])</f>
        <v>4</v>
      </c>
      <c r="S767" s="308">
        <f>+Table227[[#This Row],[Proj To Date
Actuals]]*1.02^R767</f>
        <v>1026069.8633071919</v>
      </c>
    </row>
    <row r="768" spans="1:19" x14ac:dyDescent="0.25">
      <c r="A768" s="476" t="s">
        <v>1370</v>
      </c>
      <c r="B768" s="475" t="s">
        <v>4484</v>
      </c>
      <c r="C768" s="422" t="e">
        <f>VLOOKUP(B768,'Matter &amp; CI#'!$D$4:$E$595,2,FALSE)</f>
        <v>#N/A</v>
      </c>
      <c r="D768" s="476" t="s">
        <v>1371</v>
      </c>
      <c r="E768" s="476" t="s">
        <v>34</v>
      </c>
      <c r="F768" s="476" t="s">
        <v>24</v>
      </c>
      <c r="G768" s="475" t="s">
        <v>2013</v>
      </c>
      <c r="H768" s="516"/>
      <c r="I768" s="477" t="s">
        <v>5</v>
      </c>
      <c r="J768" s="476" t="s">
        <v>6</v>
      </c>
      <c r="K768" s="476" t="s">
        <v>7</v>
      </c>
      <c r="L768" s="184">
        <v>42674</v>
      </c>
      <c r="M768" s="184">
        <v>43922</v>
      </c>
      <c r="N768" s="480">
        <v>72516.42</v>
      </c>
      <c r="O768" s="478" t="str">
        <f>IFERROR(VLOOKUP(A768,[1]Approval!A:C,3,FALSE),"")</f>
        <v>FIN Approval - Internal</v>
      </c>
      <c r="P768" s="184">
        <f>IFERROR(VLOOKUP(A768,[1]Approval!A:J,10,FALSE),"")</f>
        <v>43915</v>
      </c>
      <c r="R768" s="425">
        <f>2020-YEAR(Table227[[#This Row],[In-
Service
Date]])</f>
        <v>4</v>
      </c>
      <c r="S768" s="308">
        <f>+Table227[[#This Row],[Proj To Date
Actuals]]*1.02^R768</f>
        <v>78494.105136067199</v>
      </c>
    </row>
    <row r="769" spans="1:19" x14ac:dyDescent="0.25">
      <c r="A769" s="476" t="s">
        <v>1384</v>
      </c>
      <c r="B769" s="475" t="s">
        <v>4507</v>
      </c>
      <c r="C769" s="422" t="e">
        <f>VLOOKUP(B769,'Matter &amp; CI#'!$D$4:$E$595,2,FALSE)</f>
        <v>#N/A</v>
      </c>
      <c r="D769" s="476" t="s">
        <v>1385</v>
      </c>
      <c r="E769" s="476" t="s">
        <v>42</v>
      </c>
      <c r="F769" s="476" t="s">
        <v>24</v>
      </c>
      <c r="G769" s="475" t="s">
        <v>2013</v>
      </c>
      <c r="H769" s="516"/>
      <c r="I769" s="477" t="s">
        <v>5</v>
      </c>
      <c r="J769" s="476" t="s">
        <v>29</v>
      </c>
      <c r="K769" s="476" t="s">
        <v>7</v>
      </c>
      <c r="L769" s="184">
        <v>42713</v>
      </c>
      <c r="M769" s="184">
        <v>43952</v>
      </c>
      <c r="N769" s="480">
        <v>242889.91</v>
      </c>
      <c r="O769" s="478" t="str">
        <f>IFERROR(VLOOKUP(A769,[1]Approval!A:C,3,FALSE),"")</f>
        <v>FIN Approval - Internal</v>
      </c>
      <c r="P769" s="184">
        <f>IFERROR(VLOOKUP(A769,[1]Approval!A:J,10,FALSE),"")</f>
        <v>43915</v>
      </c>
      <c r="R769" s="425">
        <f>2020-YEAR(Table227[[#This Row],[In-
Service
Date]])</f>
        <v>4</v>
      </c>
      <c r="S769" s="308">
        <f>+Table227[[#This Row],[Proj To Date
Actuals]]*1.02^R769</f>
        <v>262911.84992350562</v>
      </c>
    </row>
    <row r="770" spans="1:19" x14ac:dyDescent="0.25">
      <c r="A770" s="476" t="s">
        <v>1078</v>
      </c>
      <c r="B770" s="475" t="s">
        <v>4270</v>
      </c>
      <c r="C770" s="422" t="e">
        <f>VLOOKUP(B770,'Matter &amp; CI#'!$D$4:$E$595,2,FALSE)</f>
        <v>#N/A</v>
      </c>
      <c r="D770" s="476" t="s">
        <v>1079</v>
      </c>
      <c r="E770" s="476" t="s">
        <v>34</v>
      </c>
      <c r="F770" s="476" t="s">
        <v>24</v>
      </c>
      <c r="G770" s="475" t="s">
        <v>2013</v>
      </c>
      <c r="H770" s="516"/>
      <c r="I770" s="477" t="s">
        <v>5</v>
      </c>
      <c r="J770" s="476" t="s">
        <v>6</v>
      </c>
      <c r="K770" s="476" t="s">
        <v>7</v>
      </c>
      <c r="L770" s="184">
        <v>42735</v>
      </c>
      <c r="M770" s="184">
        <v>43738</v>
      </c>
      <c r="N770" s="480">
        <v>645757.56000000006</v>
      </c>
      <c r="O770" s="478" t="str">
        <f>IFERROR(VLOOKUP(A770,[1]Approval!A:C,3,FALSE),"")</f>
        <v>FIN Approval - Internal</v>
      </c>
      <c r="P770" s="184">
        <f>IFERROR(VLOOKUP(A770,[1]Approval!A:J,10,FALSE),"")</f>
        <v>43700</v>
      </c>
      <c r="R770" s="425">
        <f>2020-YEAR(Table227[[#This Row],[In-
Service
Date]])</f>
        <v>4</v>
      </c>
      <c r="S770" s="308">
        <f>+Table227[[#This Row],[Proj To Date
Actuals]]*1.02^R770</f>
        <v>698988.75050712959</v>
      </c>
    </row>
    <row r="771" spans="1:19" x14ac:dyDescent="0.25">
      <c r="A771" s="476" t="s">
        <v>1879</v>
      </c>
      <c r="B771" s="475" t="s">
        <v>4358</v>
      </c>
      <c r="C771" s="422" t="e">
        <f>VLOOKUP(B771,'Matter &amp; CI#'!$D$4:$E$595,2,FALSE)</f>
        <v>#N/A</v>
      </c>
      <c r="D771" s="476" t="s">
        <v>1880</v>
      </c>
      <c r="E771" s="476" t="s">
        <v>34</v>
      </c>
      <c r="F771" s="476" t="s">
        <v>24</v>
      </c>
      <c r="G771" s="475" t="s">
        <v>2013</v>
      </c>
      <c r="H771" s="516"/>
      <c r="I771" s="477" t="s">
        <v>5</v>
      </c>
      <c r="J771" s="476" t="s">
        <v>6</v>
      </c>
      <c r="K771" s="476" t="s">
        <v>7</v>
      </c>
      <c r="L771" s="184">
        <v>42735</v>
      </c>
      <c r="M771" s="184">
        <v>43952</v>
      </c>
      <c r="N771" s="480">
        <v>204833.29</v>
      </c>
      <c r="O771" s="478" t="str">
        <f>IFERROR(VLOOKUP(A771,[1]Approval!A:C,3,FALSE),"")</f>
        <v>FIN Approval - Internal</v>
      </c>
      <c r="P771" s="184">
        <f>IFERROR(VLOOKUP(A771,[1]Approval!A:J,10,FALSE),"")</f>
        <v>43892</v>
      </c>
      <c r="R771" s="425">
        <f>2020-YEAR(Table227[[#This Row],[In-
Service
Date]])</f>
        <v>4</v>
      </c>
      <c r="S771" s="308">
        <f>+Table227[[#This Row],[Proj To Date
Actuals]]*1.02^R771</f>
        <v>221718.14053460641</v>
      </c>
    </row>
    <row r="772" spans="1:19" x14ac:dyDescent="0.25">
      <c r="A772" s="476" t="s">
        <v>164</v>
      </c>
      <c r="B772" s="475" t="s">
        <v>4488</v>
      </c>
      <c r="C772" s="422" t="e">
        <f>VLOOKUP(B772,'Matter &amp; CI#'!$D$4:$E$595,2,FALSE)</f>
        <v>#N/A</v>
      </c>
      <c r="D772" s="476" t="s">
        <v>165</v>
      </c>
      <c r="E772" s="476" t="s">
        <v>34</v>
      </c>
      <c r="F772" s="476" t="s">
        <v>24</v>
      </c>
      <c r="G772" s="475" t="s">
        <v>2013</v>
      </c>
      <c r="H772" s="516"/>
      <c r="I772" s="477" t="s">
        <v>5</v>
      </c>
      <c r="J772" s="476" t="s">
        <v>6</v>
      </c>
      <c r="K772" s="476" t="s">
        <v>7</v>
      </c>
      <c r="L772" s="184">
        <v>42735</v>
      </c>
      <c r="M772" s="184">
        <v>43922</v>
      </c>
      <c r="N772" s="480">
        <v>150611.68</v>
      </c>
      <c r="O772" s="478" t="str">
        <f>IFERROR(VLOOKUP(A772,[1]Approval!A:C,3,FALSE),"")</f>
        <v>FIN Approval - Internal</v>
      </c>
      <c r="P772" s="184">
        <f>IFERROR(VLOOKUP(A772,[1]Approval!A:J,10,FALSE),"")</f>
        <v>43915</v>
      </c>
      <c r="R772" s="425">
        <f>2020-YEAR(Table227[[#This Row],[In-
Service
Date]])</f>
        <v>4</v>
      </c>
      <c r="S772" s="308">
        <f>+Table227[[#This Row],[Proj To Date
Actuals]]*1.02^R772</f>
        <v>163026.92610362879</v>
      </c>
    </row>
    <row r="773" spans="1:19" x14ac:dyDescent="0.25">
      <c r="A773" s="476" t="s">
        <v>889</v>
      </c>
      <c r="B773" s="475" t="s">
        <v>4600</v>
      </c>
      <c r="C773" s="422" t="e">
        <f>VLOOKUP(B773,'Matter &amp; CI#'!$D$4:$E$595,2,FALSE)</f>
        <v>#N/A</v>
      </c>
      <c r="D773" s="476" t="s">
        <v>890</v>
      </c>
      <c r="E773" s="476" t="s">
        <v>89</v>
      </c>
      <c r="F773" s="476" t="s">
        <v>24</v>
      </c>
      <c r="G773" s="475" t="s">
        <v>2013</v>
      </c>
      <c r="H773" s="516"/>
      <c r="I773" s="477" t="s">
        <v>5</v>
      </c>
      <c r="J773" s="476" t="s">
        <v>6</v>
      </c>
      <c r="K773" s="476" t="s">
        <v>7</v>
      </c>
      <c r="L773" s="184">
        <v>42736</v>
      </c>
      <c r="M773" s="184">
        <v>44136</v>
      </c>
      <c r="N773" s="480">
        <v>5494422.6799999997</v>
      </c>
      <c r="O773" s="478" t="str">
        <f>IFERROR(VLOOKUP(A773,[1]Approval!A:C,3,FALSE),"")</f>
        <v>FIN Approval - Internal</v>
      </c>
      <c r="P773" s="184">
        <f>IFERROR(VLOOKUP(A773,[1]Approval!A:J,10,FALSE),"")</f>
        <v>43993</v>
      </c>
      <c r="R773" s="425">
        <f>2020-YEAR(Table227[[#This Row],[In-
Service
Date]])</f>
        <v>3</v>
      </c>
      <c r="S773" s="308">
        <f>+Table227[[#This Row],[Proj To Date
Actuals]]*1.02^R773</f>
        <v>5830725.3033974394</v>
      </c>
    </row>
    <row r="774" spans="1:19" x14ac:dyDescent="0.25">
      <c r="A774" s="476" t="s">
        <v>1395</v>
      </c>
      <c r="B774" s="475" t="s">
        <v>4471</v>
      </c>
      <c r="C774" s="422" t="e">
        <f>VLOOKUP(B774,'Matter &amp; CI#'!$D$4:$E$595,2,FALSE)</f>
        <v>#N/A</v>
      </c>
      <c r="D774" s="476" t="s">
        <v>1396</v>
      </c>
      <c r="E774" s="476" t="s">
        <v>1397</v>
      </c>
      <c r="F774" s="476" t="s">
        <v>24</v>
      </c>
      <c r="G774" s="475" t="s">
        <v>2013</v>
      </c>
      <c r="H774" s="516"/>
      <c r="I774" s="477" t="s">
        <v>5</v>
      </c>
      <c r="J774" s="476" t="s">
        <v>6</v>
      </c>
      <c r="K774" s="476" t="s">
        <v>7</v>
      </c>
      <c r="L774" s="184">
        <v>42745</v>
      </c>
      <c r="M774" s="184">
        <v>43677</v>
      </c>
      <c r="N774" s="480">
        <v>9098.09</v>
      </c>
      <c r="O774" s="478" t="str">
        <f>IFERROR(VLOOKUP(A774,[1]Approval!A:C,3,FALSE),"")</f>
        <v>FIN Approval - Internal</v>
      </c>
      <c r="P774" s="184">
        <f>IFERROR(VLOOKUP(A774,[1]Approval!A:J,10,FALSE),"")</f>
        <v>43662</v>
      </c>
      <c r="R774" s="425">
        <f>2020-YEAR(Table227[[#This Row],[In-
Service
Date]])</f>
        <v>3</v>
      </c>
      <c r="S774" s="308">
        <f>+Table227[[#This Row],[Proj To Date
Actuals]]*1.02^R774</f>
        <v>9654.9658927199998</v>
      </c>
    </row>
    <row r="775" spans="1:19" x14ac:dyDescent="0.25">
      <c r="A775" s="476" t="s">
        <v>433</v>
      </c>
      <c r="B775" s="475" t="s">
        <v>4563</v>
      </c>
      <c r="C775" s="422" t="e">
        <f>VLOOKUP(B775,'Matter &amp; CI#'!$D$4:$E$595,2,FALSE)</f>
        <v>#N/A</v>
      </c>
      <c r="D775" s="476" t="s">
        <v>434</v>
      </c>
      <c r="E775" s="476" t="s">
        <v>42</v>
      </c>
      <c r="F775" s="476" t="s">
        <v>24</v>
      </c>
      <c r="G775" s="475" t="s">
        <v>2013</v>
      </c>
      <c r="H775" s="516"/>
      <c r="I775" s="477" t="s">
        <v>5</v>
      </c>
      <c r="J775" s="476" t="s">
        <v>6</v>
      </c>
      <c r="K775" s="476" t="s">
        <v>28</v>
      </c>
      <c r="L775" s="184">
        <v>42767</v>
      </c>
      <c r="N775" s="480">
        <v>969140.03</v>
      </c>
      <c r="O775" s="478" t="str">
        <f>IFERROR(VLOOKUP(A775,[1]Approval!A:C,3,FALSE),"")</f>
        <v/>
      </c>
      <c r="P775" s="184" t="str">
        <f>IFERROR(VLOOKUP(A775,[1]Approval!A:J,10,FALSE),"")</f>
        <v/>
      </c>
      <c r="R775" s="425">
        <f>2020-YEAR(Table227[[#This Row],[In-
Service
Date]])</f>
        <v>3</v>
      </c>
      <c r="S775" s="308">
        <f>+Table227[[#This Row],[Proj To Date
Actuals]]*1.02^R775</f>
        <v>1028459.15295624</v>
      </c>
    </row>
    <row r="776" spans="1:19" x14ac:dyDescent="0.25">
      <c r="A776" s="476" t="s">
        <v>174</v>
      </c>
      <c r="B776" s="475" t="s">
        <v>4578</v>
      </c>
      <c r="C776" s="422" t="e">
        <f>VLOOKUP(B776,'Matter &amp; CI#'!$D$4:$E$595,2,FALSE)</f>
        <v>#N/A</v>
      </c>
      <c r="D776" s="476" t="s">
        <v>175</v>
      </c>
      <c r="E776" s="476" t="s">
        <v>42</v>
      </c>
      <c r="F776" s="476" t="s">
        <v>24</v>
      </c>
      <c r="G776" s="475" t="s">
        <v>2013</v>
      </c>
      <c r="H776" s="516"/>
      <c r="I776" s="477" t="s">
        <v>5</v>
      </c>
      <c r="J776" s="476" t="s">
        <v>6</v>
      </c>
      <c r="K776" s="476" t="s">
        <v>28</v>
      </c>
      <c r="L776" s="184">
        <v>42794</v>
      </c>
      <c r="N776" s="480">
        <v>1912767.11</v>
      </c>
      <c r="O776" s="478" t="str">
        <f>IFERROR(VLOOKUP(A776,[1]Approval!A:C,3,FALSE),"")</f>
        <v/>
      </c>
      <c r="P776" s="184" t="str">
        <f>IFERROR(VLOOKUP(A776,[1]Approval!A:J,10,FALSE),"")</f>
        <v/>
      </c>
      <c r="R776" s="425">
        <f>2020-YEAR(Table227[[#This Row],[In-
Service
Date]])</f>
        <v>3</v>
      </c>
      <c r="S776" s="308">
        <f>+Table227[[#This Row],[Proj To Date
Actuals]]*1.02^R776</f>
        <v>2029843.7592688799</v>
      </c>
    </row>
    <row r="777" spans="1:19" x14ac:dyDescent="0.25">
      <c r="A777" s="476" t="s">
        <v>614</v>
      </c>
      <c r="B777" s="475" t="s">
        <v>4463</v>
      </c>
      <c r="C777" s="422" t="e">
        <f>VLOOKUP(B777,'Matter &amp; CI#'!$D$4:$E$595,2,FALSE)</f>
        <v>#N/A</v>
      </c>
      <c r="D777" s="476" t="s">
        <v>615</v>
      </c>
      <c r="E777" s="476" t="s">
        <v>42</v>
      </c>
      <c r="F777" s="476" t="s">
        <v>24</v>
      </c>
      <c r="G777" s="475" t="s">
        <v>2013</v>
      </c>
      <c r="H777" s="516"/>
      <c r="I777" s="477" t="s">
        <v>5</v>
      </c>
      <c r="J777" s="476" t="s">
        <v>6</v>
      </c>
      <c r="K777" s="476" t="s">
        <v>7</v>
      </c>
      <c r="L777" s="184">
        <v>42825</v>
      </c>
      <c r="M777" s="184">
        <v>43830</v>
      </c>
      <c r="N777" s="480">
        <v>1107608.74</v>
      </c>
      <c r="O777" s="478" t="str">
        <f>IFERROR(VLOOKUP(A777,[1]Approval!A:C,3,FALSE),"")</f>
        <v>FIN Approval - Internal</v>
      </c>
      <c r="P777" s="184">
        <f>IFERROR(VLOOKUP(A777,[1]Approval!A:J,10,FALSE),"")</f>
        <v>43797</v>
      </c>
      <c r="R777" s="425">
        <f>2020-YEAR(Table227[[#This Row],[In-
Service
Date]])</f>
        <v>3</v>
      </c>
      <c r="S777" s="308">
        <f>+Table227[[#This Row],[Proj To Date
Actuals]]*1.02^R777</f>
        <v>1175403.25575792</v>
      </c>
    </row>
    <row r="778" spans="1:19" x14ac:dyDescent="0.25">
      <c r="A778" s="476" t="s">
        <v>1919</v>
      </c>
      <c r="B778" s="475" t="s">
        <v>4576</v>
      </c>
      <c r="C778" s="422" t="e">
        <f>VLOOKUP(B778,'Matter &amp; CI#'!$D$4:$E$595,2,FALSE)</f>
        <v>#N/A</v>
      </c>
      <c r="D778" s="476" t="s">
        <v>1920</v>
      </c>
      <c r="E778" s="476" t="s">
        <v>42</v>
      </c>
      <c r="F778" s="476" t="s">
        <v>24</v>
      </c>
      <c r="G778" s="475" t="s">
        <v>2013</v>
      </c>
      <c r="H778" s="516"/>
      <c r="I778" s="477" t="s">
        <v>5</v>
      </c>
      <c r="J778" s="476" t="s">
        <v>6</v>
      </c>
      <c r="K778" s="476" t="s">
        <v>7</v>
      </c>
      <c r="L778" s="184">
        <v>42825</v>
      </c>
      <c r="M778" s="184">
        <v>44136</v>
      </c>
      <c r="N778" s="480">
        <v>1749976.89</v>
      </c>
      <c r="O778" s="478" t="str">
        <f>IFERROR(VLOOKUP(A778,[1]Approval!A:C,3,FALSE),"")</f>
        <v>FIN Approval - Internal</v>
      </c>
      <c r="P778" s="184">
        <f>IFERROR(VLOOKUP(A778,[1]Approval!A:J,10,FALSE),"")</f>
        <v>43999</v>
      </c>
      <c r="R778" s="425">
        <f>2020-YEAR(Table227[[#This Row],[In-
Service
Date]])</f>
        <v>3</v>
      </c>
      <c r="S778" s="308">
        <f>+Table227[[#This Row],[Proj To Date
Actuals]]*1.02^R778</f>
        <v>1857089.4754831197</v>
      </c>
    </row>
    <row r="779" spans="1:19" x14ac:dyDescent="0.25">
      <c r="A779" s="476" t="s">
        <v>887</v>
      </c>
      <c r="B779" s="475" t="s">
        <v>4589</v>
      </c>
      <c r="C779" s="422" t="e">
        <f>VLOOKUP(B779,'Matter &amp; CI#'!$D$4:$E$595,2,FALSE)</f>
        <v>#N/A</v>
      </c>
      <c r="D779" s="476" t="s">
        <v>888</v>
      </c>
      <c r="E779" s="476" t="s">
        <v>34</v>
      </c>
      <c r="F779" s="476" t="s">
        <v>24</v>
      </c>
      <c r="G779" s="475" t="s">
        <v>2013</v>
      </c>
      <c r="H779" s="516"/>
      <c r="I779" s="477" t="s">
        <v>5</v>
      </c>
      <c r="J779" s="476" t="s">
        <v>6</v>
      </c>
      <c r="K779" s="476" t="s">
        <v>7</v>
      </c>
      <c r="L779" s="184">
        <v>42825</v>
      </c>
      <c r="M779" s="184">
        <v>43952</v>
      </c>
      <c r="N779" s="480">
        <v>353314.79</v>
      </c>
      <c r="O779" s="478" t="str">
        <f>IFERROR(VLOOKUP(A779,[1]Approval!A:C,3,FALSE),"")</f>
        <v>FIN Approval - Internal</v>
      </c>
      <c r="P779" s="184">
        <f>IFERROR(VLOOKUP(A779,[1]Approval!A:J,10,FALSE),"")</f>
        <v>43976</v>
      </c>
      <c r="R779" s="425">
        <f>2020-YEAR(Table227[[#This Row],[In-
Service
Date]])</f>
        <v>3</v>
      </c>
      <c r="S779" s="308">
        <f>+Table227[[#This Row],[Proj To Date
Actuals]]*1.02^R779</f>
        <v>374940.48166631995</v>
      </c>
    </row>
    <row r="780" spans="1:19" x14ac:dyDescent="0.25">
      <c r="A780" s="476" t="s">
        <v>1668</v>
      </c>
      <c r="B780" s="475" t="s">
        <v>4583</v>
      </c>
      <c r="C780" s="422" t="e">
        <f>VLOOKUP(B780,'Matter &amp; CI#'!$D$4:$E$595,2,FALSE)</f>
        <v>#N/A</v>
      </c>
      <c r="D780" s="476" t="s">
        <v>1669</v>
      </c>
      <c r="E780" s="476" t="s">
        <v>34</v>
      </c>
      <c r="F780" s="476" t="s">
        <v>24</v>
      </c>
      <c r="G780" s="475" t="s">
        <v>2013</v>
      </c>
      <c r="H780" s="516"/>
      <c r="I780" s="477" t="s">
        <v>5</v>
      </c>
      <c r="J780" s="476" t="s">
        <v>6</v>
      </c>
      <c r="K780" s="476" t="s">
        <v>28</v>
      </c>
      <c r="L780" s="184">
        <v>42855</v>
      </c>
      <c r="N780" s="480">
        <v>4339739.59</v>
      </c>
      <c r="O780" s="478" t="str">
        <f>IFERROR(VLOOKUP(A780,[1]Approval!A:C,3,FALSE),"")</f>
        <v/>
      </c>
      <c r="P780" s="184" t="str">
        <f>IFERROR(VLOOKUP(A780,[1]Approval!A:J,10,FALSE),"")</f>
        <v/>
      </c>
      <c r="R780" s="425">
        <f>2020-YEAR(Table227[[#This Row],[In-
Service
Date]])</f>
        <v>3</v>
      </c>
      <c r="S780" s="308">
        <f>+Table227[[#This Row],[Proj To Date
Actuals]]*1.02^R780</f>
        <v>4605366.3708247198</v>
      </c>
    </row>
    <row r="781" spans="1:19" x14ac:dyDescent="0.25">
      <c r="A781" s="476" t="s">
        <v>1662</v>
      </c>
      <c r="B781" s="475" t="s">
        <v>4570</v>
      </c>
      <c r="C781" s="422" t="e">
        <f>VLOOKUP(B781,'Matter &amp; CI#'!$D$4:$E$595,2,FALSE)</f>
        <v>#N/A</v>
      </c>
      <c r="D781" s="476" t="s">
        <v>1663</v>
      </c>
      <c r="E781" s="476" t="s">
        <v>42</v>
      </c>
      <c r="F781" s="476" t="s">
        <v>24</v>
      </c>
      <c r="G781" s="475" t="s">
        <v>2013</v>
      </c>
      <c r="H781" s="516"/>
      <c r="I781" s="477" t="s">
        <v>5</v>
      </c>
      <c r="J781" s="476" t="s">
        <v>6</v>
      </c>
      <c r="K781" s="476" t="s">
        <v>7</v>
      </c>
      <c r="L781" s="184">
        <v>42887</v>
      </c>
      <c r="M781" s="184">
        <v>44136</v>
      </c>
      <c r="N781" s="480">
        <v>544381.87</v>
      </c>
      <c r="O781" s="478" t="str">
        <f>IFERROR(VLOOKUP(A781,[1]Approval!A:C,3,FALSE),"")</f>
        <v>FIN Approval - Internal</v>
      </c>
      <c r="P781" s="184">
        <f>IFERROR(VLOOKUP(A781,[1]Approval!A:J,10,FALSE),"")</f>
        <v>44055</v>
      </c>
      <c r="R781" s="425">
        <f>2020-YEAR(Table227[[#This Row],[In-
Service
Date]])</f>
        <v>3</v>
      </c>
      <c r="S781" s="308">
        <f>+Table227[[#This Row],[Proj To Date
Actuals]]*1.02^R781</f>
        <v>577702.39549895993</v>
      </c>
    </row>
    <row r="782" spans="1:19" x14ac:dyDescent="0.25">
      <c r="A782" s="476" t="s">
        <v>656</v>
      </c>
      <c r="B782" s="475" t="s">
        <v>4571</v>
      </c>
      <c r="C782" s="422" t="e">
        <f>VLOOKUP(B782,'Matter &amp; CI#'!$D$4:$E$595,2,FALSE)</f>
        <v>#N/A</v>
      </c>
      <c r="D782" s="476" t="s">
        <v>657</v>
      </c>
      <c r="E782" s="476" t="s">
        <v>42</v>
      </c>
      <c r="F782" s="476" t="s">
        <v>24</v>
      </c>
      <c r="G782" s="475" t="s">
        <v>2013</v>
      </c>
      <c r="H782" s="516"/>
      <c r="I782" s="477" t="s">
        <v>5</v>
      </c>
      <c r="J782" s="476" t="s">
        <v>6</v>
      </c>
      <c r="K782" s="476" t="s">
        <v>28</v>
      </c>
      <c r="L782" s="184">
        <v>42887</v>
      </c>
      <c r="N782" s="480">
        <v>4595800.53</v>
      </c>
      <c r="O782" s="478" t="str">
        <f>IFERROR(VLOOKUP(A782,[1]Approval!A:C,3,FALSE),"")</f>
        <v/>
      </c>
      <c r="P782" s="184" t="str">
        <f>IFERROR(VLOOKUP(A782,[1]Approval!A:J,10,FALSE),"")</f>
        <v/>
      </c>
      <c r="R782" s="425">
        <f>2020-YEAR(Table227[[#This Row],[In-
Service
Date]])</f>
        <v>3</v>
      </c>
      <c r="S782" s="308">
        <f>+Table227[[#This Row],[Proj To Date
Actuals]]*1.02^R782</f>
        <v>4877100.2888402399</v>
      </c>
    </row>
    <row r="783" spans="1:19" x14ac:dyDescent="0.25">
      <c r="A783" s="476" t="s">
        <v>445</v>
      </c>
      <c r="B783" s="475" t="s">
        <v>4577</v>
      </c>
      <c r="C783" s="422" t="e">
        <f>VLOOKUP(B783,'Matter &amp; CI#'!$D$4:$E$595,2,FALSE)</f>
        <v>#N/A</v>
      </c>
      <c r="D783" s="476" t="s">
        <v>446</v>
      </c>
      <c r="E783" s="476" t="s">
        <v>42</v>
      </c>
      <c r="F783" s="476" t="s">
        <v>24</v>
      </c>
      <c r="G783" s="475" t="s">
        <v>2013</v>
      </c>
      <c r="H783" s="516"/>
      <c r="I783" s="477" t="s">
        <v>5</v>
      </c>
      <c r="J783" s="476" t="s">
        <v>6</v>
      </c>
      <c r="K783" s="476" t="s">
        <v>7</v>
      </c>
      <c r="L783" s="184">
        <v>42887</v>
      </c>
      <c r="M783" s="184">
        <v>44136</v>
      </c>
      <c r="N783" s="480">
        <v>1643870.96</v>
      </c>
      <c r="O783" s="478" t="str">
        <f>IFERROR(VLOOKUP(A783,[1]Approval!A:C,3,FALSE),"")</f>
        <v>FIN Approval - Internal</v>
      </c>
      <c r="P783" s="184">
        <f>IFERROR(VLOOKUP(A783,[1]Approval!A:J,10,FALSE),"")</f>
        <v>44055</v>
      </c>
      <c r="R783" s="425">
        <f>2020-YEAR(Table227[[#This Row],[In-
Service
Date]])</f>
        <v>3</v>
      </c>
      <c r="S783" s="308">
        <f>+Table227[[#This Row],[Proj To Date
Actuals]]*1.02^R783</f>
        <v>1744489.0137196798</v>
      </c>
    </row>
    <row r="784" spans="1:19" x14ac:dyDescent="0.25">
      <c r="A784" s="476" t="s">
        <v>1937</v>
      </c>
      <c r="B784" s="475" t="s">
        <v>4645</v>
      </c>
      <c r="C784" s="422" t="e">
        <f>VLOOKUP(B784,'Matter &amp; CI#'!$D$4:$E$595,2,FALSE)</f>
        <v>#N/A</v>
      </c>
      <c r="D784" s="476" t="s">
        <v>1938</v>
      </c>
      <c r="E784" s="476" t="s">
        <v>42</v>
      </c>
      <c r="F784" s="476" t="s">
        <v>24</v>
      </c>
      <c r="G784" s="475" t="s">
        <v>2013</v>
      </c>
      <c r="H784" s="516"/>
      <c r="I784" s="477" t="s">
        <v>5</v>
      </c>
      <c r="J784" s="476" t="s">
        <v>29</v>
      </c>
      <c r="K784" s="476" t="s">
        <v>7</v>
      </c>
      <c r="L784" s="184">
        <v>42909</v>
      </c>
      <c r="M784" s="184">
        <v>44136</v>
      </c>
      <c r="N784" s="480">
        <v>279661.3</v>
      </c>
      <c r="O784" s="478" t="str">
        <f>IFERROR(VLOOKUP(A784,[1]Approval!A:C,3,FALSE),"")</f>
        <v>FIN Approval - Internal</v>
      </c>
      <c r="P784" s="184">
        <f>IFERROR(VLOOKUP(A784,[1]Approval!A:J,10,FALSE),"")</f>
        <v>43999</v>
      </c>
      <c r="R784" s="425">
        <f>2020-YEAR(Table227[[#This Row],[In-
Service
Date]])</f>
        <v>3</v>
      </c>
      <c r="S784" s="308">
        <f>+Table227[[#This Row],[Proj To Date
Actuals]]*1.02^R784</f>
        <v>296778.80885039998</v>
      </c>
    </row>
    <row r="785" spans="1:19" x14ac:dyDescent="0.25">
      <c r="A785" s="476" t="s">
        <v>1086</v>
      </c>
      <c r="B785" s="475" t="s">
        <v>4350</v>
      </c>
      <c r="C785" s="422" t="e">
        <f>VLOOKUP(B785,'Matter &amp; CI#'!$D$4:$E$595,2,FALSE)</f>
        <v>#N/A</v>
      </c>
      <c r="D785" s="476" t="s">
        <v>1087</v>
      </c>
      <c r="E785" s="476" t="s">
        <v>34</v>
      </c>
      <c r="F785" s="476" t="s">
        <v>24</v>
      </c>
      <c r="G785" s="475" t="s">
        <v>2013</v>
      </c>
      <c r="H785" s="516"/>
      <c r="I785" s="477" t="s">
        <v>5</v>
      </c>
      <c r="J785" s="476" t="s">
        <v>6</v>
      </c>
      <c r="K785" s="476" t="s">
        <v>7</v>
      </c>
      <c r="L785" s="184">
        <v>42916</v>
      </c>
      <c r="M785" s="184">
        <v>43831</v>
      </c>
      <c r="N785" s="480">
        <v>10027941.279999999</v>
      </c>
      <c r="O785" s="478" t="str">
        <f>IFERROR(VLOOKUP(A785,[1]Approval!A:C,3,FALSE),"")</f>
        <v>FIN Approval - Internal</v>
      </c>
      <c r="P785" s="184">
        <f>IFERROR(VLOOKUP(A785,[1]Approval!A:J,10,FALSE),"")</f>
        <v>43867</v>
      </c>
      <c r="R785" s="425">
        <f>2020-YEAR(Table227[[#This Row],[In-
Service
Date]])</f>
        <v>3</v>
      </c>
      <c r="S785" s="308">
        <f>+Table227[[#This Row],[Proj To Date
Actuals]]*1.02^R785</f>
        <v>10641731.50986624</v>
      </c>
    </row>
    <row r="786" spans="1:19" x14ac:dyDescent="0.25">
      <c r="A786" s="476" t="s">
        <v>1388</v>
      </c>
      <c r="B786" s="475" t="s">
        <v>4567</v>
      </c>
      <c r="C786" s="422" t="e">
        <f>VLOOKUP(B786,'Matter &amp; CI#'!$D$4:$E$595,2,FALSE)</f>
        <v>#N/A</v>
      </c>
      <c r="D786" s="476" t="s">
        <v>961</v>
      </c>
      <c r="E786" s="476" t="s">
        <v>42</v>
      </c>
      <c r="F786" s="476" t="s">
        <v>24</v>
      </c>
      <c r="G786" s="475" t="s">
        <v>2013</v>
      </c>
      <c r="H786" s="516"/>
      <c r="I786" s="477" t="s">
        <v>5</v>
      </c>
      <c r="J786" s="476" t="s">
        <v>6</v>
      </c>
      <c r="K786" s="476" t="s">
        <v>7</v>
      </c>
      <c r="L786" s="184">
        <v>42916</v>
      </c>
      <c r="M786" s="184">
        <v>44044</v>
      </c>
      <c r="N786" s="480">
        <v>2590653.46</v>
      </c>
      <c r="O786" s="478" t="str">
        <f>IFERROR(VLOOKUP(A786,[1]Approval!A:C,3,FALSE),"")</f>
        <v>FIN Approval - Internal</v>
      </c>
      <c r="P786" s="184">
        <f>IFERROR(VLOOKUP(A786,[1]Approval!A:J,10,FALSE),"")</f>
        <v>43915</v>
      </c>
      <c r="R786" s="425">
        <f>2020-YEAR(Table227[[#This Row],[In-
Service
Date]])</f>
        <v>3</v>
      </c>
      <c r="S786" s="308">
        <f>+Table227[[#This Row],[Proj To Date
Actuals]]*1.02^R786</f>
        <v>2749222.1769796796</v>
      </c>
    </row>
    <row r="787" spans="1:19" x14ac:dyDescent="0.25">
      <c r="A787" s="476" t="s">
        <v>1692</v>
      </c>
      <c r="B787" s="475" t="s">
        <v>4573</v>
      </c>
      <c r="C787" s="422" t="e">
        <f>VLOOKUP(B787,'Matter &amp; CI#'!$D$4:$E$595,2,FALSE)</f>
        <v>#N/A</v>
      </c>
      <c r="D787" s="476" t="s">
        <v>1693</v>
      </c>
      <c r="E787" s="476" t="s">
        <v>34</v>
      </c>
      <c r="F787" s="476" t="s">
        <v>24</v>
      </c>
      <c r="G787" s="475" t="s">
        <v>2013</v>
      </c>
      <c r="H787" s="516"/>
      <c r="I787" s="477" t="s">
        <v>5</v>
      </c>
      <c r="J787" s="476" t="s">
        <v>6</v>
      </c>
      <c r="K787" s="476" t="s">
        <v>7</v>
      </c>
      <c r="L787" s="184">
        <v>42916</v>
      </c>
      <c r="M787" s="184">
        <v>44136</v>
      </c>
      <c r="N787" s="480">
        <v>209820.49</v>
      </c>
      <c r="O787" s="478" t="str">
        <f>IFERROR(VLOOKUP(A787,[1]Approval!A:C,3,FALSE),"")</f>
        <v>FIN Approval - Internal</v>
      </c>
      <c r="P787" s="184">
        <f>IFERROR(VLOOKUP(A787,[1]Approval!A:J,10,FALSE),"")</f>
        <v>43999</v>
      </c>
      <c r="R787" s="425">
        <f>2020-YEAR(Table227[[#This Row],[In-
Service
Date]])</f>
        <v>3</v>
      </c>
      <c r="S787" s="308">
        <f>+Table227[[#This Row],[Proj To Date
Actuals]]*1.02^R787</f>
        <v>222663.18255191998</v>
      </c>
    </row>
    <row r="788" spans="1:19" x14ac:dyDescent="0.25">
      <c r="A788" s="476" t="s">
        <v>1344</v>
      </c>
      <c r="B788" s="475" t="s">
        <v>4315</v>
      </c>
      <c r="C788" s="422" t="e">
        <f>VLOOKUP(B788,'Matter &amp; CI#'!$D$4:$E$595,2,FALSE)</f>
        <v>#N/A</v>
      </c>
      <c r="D788" s="476" t="s">
        <v>1345</v>
      </c>
      <c r="E788" s="476" t="s">
        <v>42</v>
      </c>
      <c r="F788" s="476" t="s">
        <v>24</v>
      </c>
      <c r="G788" s="475" t="s">
        <v>2013</v>
      </c>
      <c r="H788" s="516"/>
      <c r="I788" s="477" t="s">
        <v>5</v>
      </c>
      <c r="J788" s="476" t="s">
        <v>6</v>
      </c>
      <c r="K788" s="476" t="s">
        <v>7</v>
      </c>
      <c r="L788" s="184">
        <v>42947</v>
      </c>
      <c r="M788" s="184">
        <v>43738</v>
      </c>
      <c r="N788" s="480">
        <v>825251.14</v>
      </c>
      <c r="O788" s="478" t="str">
        <f>IFERROR(VLOOKUP(A788,[1]Approval!A:C,3,FALSE),"")</f>
        <v>FIN Approval - Internal</v>
      </c>
      <c r="P788" s="184">
        <f>IFERROR(VLOOKUP(A788,[1]Approval!A:J,10,FALSE),"")</f>
        <v>43677</v>
      </c>
      <c r="R788" s="425">
        <f>2020-YEAR(Table227[[#This Row],[In-
Service
Date]])</f>
        <v>3</v>
      </c>
      <c r="S788" s="308">
        <f>+Table227[[#This Row],[Proj To Date
Actuals]]*1.02^R788</f>
        <v>875763.11177711992</v>
      </c>
    </row>
    <row r="789" spans="1:19" x14ac:dyDescent="0.25">
      <c r="A789" s="476" t="s">
        <v>1402</v>
      </c>
      <c r="B789" s="475" t="s">
        <v>4468</v>
      </c>
      <c r="C789" s="422" t="e">
        <f>VLOOKUP(B789,'Matter &amp; CI#'!$D$4:$E$595,2,FALSE)</f>
        <v>#N/A</v>
      </c>
      <c r="D789" s="476" t="s">
        <v>1403</v>
      </c>
      <c r="E789" s="476" t="s">
        <v>42</v>
      </c>
      <c r="F789" s="476" t="s">
        <v>24</v>
      </c>
      <c r="G789" s="475" t="s">
        <v>2013</v>
      </c>
      <c r="H789" s="516"/>
      <c r="I789" s="477" t="s">
        <v>5</v>
      </c>
      <c r="J789" s="476" t="s">
        <v>6</v>
      </c>
      <c r="K789" s="476" t="s">
        <v>7</v>
      </c>
      <c r="L789" s="184">
        <v>42947</v>
      </c>
      <c r="M789" s="184">
        <v>44136</v>
      </c>
      <c r="N789" s="480">
        <v>481722.61</v>
      </c>
      <c r="O789" s="478" t="str">
        <f>IFERROR(VLOOKUP(A789,[1]Approval!A:C,3,FALSE),"")</f>
        <v>FIN Approval - Internal</v>
      </c>
      <c r="P789" s="184">
        <f>IFERROR(VLOOKUP(A789,[1]Approval!A:J,10,FALSE),"")</f>
        <v>44055</v>
      </c>
      <c r="R789" s="425">
        <f>2020-YEAR(Table227[[#This Row],[In-
Service
Date]])</f>
        <v>3</v>
      </c>
      <c r="S789" s="308">
        <f>+Table227[[#This Row],[Proj To Date
Actuals]]*1.02^R789</f>
        <v>511207.88751287997</v>
      </c>
    </row>
    <row r="790" spans="1:19" x14ac:dyDescent="0.25">
      <c r="A790" s="476" t="s">
        <v>1630</v>
      </c>
      <c r="B790" s="475" t="s">
        <v>4478</v>
      </c>
      <c r="C790" s="422" t="e">
        <f>VLOOKUP(B790,'Matter &amp; CI#'!$D$4:$E$595,2,FALSE)</f>
        <v>#N/A</v>
      </c>
      <c r="D790" s="476" t="s">
        <v>1631</v>
      </c>
      <c r="E790" s="476" t="s">
        <v>34</v>
      </c>
      <c r="F790" s="476" t="s">
        <v>24</v>
      </c>
      <c r="G790" s="475" t="s">
        <v>2013</v>
      </c>
      <c r="H790" s="516"/>
      <c r="I790" s="477" t="s">
        <v>5</v>
      </c>
      <c r="J790" s="476" t="s">
        <v>6</v>
      </c>
      <c r="K790" s="476" t="s">
        <v>7</v>
      </c>
      <c r="L790" s="184">
        <v>42947</v>
      </c>
      <c r="M790" s="184">
        <v>44044</v>
      </c>
      <c r="N790" s="480">
        <v>351498.95</v>
      </c>
      <c r="O790" s="478" t="str">
        <f>IFERROR(VLOOKUP(A790,[1]Approval!A:C,3,FALSE),"")</f>
        <v>FIN Approval - Internal</v>
      </c>
      <c r="P790" s="184">
        <f>IFERROR(VLOOKUP(A790,[1]Approval!A:J,10,FALSE),"")</f>
        <v>44055</v>
      </c>
      <c r="R790" s="425">
        <f>2020-YEAR(Table227[[#This Row],[In-
Service
Date]])</f>
        <v>3</v>
      </c>
      <c r="S790" s="308">
        <f>+Table227[[#This Row],[Proj To Date
Actuals]]*1.02^R790</f>
        <v>373013.49773160001</v>
      </c>
    </row>
    <row r="791" spans="1:19" x14ac:dyDescent="0.25">
      <c r="A791" s="476" t="s">
        <v>1404</v>
      </c>
      <c r="B791" s="475" t="s">
        <v>4653</v>
      </c>
      <c r="C791" s="422" t="e">
        <f>VLOOKUP(B791,'Matter &amp; CI#'!$D$4:$E$595,2,FALSE)</f>
        <v>#N/A</v>
      </c>
      <c r="D791" s="476" t="s">
        <v>1405</v>
      </c>
      <c r="E791" s="476" t="s">
        <v>42</v>
      </c>
      <c r="F791" s="476" t="s">
        <v>24</v>
      </c>
      <c r="G791" s="475" t="s">
        <v>2013</v>
      </c>
      <c r="H791" s="516"/>
      <c r="I791" s="477" t="s">
        <v>5</v>
      </c>
      <c r="J791" s="476" t="s">
        <v>6</v>
      </c>
      <c r="K791" s="476" t="s">
        <v>7</v>
      </c>
      <c r="L791" s="184">
        <v>42947</v>
      </c>
      <c r="M791" s="184">
        <v>44197</v>
      </c>
      <c r="N791" s="480">
        <v>2992783.11</v>
      </c>
      <c r="O791" s="478" t="str">
        <f>IFERROR(VLOOKUP(A791,[1]Approval!A:C,3,FALSE),"")</f>
        <v>FIN Approval - Internal</v>
      </c>
      <c r="P791" s="184">
        <f>IFERROR(VLOOKUP(A791,[1]Approval!A:J,10,FALSE),"")</f>
        <v>44105</v>
      </c>
      <c r="R791" s="425">
        <f>2020-YEAR(Table227[[#This Row],[In-
Service
Date]])</f>
        <v>3</v>
      </c>
      <c r="S791" s="308">
        <f>+Table227[[#This Row],[Proj To Date
Actuals]]*1.02^R791</f>
        <v>3175965.3785968795</v>
      </c>
    </row>
    <row r="792" spans="1:19" x14ac:dyDescent="0.25">
      <c r="A792" s="476" t="s">
        <v>1929</v>
      </c>
      <c r="B792" s="475" t="s">
        <v>4467</v>
      </c>
      <c r="C792" s="422" t="e">
        <f>VLOOKUP(B792,'Matter &amp; CI#'!$D$4:$E$595,2,FALSE)</f>
        <v>#N/A</v>
      </c>
      <c r="D792" s="476" t="s">
        <v>1930</v>
      </c>
      <c r="E792" s="476" t="s">
        <v>42</v>
      </c>
      <c r="F792" s="476" t="s">
        <v>24</v>
      </c>
      <c r="G792" s="475" t="s">
        <v>2013</v>
      </c>
      <c r="H792" s="516"/>
      <c r="I792" s="477" t="s">
        <v>5</v>
      </c>
      <c r="J792" s="476" t="s">
        <v>6</v>
      </c>
      <c r="K792" s="476" t="s">
        <v>28</v>
      </c>
      <c r="L792" s="184">
        <v>42948</v>
      </c>
      <c r="N792" s="480">
        <v>4396365.3899999997</v>
      </c>
      <c r="O792" s="478" t="str">
        <f>IFERROR(VLOOKUP(A792,[1]Approval!A:C,3,FALSE),"")</f>
        <v/>
      </c>
      <c r="P792" s="184" t="str">
        <f>IFERROR(VLOOKUP(A792,[1]Approval!A:J,10,FALSE),"")</f>
        <v/>
      </c>
      <c r="R792" s="425">
        <f>2020-YEAR(Table227[[#This Row],[In-
Service
Date]])</f>
        <v>3</v>
      </c>
      <c r="S792" s="308">
        <f>+Table227[[#This Row],[Proj To Date
Actuals]]*1.02^R792</f>
        <v>4665458.1227911189</v>
      </c>
    </row>
    <row r="793" spans="1:19" x14ac:dyDescent="0.25">
      <c r="A793" s="476" t="s">
        <v>640</v>
      </c>
      <c r="B793" s="475" t="s">
        <v>4549</v>
      </c>
      <c r="C793" s="422" t="e">
        <f>VLOOKUP(B793,'Matter &amp; CI#'!$D$4:$E$595,2,FALSE)</f>
        <v>#N/A</v>
      </c>
      <c r="D793" s="476" t="s">
        <v>641</v>
      </c>
      <c r="E793" s="476" t="s">
        <v>42</v>
      </c>
      <c r="F793" s="476" t="s">
        <v>24</v>
      </c>
      <c r="G793" s="475" t="s">
        <v>2013</v>
      </c>
      <c r="H793" s="516"/>
      <c r="I793" s="477" t="s">
        <v>5</v>
      </c>
      <c r="J793" s="476" t="s">
        <v>29</v>
      </c>
      <c r="K793" s="476" t="s">
        <v>28</v>
      </c>
      <c r="L793" s="184">
        <v>42958</v>
      </c>
      <c r="N793" s="480">
        <v>75385.34</v>
      </c>
      <c r="O793" s="478" t="str">
        <f>IFERROR(VLOOKUP(A793,[1]Approval!A:C,3,FALSE),"")</f>
        <v/>
      </c>
      <c r="P793" s="184" t="str">
        <f>IFERROR(VLOOKUP(A793,[1]Approval!A:J,10,FALSE),"")</f>
        <v/>
      </c>
      <c r="R793" s="425">
        <f>2020-YEAR(Table227[[#This Row],[In-
Service
Date]])</f>
        <v>3</v>
      </c>
      <c r="S793" s="308">
        <f>+Table227[[#This Row],[Proj To Date
Actuals]]*1.02^R793</f>
        <v>79999.52589071999</v>
      </c>
    </row>
    <row r="794" spans="1:19" x14ac:dyDescent="0.25">
      <c r="A794" s="476" t="s">
        <v>148</v>
      </c>
      <c r="B794" s="475" t="s">
        <v>4411</v>
      </c>
      <c r="C794" s="422" t="e">
        <f>VLOOKUP(B794,'Matter &amp; CI#'!$D$4:$E$595,2,FALSE)</f>
        <v>#N/A</v>
      </c>
      <c r="D794" s="476" t="s">
        <v>149</v>
      </c>
      <c r="E794" s="476" t="s">
        <v>42</v>
      </c>
      <c r="F794" s="476" t="s">
        <v>24</v>
      </c>
      <c r="G794" s="475" t="s">
        <v>2013</v>
      </c>
      <c r="H794" s="516"/>
      <c r="I794" s="477" t="s">
        <v>5</v>
      </c>
      <c r="J794" s="476" t="s">
        <v>29</v>
      </c>
      <c r="K794" s="476" t="s">
        <v>7</v>
      </c>
      <c r="L794" s="184">
        <v>42977</v>
      </c>
      <c r="M794" s="184">
        <v>43862</v>
      </c>
      <c r="N794" s="480">
        <v>352174.89</v>
      </c>
      <c r="O794" s="478" t="str">
        <f>IFERROR(VLOOKUP(A794,[1]Approval!A:C,3,FALSE),"")</f>
        <v>FIN Approval - Internal</v>
      </c>
      <c r="P794" s="184">
        <f>IFERROR(VLOOKUP(A794,[1]Approval!A:J,10,FALSE),"")</f>
        <v>43817</v>
      </c>
      <c r="R794" s="425">
        <f>2020-YEAR(Table227[[#This Row],[In-
Service
Date]])</f>
        <v>3</v>
      </c>
      <c r="S794" s="308">
        <f>+Table227[[#This Row],[Proj To Date
Actuals]]*1.02^R794</f>
        <v>373730.81066711998</v>
      </c>
    </row>
    <row r="795" spans="1:19" x14ac:dyDescent="0.25">
      <c r="A795" s="476" t="s">
        <v>666</v>
      </c>
      <c r="B795" s="475" t="s">
        <v>4674</v>
      </c>
      <c r="C795" s="422" t="e">
        <f>VLOOKUP(B795,'Matter &amp; CI#'!$D$4:$E$595,2,FALSE)</f>
        <v>#N/A</v>
      </c>
      <c r="D795" s="476" t="s">
        <v>667</v>
      </c>
      <c r="E795" s="476" t="s">
        <v>42</v>
      </c>
      <c r="F795" s="476" t="s">
        <v>24</v>
      </c>
      <c r="G795" s="475" t="s">
        <v>2013</v>
      </c>
      <c r="H795" s="516"/>
      <c r="I795" s="477" t="s">
        <v>5</v>
      </c>
      <c r="J795" s="476" t="s">
        <v>29</v>
      </c>
      <c r="K795" s="476" t="s">
        <v>7</v>
      </c>
      <c r="L795" s="184">
        <v>42977</v>
      </c>
      <c r="M795" s="184">
        <v>43862</v>
      </c>
      <c r="N795" s="480">
        <v>400214.81</v>
      </c>
      <c r="O795" s="478" t="str">
        <f>IFERROR(VLOOKUP(A795,[1]Approval!A:C,3,FALSE),"")</f>
        <v>FIN Approval - Internal</v>
      </c>
      <c r="P795" s="184">
        <f>IFERROR(VLOOKUP(A795,[1]Approval!A:J,10,FALSE),"")</f>
        <v>43817</v>
      </c>
      <c r="R795" s="425">
        <f>2020-YEAR(Table227[[#This Row],[In-
Service
Date]])</f>
        <v>3</v>
      </c>
      <c r="S795" s="308">
        <f>+Table227[[#This Row],[Proj To Date
Actuals]]*1.02^R795</f>
        <v>424711.15809047996</v>
      </c>
    </row>
    <row r="796" spans="1:19" x14ac:dyDescent="0.25">
      <c r="A796" s="476" t="s">
        <v>389</v>
      </c>
      <c r="B796" s="475" t="s">
        <v>4412</v>
      </c>
      <c r="C796" s="422" t="e">
        <f>VLOOKUP(B796,'Matter &amp; CI#'!$D$4:$E$595,2,FALSE)</f>
        <v>#N/A</v>
      </c>
      <c r="D796" s="476" t="s">
        <v>390</v>
      </c>
      <c r="E796" s="476" t="s">
        <v>42</v>
      </c>
      <c r="F796" s="476" t="s">
        <v>24</v>
      </c>
      <c r="G796" s="475" t="s">
        <v>2013</v>
      </c>
      <c r="H796" s="516"/>
      <c r="I796" s="477" t="s">
        <v>5</v>
      </c>
      <c r="J796" s="476" t="s">
        <v>29</v>
      </c>
      <c r="K796" s="476" t="s">
        <v>7</v>
      </c>
      <c r="L796" s="184">
        <v>42978</v>
      </c>
      <c r="M796" s="184">
        <v>44136</v>
      </c>
      <c r="N796" s="480">
        <v>216079.99</v>
      </c>
      <c r="O796" s="478" t="str">
        <f>IFERROR(VLOOKUP(A796,[1]Approval!A:C,3,FALSE),"")</f>
        <v>FIN Approval - Internal</v>
      </c>
      <c r="P796" s="184">
        <f>IFERROR(VLOOKUP(A796,[1]Approval!A:J,10,FALSE),"")</f>
        <v>43999</v>
      </c>
      <c r="R796" s="425">
        <f>2020-YEAR(Table227[[#This Row],[In-
Service
Date]])</f>
        <v>3</v>
      </c>
      <c r="S796" s="308">
        <f>+Table227[[#This Row],[Proj To Date
Actuals]]*1.02^R796</f>
        <v>229305.81402791999</v>
      </c>
    </row>
    <row r="797" spans="1:19" x14ac:dyDescent="0.25">
      <c r="A797" s="476" t="s">
        <v>1391</v>
      </c>
      <c r="B797" s="475" t="s">
        <v>4465</v>
      </c>
      <c r="C797" s="422" t="e">
        <f>VLOOKUP(B797,'Matter &amp; CI#'!$D$4:$E$595,2,FALSE)</f>
        <v>#N/A</v>
      </c>
      <c r="D797" s="476" t="s">
        <v>1392</v>
      </c>
      <c r="E797" s="476" t="s">
        <v>42</v>
      </c>
      <c r="F797" s="476" t="s">
        <v>24</v>
      </c>
      <c r="G797" s="475" t="s">
        <v>2013</v>
      </c>
      <c r="H797" s="516"/>
      <c r="I797" s="477" t="s">
        <v>5</v>
      </c>
      <c r="J797" s="476" t="s">
        <v>6</v>
      </c>
      <c r="K797" s="476" t="s">
        <v>28</v>
      </c>
      <c r="L797" s="184">
        <v>42978</v>
      </c>
      <c r="N797" s="480">
        <v>2853689.88</v>
      </c>
      <c r="O797" s="478" t="str">
        <f>IFERROR(VLOOKUP(A797,[1]Approval!A:C,3,FALSE),"")</f>
        <v/>
      </c>
      <c r="P797" s="184" t="str">
        <f>IFERROR(VLOOKUP(A797,[1]Approval!A:J,10,FALSE),"")</f>
        <v/>
      </c>
      <c r="R797" s="425">
        <f>2020-YEAR(Table227[[#This Row],[In-
Service
Date]])</f>
        <v>3</v>
      </c>
      <c r="S797" s="308">
        <f>+Table227[[#This Row],[Proj To Date
Actuals]]*1.02^R797</f>
        <v>3028358.5301750395</v>
      </c>
    </row>
    <row r="798" spans="1:19" x14ac:dyDescent="0.25">
      <c r="A798" s="476" t="s">
        <v>1915</v>
      </c>
      <c r="B798" s="475" t="s">
        <v>4553</v>
      </c>
      <c r="C798" s="422" t="e">
        <f>VLOOKUP(B798,'Matter &amp; CI#'!$D$4:$E$595,2,FALSE)</f>
        <v>#N/A</v>
      </c>
      <c r="D798" s="476" t="s">
        <v>1916</v>
      </c>
      <c r="E798" s="476" t="s">
        <v>42</v>
      </c>
      <c r="F798" s="476" t="s">
        <v>24</v>
      </c>
      <c r="G798" s="475" t="s">
        <v>2013</v>
      </c>
      <c r="H798" s="516"/>
      <c r="I798" s="477" t="s">
        <v>5</v>
      </c>
      <c r="J798" s="476" t="s">
        <v>29</v>
      </c>
      <c r="K798" s="476" t="s">
        <v>7</v>
      </c>
      <c r="L798" s="184">
        <v>42978</v>
      </c>
      <c r="M798" s="184">
        <v>43862</v>
      </c>
      <c r="N798" s="480">
        <v>304954.38</v>
      </c>
      <c r="O798" s="478" t="str">
        <f>IFERROR(VLOOKUP(A798,[1]Approval!A:C,3,FALSE),"")</f>
        <v>FIN Approval - Internal</v>
      </c>
      <c r="P798" s="184">
        <f>IFERROR(VLOOKUP(A798,[1]Approval!A:J,10,FALSE),"")</f>
        <v>43817</v>
      </c>
      <c r="R798" s="425">
        <f>2020-YEAR(Table227[[#This Row],[In-
Service
Date]])</f>
        <v>3</v>
      </c>
      <c r="S798" s="308">
        <f>+Table227[[#This Row],[Proj To Date
Actuals]]*1.02^R798</f>
        <v>323620.02769103996</v>
      </c>
    </row>
    <row r="799" spans="1:19" x14ac:dyDescent="0.25">
      <c r="A799" s="476" t="s">
        <v>654</v>
      </c>
      <c r="B799" s="475" t="s">
        <v>4564</v>
      </c>
      <c r="C799" s="422" t="e">
        <f>VLOOKUP(B799,'Matter &amp; CI#'!$D$4:$E$595,2,FALSE)</f>
        <v>#N/A</v>
      </c>
      <c r="D799" s="476" t="s">
        <v>655</v>
      </c>
      <c r="E799" s="476" t="s">
        <v>42</v>
      </c>
      <c r="F799" s="476" t="s">
        <v>24</v>
      </c>
      <c r="G799" s="475" t="s">
        <v>2013</v>
      </c>
      <c r="H799" s="516"/>
      <c r="I799" s="477" t="s">
        <v>5</v>
      </c>
      <c r="J799" s="476" t="s">
        <v>6</v>
      </c>
      <c r="K799" s="476" t="s">
        <v>28</v>
      </c>
      <c r="L799" s="184">
        <v>42978</v>
      </c>
      <c r="N799" s="480">
        <v>733883.93</v>
      </c>
      <c r="O799" s="478" t="str">
        <f>IFERROR(VLOOKUP(A799,[1]Approval!A:C,3,FALSE),"")</f>
        <v/>
      </c>
      <c r="P799" s="184" t="str">
        <f>IFERROR(VLOOKUP(A799,[1]Approval!A:J,10,FALSE),"")</f>
        <v/>
      </c>
      <c r="R799" s="425">
        <f>2020-YEAR(Table227[[#This Row],[In-
Service
Date]])</f>
        <v>3</v>
      </c>
      <c r="S799" s="308">
        <f>+Table227[[#This Row],[Proj To Date
Actuals]]*1.02^R799</f>
        <v>778803.49758743995</v>
      </c>
    </row>
    <row r="800" spans="1:19" x14ac:dyDescent="0.25">
      <c r="A800" s="476" t="s">
        <v>911</v>
      </c>
      <c r="B800" s="475" t="s">
        <v>4565</v>
      </c>
      <c r="C800" s="422" t="e">
        <f>VLOOKUP(B800,'Matter &amp; CI#'!$D$4:$E$595,2,FALSE)</f>
        <v>#N/A</v>
      </c>
      <c r="D800" s="476" t="s">
        <v>912</v>
      </c>
      <c r="E800" s="476" t="s">
        <v>42</v>
      </c>
      <c r="F800" s="476" t="s">
        <v>24</v>
      </c>
      <c r="G800" s="475" t="s">
        <v>2013</v>
      </c>
      <c r="H800" s="516"/>
      <c r="I800" s="477" t="s">
        <v>5</v>
      </c>
      <c r="J800" s="476" t="s">
        <v>6</v>
      </c>
      <c r="K800" s="476" t="s">
        <v>28</v>
      </c>
      <c r="L800" s="184">
        <v>43006</v>
      </c>
      <c r="N800" s="480">
        <v>2290953.4500000002</v>
      </c>
      <c r="O800" s="478" t="str">
        <f>IFERROR(VLOOKUP(A800,[1]Approval!A:C,3,FALSE),"")</f>
        <v/>
      </c>
      <c r="P800" s="184" t="str">
        <f>IFERROR(VLOOKUP(A800,[1]Approval!A:J,10,FALSE),"")</f>
        <v/>
      </c>
      <c r="R800" s="425">
        <f>2020-YEAR(Table227[[#This Row],[In-
Service
Date]])</f>
        <v>3</v>
      </c>
      <c r="S800" s="308">
        <f>+Table227[[#This Row],[Proj To Date
Actuals]]*1.02^R800</f>
        <v>2431178.1287675998</v>
      </c>
    </row>
    <row r="801" spans="1:19" x14ac:dyDescent="0.25">
      <c r="A801" s="476" t="s">
        <v>1913</v>
      </c>
      <c r="B801" s="475" t="s">
        <v>4548</v>
      </c>
      <c r="C801" s="422" t="e">
        <f>VLOOKUP(B801,'Matter &amp; CI#'!$D$4:$E$595,2,FALSE)</f>
        <v>#N/A</v>
      </c>
      <c r="D801" s="476" t="s">
        <v>1914</v>
      </c>
      <c r="E801" s="476" t="s">
        <v>42</v>
      </c>
      <c r="F801" s="476" t="s">
        <v>24</v>
      </c>
      <c r="G801" s="475" t="s">
        <v>2013</v>
      </c>
      <c r="H801" s="516"/>
      <c r="I801" s="477" t="s">
        <v>5</v>
      </c>
      <c r="J801" s="476" t="s">
        <v>29</v>
      </c>
      <c r="K801" s="476" t="s">
        <v>7</v>
      </c>
      <c r="L801" s="184">
        <v>43007</v>
      </c>
      <c r="M801" s="184">
        <v>43952</v>
      </c>
      <c r="N801" s="480">
        <v>254587.16</v>
      </c>
      <c r="O801" s="478" t="str">
        <f>IFERROR(VLOOKUP(A801,[1]Approval!A:C,3,FALSE),"")</f>
        <v>FIN Approval - Internal</v>
      </c>
      <c r="P801" s="184">
        <f>IFERROR(VLOOKUP(A801,[1]Approval!A:J,10,FALSE),"")</f>
        <v>43976</v>
      </c>
      <c r="R801" s="425">
        <f>2020-YEAR(Table227[[#This Row],[In-
Service
Date]])</f>
        <v>3</v>
      </c>
      <c r="S801" s="308">
        <f>+Table227[[#This Row],[Proj To Date
Actuals]]*1.02^R801</f>
        <v>270169.93088927999</v>
      </c>
    </row>
    <row r="802" spans="1:19" x14ac:dyDescent="0.25">
      <c r="A802" s="476" t="s">
        <v>187</v>
      </c>
      <c r="B802" s="475" t="s">
        <v>4596</v>
      </c>
      <c r="C802" s="422" t="e">
        <f>VLOOKUP(B802,'Matter &amp; CI#'!$D$4:$E$595,2,FALSE)</f>
        <v>#N/A</v>
      </c>
      <c r="D802" s="476" t="s">
        <v>188</v>
      </c>
      <c r="E802" s="476" t="s">
        <v>34</v>
      </c>
      <c r="F802" s="476" t="s">
        <v>24</v>
      </c>
      <c r="G802" s="475" t="s">
        <v>2013</v>
      </c>
      <c r="H802" s="516"/>
      <c r="I802" s="477" t="s">
        <v>5</v>
      </c>
      <c r="J802" s="476" t="s">
        <v>6</v>
      </c>
      <c r="K802" s="476" t="s">
        <v>28</v>
      </c>
      <c r="L802" s="184">
        <v>43009</v>
      </c>
      <c r="N802" s="480">
        <v>834622.78</v>
      </c>
      <c r="O802" s="478" t="str">
        <f>IFERROR(VLOOKUP(A802,[1]Approval!A:C,3,FALSE),"")</f>
        <v/>
      </c>
      <c r="P802" s="184" t="str">
        <f>IFERROR(VLOOKUP(A802,[1]Approval!A:J,10,FALSE),"")</f>
        <v/>
      </c>
      <c r="R802" s="425">
        <f>2020-YEAR(Table227[[#This Row],[In-
Service
Date]])</f>
        <v>3</v>
      </c>
      <c r="S802" s="308">
        <f>+Table227[[#This Row],[Proj To Date
Actuals]]*1.02^R802</f>
        <v>885708.37111823994</v>
      </c>
    </row>
    <row r="803" spans="1:19" x14ac:dyDescent="0.25">
      <c r="A803" s="476" t="s">
        <v>1616</v>
      </c>
      <c r="B803" s="475" t="s">
        <v>4386</v>
      </c>
      <c r="C803" s="422" t="e">
        <f>VLOOKUP(B803,'Matter &amp; CI#'!$D$4:$E$595,2,FALSE)</f>
        <v>#N/A</v>
      </c>
      <c r="D803" s="476" t="s">
        <v>1617</v>
      </c>
      <c r="E803" s="476" t="s">
        <v>235</v>
      </c>
      <c r="F803" s="476" t="s">
        <v>24</v>
      </c>
      <c r="G803" s="475" t="s">
        <v>2013</v>
      </c>
      <c r="H803" s="516"/>
      <c r="I803" s="477" t="s">
        <v>5</v>
      </c>
      <c r="J803" s="476" t="s">
        <v>6</v>
      </c>
      <c r="K803" s="476" t="s">
        <v>7</v>
      </c>
      <c r="L803" s="184">
        <v>43031</v>
      </c>
      <c r="M803" s="184">
        <v>43952</v>
      </c>
      <c r="N803" s="480">
        <v>3296759.76</v>
      </c>
      <c r="O803" s="478" t="str">
        <f>IFERROR(VLOOKUP(A803,[1]Approval!A:C,3,FALSE),"")</f>
        <v>FIN Approval - Internal</v>
      </c>
      <c r="P803" s="184">
        <f>IFERROR(VLOOKUP(A803,[1]Approval!A:J,10,FALSE),"")</f>
        <v>43885</v>
      </c>
      <c r="R803" s="425">
        <f>2020-YEAR(Table227[[#This Row],[In-
Service
Date]])</f>
        <v>3</v>
      </c>
      <c r="S803" s="308">
        <f>+Table227[[#This Row],[Proj To Date
Actuals]]*1.02^R803</f>
        <v>3498547.8313900796</v>
      </c>
    </row>
    <row r="804" spans="1:19" x14ac:dyDescent="0.25">
      <c r="A804" s="476" t="s">
        <v>185</v>
      </c>
      <c r="B804" s="475" t="s">
        <v>4597</v>
      </c>
      <c r="C804" s="422" t="e">
        <f>VLOOKUP(B804,'Matter &amp; CI#'!$D$4:$E$595,2,FALSE)</f>
        <v>#N/A</v>
      </c>
      <c r="D804" s="476" t="s">
        <v>186</v>
      </c>
      <c r="E804" s="476" t="s">
        <v>34</v>
      </c>
      <c r="F804" s="476" t="s">
        <v>24</v>
      </c>
      <c r="G804" s="475" t="s">
        <v>2013</v>
      </c>
      <c r="H804" s="516"/>
      <c r="I804" s="477" t="s">
        <v>5</v>
      </c>
      <c r="J804" s="476" t="s">
        <v>6</v>
      </c>
      <c r="K804" s="476" t="s">
        <v>28</v>
      </c>
      <c r="L804" s="184">
        <v>43039</v>
      </c>
      <c r="N804" s="480">
        <v>519552.81</v>
      </c>
      <c r="O804" s="478" t="str">
        <f>IFERROR(VLOOKUP(A804,[1]Approval!A:C,3,FALSE),"")</f>
        <v/>
      </c>
      <c r="P804" s="184" t="str">
        <f>IFERROR(VLOOKUP(A804,[1]Approval!A:J,10,FALSE),"")</f>
        <v/>
      </c>
      <c r="R804" s="425">
        <f>2020-YEAR(Table227[[#This Row],[In-
Service
Date]])</f>
        <v>3</v>
      </c>
      <c r="S804" s="308">
        <f>+Table227[[#This Row],[Proj To Date
Actuals]]*1.02^R804</f>
        <v>551353.59839447995</v>
      </c>
    </row>
    <row r="805" spans="1:19" x14ac:dyDescent="0.25">
      <c r="A805" s="476" t="s">
        <v>449</v>
      </c>
      <c r="B805" s="475" t="s">
        <v>4598</v>
      </c>
      <c r="C805" s="422" t="e">
        <f>VLOOKUP(B805,'Matter &amp; CI#'!$D$4:$E$595,2,FALSE)</f>
        <v>#N/A</v>
      </c>
      <c r="D805" s="476" t="s">
        <v>450</v>
      </c>
      <c r="E805" s="476" t="s">
        <v>42</v>
      </c>
      <c r="F805" s="476" t="s">
        <v>24</v>
      </c>
      <c r="G805" s="475" t="s">
        <v>2013</v>
      </c>
      <c r="H805" s="516"/>
      <c r="I805" s="477" t="s">
        <v>5</v>
      </c>
      <c r="J805" s="476" t="s">
        <v>6</v>
      </c>
      <c r="K805" s="476" t="s">
        <v>28</v>
      </c>
      <c r="L805" s="184">
        <v>43040</v>
      </c>
      <c r="N805" s="480">
        <v>2529228.79</v>
      </c>
      <c r="O805" s="478" t="str">
        <f>IFERROR(VLOOKUP(A805,[1]Approval!A:C,3,FALSE),"")</f>
        <v/>
      </c>
      <c r="P805" s="184" t="str">
        <f>IFERROR(VLOOKUP(A805,[1]Approval!A:J,10,FALSE),"")</f>
        <v/>
      </c>
      <c r="R805" s="425">
        <f>2020-YEAR(Table227[[#This Row],[In-
Service
Date]])</f>
        <v>3</v>
      </c>
      <c r="S805" s="308">
        <f>+Table227[[#This Row],[Proj To Date
Actuals]]*1.02^R805</f>
        <v>2684037.82577832</v>
      </c>
    </row>
    <row r="806" spans="1:19" x14ac:dyDescent="0.25">
      <c r="A806" s="476" t="s">
        <v>895</v>
      </c>
      <c r="B806" s="475" t="s">
        <v>4640</v>
      </c>
      <c r="C806" s="422" t="e">
        <f>VLOOKUP(B806,'Matter &amp; CI#'!$D$4:$E$595,2,FALSE)</f>
        <v>#N/A</v>
      </c>
      <c r="D806" s="476" t="s">
        <v>896</v>
      </c>
      <c r="E806" s="476" t="s">
        <v>42</v>
      </c>
      <c r="F806" s="476" t="s">
        <v>24</v>
      </c>
      <c r="G806" s="475" t="s">
        <v>2013</v>
      </c>
      <c r="H806" s="516"/>
      <c r="I806" s="477" t="s">
        <v>5</v>
      </c>
      <c r="J806" s="476" t="s">
        <v>29</v>
      </c>
      <c r="K806" s="476" t="s">
        <v>7</v>
      </c>
      <c r="L806" s="184">
        <v>43052</v>
      </c>
      <c r="M806" s="184">
        <v>44136</v>
      </c>
      <c r="N806" s="480">
        <v>351271.54</v>
      </c>
      <c r="O806" s="478" t="str">
        <f>IFERROR(VLOOKUP(A806,[1]Approval!A:C,3,FALSE),"")</f>
        <v>FIN Approval - Internal</v>
      </c>
      <c r="P806" s="184">
        <f>IFERROR(VLOOKUP(A806,[1]Approval!A:J,10,FALSE),"")</f>
        <v>43999</v>
      </c>
      <c r="R806" s="425">
        <f>2020-YEAR(Table227[[#This Row],[In-
Service
Date]])</f>
        <v>3</v>
      </c>
      <c r="S806" s="308">
        <f>+Table227[[#This Row],[Proj To Date
Actuals]]*1.02^R806</f>
        <v>372772.16842031997</v>
      </c>
    </row>
    <row r="807" spans="1:19" x14ac:dyDescent="0.25">
      <c r="A807" s="476" t="s">
        <v>881</v>
      </c>
      <c r="B807" s="475" t="s">
        <v>4547</v>
      </c>
      <c r="C807" s="422" t="e">
        <f>VLOOKUP(B807,'Matter &amp; CI#'!$D$4:$E$595,2,FALSE)</f>
        <v>#N/A</v>
      </c>
      <c r="D807" s="476" t="s">
        <v>882</v>
      </c>
      <c r="E807" s="476" t="s">
        <v>42</v>
      </c>
      <c r="F807" s="476" t="s">
        <v>24</v>
      </c>
      <c r="G807" s="475" t="s">
        <v>2013</v>
      </c>
      <c r="H807" s="516"/>
      <c r="I807" s="477" t="s">
        <v>5</v>
      </c>
      <c r="J807" s="476" t="s">
        <v>29</v>
      </c>
      <c r="K807" s="476" t="s">
        <v>7</v>
      </c>
      <c r="L807" s="184">
        <v>43057</v>
      </c>
      <c r="M807" s="184">
        <v>43862</v>
      </c>
      <c r="N807" s="480">
        <v>96089.919999999998</v>
      </c>
      <c r="O807" s="478" t="str">
        <f>IFERROR(VLOOKUP(A807,[1]Approval!A:C,3,FALSE),"")</f>
        <v>FIN Approval - Internal</v>
      </c>
      <c r="P807" s="184">
        <f>IFERROR(VLOOKUP(A807,[1]Approval!A:J,10,FALSE),"")</f>
        <v>43817</v>
      </c>
      <c r="R807" s="425">
        <f>2020-YEAR(Table227[[#This Row],[In-
Service
Date]])</f>
        <v>3</v>
      </c>
      <c r="S807" s="308">
        <f>+Table227[[#This Row],[Proj To Date
Actuals]]*1.02^R807</f>
        <v>101971.39182336</v>
      </c>
    </row>
    <row r="808" spans="1:19" x14ac:dyDescent="0.25">
      <c r="A808" s="476" t="s">
        <v>411</v>
      </c>
      <c r="B808" s="475" t="s">
        <v>4273</v>
      </c>
      <c r="C808" s="422" t="e">
        <f>VLOOKUP(B808,'Matter &amp; CI#'!$D$4:$E$595,2,FALSE)</f>
        <v>#N/A</v>
      </c>
      <c r="D808" s="476" t="s">
        <v>412</v>
      </c>
      <c r="E808" s="476" t="s">
        <v>34</v>
      </c>
      <c r="F808" s="476" t="s">
        <v>24</v>
      </c>
      <c r="G808" s="475" t="s">
        <v>2013</v>
      </c>
      <c r="H808" s="516"/>
      <c r="I808" s="477" t="s">
        <v>5</v>
      </c>
      <c r="J808" s="476" t="s">
        <v>6</v>
      </c>
      <c r="K808" s="476" t="s">
        <v>7</v>
      </c>
      <c r="L808" s="184">
        <v>43069</v>
      </c>
      <c r="M808" s="184">
        <v>43952</v>
      </c>
      <c r="N808" s="480">
        <v>2006133.93</v>
      </c>
      <c r="O808" s="478" t="str">
        <f>IFERROR(VLOOKUP(A808,[1]Approval!A:C,3,FALSE),"")</f>
        <v>FIN Approval - Internal</v>
      </c>
      <c r="P808" s="184">
        <f>IFERROR(VLOOKUP(A808,[1]Approval!A:J,10,FALSE),"")</f>
        <v>43889</v>
      </c>
      <c r="R808" s="425">
        <f>2020-YEAR(Table227[[#This Row],[In-
Service
Date]])</f>
        <v>3</v>
      </c>
      <c r="S808" s="308">
        <f>+Table227[[#This Row],[Proj To Date
Actuals]]*1.02^R808</f>
        <v>2128925.3755874396</v>
      </c>
    </row>
    <row r="809" spans="1:19" x14ac:dyDescent="0.25">
      <c r="A809" s="476" t="s">
        <v>1364</v>
      </c>
      <c r="B809" s="475" t="s">
        <v>4505</v>
      </c>
      <c r="C809" s="422" t="e">
        <f>VLOOKUP(B809,'Matter &amp; CI#'!$D$4:$E$595,2,FALSE)</f>
        <v>#N/A</v>
      </c>
      <c r="D809" s="476" t="s">
        <v>1365</v>
      </c>
      <c r="E809" s="476" t="s">
        <v>42</v>
      </c>
      <c r="F809" s="476" t="s">
        <v>24</v>
      </c>
      <c r="G809" s="475" t="s">
        <v>2013</v>
      </c>
      <c r="H809" s="516"/>
      <c r="I809" s="477" t="s">
        <v>5</v>
      </c>
      <c r="J809" s="476" t="s">
        <v>29</v>
      </c>
      <c r="K809" s="476" t="s">
        <v>7</v>
      </c>
      <c r="L809" s="184">
        <v>43069</v>
      </c>
      <c r="M809" s="184">
        <v>44136</v>
      </c>
      <c r="N809" s="480">
        <v>103296.81</v>
      </c>
      <c r="O809" s="478" t="str">
        <f>IFERROR(VLOOKUP(A809,[1]Approval!A:C,3,FALSE),"")</f>
        <v>FIN Approval - Internal</v>
      </c>
      <c r="P809" s="184">
        <f>IFERROR(VLOOKUP(A809,[1]Approval!A:J,10,FALSE),"")</f>
        <v>43976</v>
      </c>
      <c r="R809" s="425">
        <f>2020-YEAR(Table227[[#This Row],[In-
Service
Date]])</f>
        <v>3</v>
      </c>
      <c r="S809" s="308">
        <f>+Table227[[#This Row],[Proj To Date
Actuals]]*1.02^R809</f>
        <v>109619.40114647998</v>
      </c>
    </row>
    <row r="810" spans="1:19" x14ac:dyDescent="0.25">
      <c r="A810" s="476" t="s">
        <v>1124</v>
      </c>
      <c r="B810" s="475" t="s">
        <v>4551</v>
      </c>
      <c r="C810" s="422" t="e">
        <f>VLOOKUP(B810,'Matter &amp; CI#'!$D$4:$E$595,2,FALSE)</f>
        <v>#N/A</v>
      </c>
      <c r="D810" s="476" t="s">
        <v>1125</v>
      </c>
      <c r="E810" s="476" t="s">
        <v>42</v>
      </c>
      <c r="F810" s="476" t="s">
        <v>24</v>
      </c>
      <c r="G810" s="475" t="s">
        <v>2013</v>
      </c>
      <c r="H810" s="516"/>
      <c r="I810" s="477" t="s">
        <v>5</v>
      </c>
      <c r="J810" s="476" t="s">
        <v>29</v>
      </c>
      <c r="K810" s="476" t="s">
        <v>7</v>
      </c>
      <c r="L810" s="184">
        <v>43069</v>
      </c>
      <c r="M810" s="184">
        <v>44136</v>
      </c>
      <c r="N810" s="480">
        <v>84560.4</v>
      </c>
      <c r="O810" s="478" t="str">
        <f>IFERROR(VLOOKUP(A810,[1]Approval!A:C,3,FALSE),"")</f>
        <v>FIN Approval - Internal</v>
      </c>
      <c r="P810" s="184">
        <f>IFERROR(VLOOKUP(A810,[1]Approval!A:J,10,FALSE),"")</f>
        <v>43976</v>
      </c>
      <c r="R810" s="425">
        <f>2020-YEAR(Table227[[#This Row],[In-
Service
Date]])</f>
        <v>3</v>
      </c>
      <c r="S810" s="308">
        <f>+Table227[[#This Row],[Proj To Date
Actuals]]*1.02^R810</f>
        <v>89736.172963199992</v>
      </c>
    </row>
    <row r="811" spans="1:19" x14ac:dyDescent="0.25">
      <c r="A811" s="476" t="s">
        <v>1690</v>
      </c>
      <c r="B811" s="475" t="s">
        <v>4679</v>
      </c>
      <c r="C811" s="422" t="e">
        <f>VLOOKUP(B811,'Matter &amp; CI#'!$D$4:$E$595,2,FALSE)</f>
        <v>#N/A</v>
      </c>
      <c r="D811" s="476" t="s">
        <v>1691</v>
      </c>
      <c r="E811" s="476" t="s">
        <v>42</v>
      </c>
      <c r="F811" s="476" t="s">
        <v>24</v>
      </c>
      <c r="G811" s="475" t="s">
        <v>2013</v>
      </c>
      <c r="H811" s="516"/>
      <c r="I811" s="477" t="s">
        <v>5</v>
      </c>
      <c r="J811" s="476" t="s">
        <v>29</v>
      </c>
      <c r="K811" s="476" t="s">
        <v>7</v>
      </c>
      <c r="L811" s="184">
        <v>43069</v>
      </c>
      <c r="M811" s="184">
        <v>43862</v>
      </c>
      <c r="N811" s="480">
        <v>139181.78</v>
      </c>
      <c r="O811" s="478" t="str">
        <f>IFERROR(VLOOKUP(A811,[1]Approval!A:C,3,FALSE),"")</f>
        <v>FIN Approval - Internal</v>
      </c>
      <c r="P811" s="184">
        <f>IFERROR(VLOOKUP(A811,[1]Approval!A:J,10,FALSE),"")</f>
        <v>43817</v>
      </c>
      <c r="R811" s="425">
        <f>2020-YEAR(Table227[[#This Row],[In-
Service
Date]])</f>
        <v>3</v>
      </c>
      <c r="S811" s="308">
        <f>+Table227[[#This Row],[Proj To Date
Actuals]]*1.02^R811</f>
        <v>147700.81839023999</v>
      </c>
    </row>
    <row r="812" spans="1:19" x14ac:dyDescent="0.25">
      <c r="A812" s="476" t="s">
        <v>1146</v>
      </c>
      <c r="B812" s="475" t="s">
        <v>4566</v>
      </c>
      <c r="C812" s="422" t="e">
        <f>VLOOKUP(B812,'Matter &amp; CI#'!$D$4:$E$595,2,FALSE)</f>
        <v>#N/A</v>
      </c>
      <c r="D812" s="476" t="s">
        <v>1147</v>
      </c>
      <c r="E812" s="476" t="s">
        <v>42</v>
      </c>
      <c r="F812" s="476" t="s">
        <v>24</v>
      </c>
      <c r="G812" s="475" t="s">
        <v>2013</v>
      </c>
      <c r="H812" s="516"/>
      <c r="I812" s="477" t="s">
        <v>5</v>
      </c>
      <c r="J812" s="476" t="s">
        <v>6</v>
      </c>
      <c r="K812" s="476" t="s">
        <v>28</v>
      </c>
      <c r="L812" s="184">
        <v>43100</v>
      </c>
      <c r="N812" s="480">
        <v>1532095.81</v>
      </c>
      <c r="O812" s="478" t="str">
        <f>IFERROR(VLOOKUP(A812,[1]Approval!A:C,3,FALSE),"")</f>
        <v>FIN Approval - Internal</v>
      </c>
      <c r="P812" s="184">
        <f>IFERROR(VLOOKUP(A812,[1]Approval!A:J,10,FALSE),"")</f>
        <v>44161</v>
      </c>
      <c r="R812" s="425">
        <f>2020-YEAR(Table227[[#This Row],[In-
Service
Date]])</f>
        <v>3</v>
      </c>
      <c r="S812" s="308">
        <f>+Table227[[#This Row],[Proj To Date
Actuals]]*1.02^R812</f>
        <v>1625872.33033848</v>
      </c>
    </row>
    <row r="813" spans="1:19" x14ac:dyDescent="0.25">
      <c r="A813" s="476" t="s">
        <v>200</v>
      </c>
      <c r="B813" s="475" t="s">
        <v>4581</v>
      </c>
      <c r="C813" s="422" t="e">
        <f>VLOOKUP(B813,'Matter &amp; CI#'!$D$4:$E$595,2,FALSE)</f>
        <v>#N/A</v>
      </c>
      <c r="D813" s="476" t="s">
        <v>201</v>
      </c>
      <c r="E813" s="476" t="s">
        <v>34</v>
      </c>
      <c r="F813" s="476" t="s">
        <v>24</v>
      </c>
      <c r="G813" s="475" t="s">
        <v>2013</v>
      </c>
      <c r="H813" s="516"/>
      <c r="I813" s="477" t="s">
        <v>5</v>
      </c>
      <c r="J813" s="476" t="s">
        <v>6</v>
      </c>
      <c r="K813" s="476" t="s">
        <v>7</v>
      </c>
      <c r="L813" s="184">
        <v>43100</v>
      </c>
      <c r="M813" s="184">
        <v>44044</v>
      </c>
      <c r="N813" s="480">
        <v>339359.52</v>
      </c>
      <c r="O813" s="478" t="str">
        <f>IFERROR(VLOOKUP(A813,[1]Approval!A:C,3,FALSE),"")</f>
        <v>FIN Approval - Internal</v>
      </c>
      <c r="P813" s="184">
        <f>IFERROR(VLOOKUP(A813,[1]Approval!A:J,10,FALSE),"")</f>
        <v>44055</v>
      </c>
      <c r="R813" s="425">
        <f>2020-YEAR(Table227[[#This Row],[In-
Service
Date]])</f>
        <v>3</v>
      </c>
      <c r="S813" s="308">
        <f>+Table227[[#This Row],[Proj To Date
Actuals]]*1.02^R813</f>
        <v>360131.03750015999</v>
      </c>
    </row>
    <row r="814" spans="1:19" x14ac:dyDescent="0.25">
      <c r="A814" s="476" t="s">
        <v>1410</v>
      </c>
      <c r="B814" s="475" t="s">
        <v>4641</v>
      </c>
      <c r="C814" s="422" t="e">
        <f>VLOOKUP(B814,'Matter &amp; CI#'!$D$4:$E$595,2,FALSE)</f>
        <v>#N/A</v>
      </c>
      <c r="D814" s="476" t="s">
        <v>1411</v>
      </c>
      <c r="E814" s="476" t="s">
        <v>42</v>
      </c>
      <c r="F814" s="476" t="s">
        <v>24</v>
      </c>
      <c r="G814" s="475" t="s">
        <v>2013</v>
      </c>
      <c r="H814" s="516"/>
      <c r="I814" s="477" t="s">
        <v>5</v>
      </c>
      <c r="J814" s="476" t="s">
        <v>29</v>
      </c>
      <c r="K814" s="476" t="s">
        <v>7</v>
      </c>
      <c r="L814" s="184">
        <v>43100</v>
      </c>
      <c r="M814" s="184">
        <v>43891</v>
      </c>
      <c r="N814" s="480">
        <v>159521.62</v>
      </c>
      <c r="O814" s="478" t="str">
        <f>IFERROR(VLOOKUP(A814,[1]Approval!A:C,3,FALSE),"")</f>
        <v>FIN Approval - Internal</v>
      </c>
      <c r="P814" s="184">
        <f>IFERROR(VLOOKUP(A814,[1]Approval!A:J,10,FALSE),"")</f>
        <v>43892</v>
      </c>
      <c r="R814" s="425">
        <f>2020-YEAR(Table227[[#This Row],[In-
Service
Date]])</f>
        <v>3</v>
      </c>
      <c r="S814" s="308">
        <f>+Table227[[#This Row],[Proj To Date
Actuals]]*1.02^R814</f>
        <v>169285.61931695999</v>
      </c>
    </row>
    <row r="815" spans="1:19" x14ac:dyDescent="0.25">
      <c r="A815" s="476" t="s">
        <v>116</v>
      </c>
      <c r="B815" s="475" t="s">
        <v>4288</v>
      </c>
      <c r="C815" s="422" t="e">
        <f>VLOOKUP(B815,'Matter &amp; CI#'!$D$4:$E$595,2,FALSE)</f>
        <v>#N/A</v>
      </c>
      <c r="D815" s="476" t="s">
        <v>117</v>
      </c>
      <c r="E815" s="476" t="s">
        <v>118</v>
      </c>
      <c r="F815" s="476" t="s">
        <v>24</v>
      </c>
      <c r="G815" s="475" t="s">
        <v>2013</v>
      </c>
      <c r="H815" s="516"/>
      <c r="I815" s="477" t="s">
        <v>5</v>
      </c>
      <c r="J815" s="476" t="s">
        <v>6</v>
      </c>
      <c r="K815" s="476" t="s">
        <v>28</v>
      </c>
      <c r="L815" s="184">
        <v>43115</v>
      </c>
      <c r="N815" s="480">
        <v>2691016.62</v>
      </c>
      <c r="O815" s="478" t="str">
        <f>IFERROR(VLOOKUP(A815,[1]Approval!A:C,3,FALSE),"")</f>
        <v/>
      </c>
      <c r="P815" s="184" t="str">
        <f>IFERROR(VLOOKUP(A815,[1]Approval!A:J,10,FALSE),"")</f>
        <v/>
      </c>
      <c r="R815" s="425">
        <f>2020-YEAR(Table227[[#This Row],[In-
Service
Date]])</f>
        <v>2</v>
      </c>
      <c r="S815" s="308">
        <f>+Table227[[#This Row],[Proj To Date
Actuals]]*1.02^R815</f>
        <v>2799733.6914480003</v>
      </c>
    </row>
    <row r="816" spans="1:19" x14ac:dyDescent="0.25">
      <c r="A816" s="476" t="s">
        <v>1843</v>
      </c>
      <c r="B816" s="475" t="s">
        <v>4289</v>
      </c>
      <c r="C816" s="422" t="e">
        <f>VLOOKUP(B816,'Matter &amp; CI#'!$D$4:$E$595,2,FALSE)</f>
        <v>#N/A</v>
      </c>
      <c r="D816" s="476" t="s">
        <v>1844</v>
      </c>
      <c r="E816" s="476" t="s">
        <v>118</v>
      </c>
      <c r="F816" s="476" t="s">
        <v>24</v>
      </c>
      <c r="G816" s="475" t="s">
        <v>2013</v>
      </c>
      <c r="H816" s="516"/>
      <c r="I816" s="477" t="s">
        <v>5</v>
      </c>
      <c r="J816" s="476" t="s">
        <v>6</v>
      </c>
      <c r="K816" s="476" t="s">
        <v>28</v>
      </c>
      <c r="L816" s="184">
        <v>43115</v>
      </c>
      <c r="N816" s="480">
        <v>2982713.69</v>
      </c>
      <c r="O816" s="478" t="str">
        <f>IFERROR(VLOOKUP(A816,[1]Approval!A:C,3,FALSE),"")</f>
        <v/>
      </c>
      <c r="P816" s="184" t="str">
        <f>IFERROR(VLOOKUP(A816,[1]Approval!A:J,10,FALSE),"")</f>
        <v/>
      </c>
      <c r="R816" s="425">
        <f>2020-YEAR(Table227[[#This Row],[In-
Service
Date]])</f>
        <v>2</v>
      </c>
      <c r="S816" s="308">
        <f>+Table227[[#This Row],[Proj To Date
Actuals]]*1.02^R816</f>
        <v>3103215.323076</v>
      </c>
    </row>
    <row r="817" spans="1:19" x14ac:dyDescent="0.25">
      <c r="A817" s="476" t="s">
        <v>439</v>
      </c>
      <c r="B817" s="475" t="s">
        <v>4579</v>
      </c>
      <c r="C817" s="422" t="e">
        <f>VLOOKUP(B817,'Matter &amp; CI#'!$D$4:$E$595,2,FALSE)</f>
        <v>#N/A</v>
      </c>
      <c r="D817" s="476" t="s">
        <v>440</v>
      </c>
      <c r="E817" s="476" t="s">
        <v>34</v>
      </c>
      <c r="F817" s="476" t="s">
        <v>24</v>
      </c>
      <c r="G817" s="475" t="s">
        <v>2013</v>
      </c>
      <c r="H817" s="516"/>
      <c r="I817" s="477" t="s">
        <v>5</v>
      </c>
      <c r="J817" s="476" t="s">
        <v>6</v>
      </c>
      <c r="K817" s="476" t="s">
        <v>28</v>
      </c>
      <c r="L817" s="184">
        <v>43131</v>
      </c>
      <c r="N817" s="480">
        <v>1045370.9</v>
      </c>
      <c r="O817" s="478" t="str">
        <f>IFERROR(VLOOKUP(A817,[1]Approval!A:C,3,FALSE),"")</f>
        <v/>
      </c>
      <c r="P817" s="184" t="str">
        <f>IFERROR(VLOOKUP(A817,[1]Approval!A:J,10,FALSE),"")</f>
        <v/>
      </c>
      <c r="R817" s="425">
        <f>2020-YEAR(Table227[[#This Row],[In-
Service
Date]])</f>
        <v>2</v>
      </c>
      <c r="S817" s="308">
        <f>+Table227[[#This Row],[Proj To Date
Actuals]]*1.02^R817</f>
        <v>1087603.88436</v>
      </c>
    </row>
    <row r="818" spans="1:19" x14ac:dyDescent="0.25">
      <c r="A818" s="476" t="s">
        <v>1416</v>
      </c>
      <c r="B818" s="475" t="s">
        <v>4642</v>
      </c>
      <c r="C818" s="422" t="e">
        <f>VLOOKUP(B818,'Matter &amp; CI#'!$D$4:$E$595,2,FALSE)</f>
        <v>#N/A</v>
      </c>
      <c r="D818" s="476" t="s">
        <v>1417</v>
      </c>
      <c r="E818" s="476" t="s">
        <v>42</v>
      </c>
      <c r="F818" s="476" t="s">
        <v>24</v>
      </c>
      <c r="G818" s="475" t="s">
        <v>2013</v>
      </c>
      <c r="H818" s="516"/>
      <c r="I818" s="477" t="s">
        <v>5</v>
      </c>
      <c r="J818" s="476" t="s">
        <v>29</v>
      </c>
      <c r="K818" s="476" t="s">
        <v>28</v>
      </c>
      <c r="L818" s="184">
        <v>43131</v>
      </c>
      <c r="N818" s="480">
        <v>369170.98</v>
      </c>
      <c r="O818" s="478" t="str">
        <f>IFERROR(VLOOKUP(A818,[1]Approval!A:C,3,FALSE),"")</f>
        <v>FIN Approval - Internal</v>
      </c>
      <c r="P818" s="184">
        <f>IFERROR(VLOOKUP(A818,[1]Approval!A:J,10,FALSE),"")</f>
        <v>44105</v>
      </c>
      <c r="R818" s="425">
        <f>2020-YEAR(Table227[[#This Row],[In-
Service
Date]])</f>
        <v>2</v>
      </c>
      <c r="S818" s="308">
        <f>+Table227[[#This Row],[Proj To Date
Actuals]]*1.02^R818</f>
        <v>384085.48759199999</v>
      </c>
    </row>
    <row r="819" spans="1:19" x14ac:dyDescent="0.25">
      <c r="A819" s="476" t="s">
        <v>1170</v>
      </c>
      <c r="B819" s="475" t="s">
        <v>1170</v>
      </c>
      <c r="C819" s="422" t="e">
        <f>VLOOKUP(B819,'Matter &amp; CI#'!$D$4:$E$595,2,FALSE)</f>
        <v>#N/A</v>
      </c>
      <c r="D819" s="476" t="s">
        <v>1171</v>
      </c>
      <c r="E819" s="476" t="s">
        <v>89</v>
      </c>
      <c r="F819" s="476" t="s">
        <v>24</v>
      </c>
      <c r="G819" s="475" t="s">
        <v>2013</v>
      </c>
      <c r="H819" s="516"/>
      <c r="I819" s="477" t="s">
        <v>5</v>
      </c>
      <c r="J819" s="476" t="s">
        <v>6</v>
      </c>
      <c r="K819" s="476" t="s">
        <v>28</v>
      </c>
      <c r="L819" s="184">
        <v>43151</v>
      </c>
      <c r="N819" s="481">
        <v>5542106.3300000001</v>
      </c>
      <c r="O819" s="478" t="str">
        <f>IFERROR(VLOOKUP(A819,[1]Approval!A:C,3,FALSE),"")</f>
        <v>FIN Approval - Internal</v>
      </c>
      <c r="P819" s="184">
        <f>IFERROR(VLOOKUP(A819,[1]Approval!A:J,10,FALSE),"")</f>
        <v>44126</v>
      </c>
      <c r="R819" s="425">
        <f>2020-YEAR(Table227[[#This Row],[In-
Service
Date]])</f>
        <v>2</v>
      </c>
      <c r="S819" s="308">
        <f>+Table227[[#This Row],[Proj To Date
Actuals]]*1.02^R819</f>
        <v>5766007.4257319998</v>
      </c>
    </row>
    <row r="820" spans="1:19" x14ac:dyDescent="0.25">
      <c r="A820" s="476" t="s">
        <v>158</v>
      </c>
      <c r="B820" s="475" t="s">
        <v>4476</v>
      </c>
      <c r="C820" s="422" t="e">
        <f>VLOOKUP(B820,'Matter &amp; CI#'!$D$4:$E$595,2,FALSE)</f>
        <v>#N/A</v>
      </c>
      <c r="D820" s="476" t="s">
        <v>159</v>
      </c>
      <c r="E820" s="476" t="s">
        <v>34</v>
      </c>
      <c r="F820" s="476" t="s">
        <v>24</v>
      </c>
      <c r="G820" s="475" t="s">
        <v>2013</v>
      </c>
      <c r="H820" s="516"/>
      <c r="I820" s="477" t="s">
        <v>5</v>
      </c>
      <c r="J820" s="476" t="s">
        <v>6</v>
      </c>
      <c r="K820" s="476" t="s">
        <v>7</v>
      </c>
      <c r="L820" s="184">
        <v>43190</v>
      </c>
      <c r="M820" s="184">
        <v>43952</v>
      </c>
      <c r="N820" s="480">
        <v>253153.88</v>
      </c>
      <c r="O820" s="478" t="str">
        <f>IFERROR(VLOOKUP(A820,[1]Approval!A:C,3,FALSE),"")</f>
        <v>FIN Approval - Internal</v>
      </c>
      <c r="P820" s="184">
        <f>IFERROR(VLOOKUP(A820,[1]Approval!A:J,10,FALSE),"")</f>
        <v>43867</v>
      </c>
      <c r="R820" s="425">
        <f>2020-YEAR(Table227[[#This Row],[In-
Service
Date]])</f>
        <v>2</v>
      </c>
      <c r="S820" s="308">
        <f>+Table227[[#This Row],[Proj To Date
Actuals]]*1.02^R820</f>
        <v>263381.29675199999</v>
      </c>
    </row>
    <row r="821" spans="1:19" x14ac:dyDescent="0.25">
      <c r="A821" s="476" t="s">
        <v>690</v>
      </c>
      <c r="B821" s="475" t="s">
        <v>4652</v>
      </c>
      <c r="C821" s="422" t="e">
        <f>VLOOKUP(B821,'Matter &amp; CI#'!$D$4:$E$595,2,FALSE)</f>
        <v>#N/A</v>
      </c>
      <c r="D821" s="476" t="s">
        <v>691</v>
      </c>
      <c r="E821" s="476" t="s">
        <v>42</v>
      </c>
      <c r="F821" s="476" t="s">
        <v>24</v>
      </c>
      <c r="G821" s="475" t="s">
        <v>2013</v>
      </c>
      <c r="H821" s="516"/>
      <c r="I821" s="477" t="s">
        <v>5</v>
      </c>
      <c r="J821" s="476" t="s">
        <v>6</v>
      </c>
      <c r="K821" s="476" t="s">
        <v>28</v>
      </c>
      <c r="L821" s="184">
        <v>43220</v>
      </c>
      <c r="N821" s="480">
        <v>3073174.01</v>
      </c>
      <c r="O821" s="478" t="str">
        <f>IFERROR(VLOOKUP(A821,[1]Approval!A:C,3,FALSE),"")</f>
        <v/>
      </c>
      <c r="P821" s="184" t="str">
        <f>IFERROR(VLOOKUP(A821,[1]Approval!A:J,10,FALSE),"")</f>
        <v/>
      </c>
      <c r="R821" s="425">
        <f>2020-YEAR(Table227[[#This Row],[In-
Service
Date]])</f>
        <v>2</v>
      </c>
      <c r="S821" s="308">
        <f>+Table227[[#This Row],[Proj To Date
Actuals]]*1.02^R821</f>
        <v>3197330.2400039998</v>
      </c>
    </row>
    <row r="822" spans="1:19" x14ac:dyDescent="0.25">
      <c r="A822" s="476" t="s">
        <v>1172</v>
      </c>
      <c r="B822" s="475" t="s">
        <v>1172</v>
      </c>
      <c r="C822" s="422" t="e">
        <f>VLOOKUP(B822,'Matter &amp; CI#'!$D$4:$E$595,2,FALSE)</f>
        <v>#N/A</v>
      </c>
      <c r="D822" s="476" t="s">
        <v>1173</v>
      </c>
      <c r="E822" s="476" t="s">
        <v>34</v>
      </c>
      <c r="F822" s="476" t="s">
        <v>24</v>
      </c>
      <c r="G822" s="475" t="s">
        <v>2013</v>
      </c>
      <c r="H822" s="516"/>
      <c r="I822" s="477" t="s">
        <v>5</v>
      </c>
      <c r="J822" s="476" t="s">
        <v>6</v>
      </c>
      <c r="K822" s="476" t="s">
        <v>28</v>
      </c>
      <c r="L822" s="184">
        <v>43220</v>
      </c>
      <c r="N822" s="480">
        <v>3408583.54</v>
      </c>
      <c r="O822" s="478" t="str">
        <f>IFERROR(VLOOKUP(A822,[1]Approval!A:C,3,FALSE),"")</f>
        <v/>
      </c>
      <c r="P822" s="184" t="str">
        <f>IFERROR(VLOOKUP(A822,[1]Approval!A:J,10,FALSE),"")</f>
        <v/>
      </c>
      <c r="R822" s="425">
        <f>2020-YEAR(Table227[[#This Row],[In-
Service
Date]])</f>
        <v>2</v>
      </c>
      <c r="S822" s="308">
        <f>+Table227[[#This Row],[Proj To Date
Actuals]]*1.02^R822</f>
        <v>3546290.3150160001</v>
      </c>
    </row>
    <row r="823" spans="1:19" x14ac:dyDescent="0.25">
      <c r="A823" s="476" t="s">
        <v>459</v>
      </c>
      <c r="B823" s="475" t="s">
        <v>4683</v>
      </c>
      <c r="C823" s="422" t="e">
        <f>VLOOKUP(B823,'Matter &amp; CI#'!$D$4:$E$595,2,FALSE)</f>
        <v>#N/A</v>
      </c>
      <c r="D823" s="476" t="s">
        <v>460</v>
      </c>
      <c r="E823" s="476" t="s">
        <v>42</v>
      </c>
      <c r="F823" s="476" t="s">
        <v>24</v>
      </c>
      <c r="G823" s="475" t="s">
        <v>2013</v>
      </c>
      <c r="H823" s="516"/>
      <c r="I823" s="477" t="s">
        <v>5</v>
      </c>
      <c r="J823" s="476" t="s">
        <v>29</v>
      </c>
      <c r="K823" s="476" t="s">
        <v>28</v>
      </c>
      <c r="L823" s="184">
        <v>43220</v>
      </c>
      <c r="N823" s="480">
        <v>452593.65</v>
      </c>
      <c r="O823" s="478" t="str">
        <f>IFERROR(VLOOKUP(A823,[1]Approval!A:C,3,FALSE),"")</f>
        <v/>
      </c>
      <c r="P823" s="184" t="str">
        <f>IFERROR(VLOOKUP(A823,[1]Approval!A:J,10,FALSE),"")</f>
        <v/>
      </c>
      <c r="R823" s="425">
        <f>2020-YEAR(Table227[[#This Row],[In-
Service
Date]])</f>
        <v>2</v>
      </c>
      <c r="S823" s="308">
        <f>+Table227[[#This Row],[Proj To Date
Actuals]]*1.02^R823</f>
        <v>470878.43346000003</v>
      </c>
    </row>
    <row r="824" spans="1:19" x14ac:dyDescent="0.25">
      <c r="A824" s="476" t="s">
        <v>1152</v>
      </c>
      <c r="B824" s="475" t="s">
        <v>4562</v>
      </c>
      <c r="C824" s="422" t="e">
        <f>VLOOKUP(B824,'Matter &amp; CI#'!$D$4:$E$595,2,FALSE)</f>
        <v>#N/A</v>
      </c>
      <c r="D824" s="476" t="s">
        <v>1153</v>
      </c>
      <c r="E824" s="476" t="s">
        <v>42</v>
      </c>
      <c r="F824" s="476" t="s">
        <v>24</v>
      </c>
      <c r="G824" s="475" t="s">
        <v>2013</v>
      </c>
      <c r="H824" s="516"/>
      <c r="I824" s="477" t="s">
        <v>5</v>
      </c>
      <c r="J824" s="476" t="s">
        <v>6</v>
      </c>
      <c r="K824" s="476" t="s">
        <v>28</v>
      </c>
      <c r="L824" s="184">
        <v>43251</v>
      </c>
      <c r="N824" s="480">
        <v>1784759.13</v>
      </c>
      <c r="O824" s="478" t="str">
        <f>IFERROR(VLOOKUP(A824,[1]Approval!A:C,3,FALSE),"")</f>
        <v>FIN Approval - Internal</v>
      </c>
      <c r="P824" s="184">
        <f>IFERROR(VLOOKUP(A824,[1]Approval!A:J,10,FALSE),"")</f>
        <v>44161</v>
      </c>
      <c r="R824" s="425">
        <f>2020-YEAR(Table227[[#This Row],[In-
Service
Date]])</f>
        <v>2</v>
      </c>
      <c r="S824" s="308">
        <f>+Table227[[#This Row],[Proj To Date
Actuals]]*1.02^R824</f>
        <v>1856863.3988519998</v>
      </c>
    </row>
    <row r="825" spans="1:19" x14ac:dyDescent="0.25">
      <c r="A825" s="476" t="s">
        <v>652</v>
      </c>
      <c r="B825" s="475" t="s">
        <v>4572</v>
      </c>
      <c r="C825" s="422" t="e">
        <f>VLOOKUP(B825,'Matter &amp; CI#'!$D$4:$E$595,2,FALSE)</f>
        <v>#N/A</v>
      </c>
      <c r="D825" s="476" t="s">
        <v>653</v>
      </c>
      <c r="E825" s="476" t="s">
        <v>34</v>
      </c>
      <c r="F825" s="476" t="s">
        <v>24</v>
      </c>
      <c r="G825" s="475" t="s">
        <v>2013</v>
      </c>
      <c r="H825" s="516"/>
      <c r="I825" s="477" t="s">
        <v>5</v>
      </c>
      <c r="J825" s="476" t="s">
        <v>6</v>
      </c>
      <c r="K825" s="476" t="s">
        <v>7</v>
      </c>
      <c r="L825" s="184">
        <v>43251</v>
      </c>
      <c r="M825" s="184">
        <v>44197</v>
      </c>
      <c r="N825" s="480">
        <v>248377.98</v>
      </c>
      <c r="O825" s="478" t="str">
        <f>IFERROR(VLOOKUP(A825,[1]Approval!A:C,3,FALSE),"")</f>
        <v>FIN Approval - Internal</v>
      </c>
      <c r="P825" s="184">
        <f>IFERROR(VLOOKUP(A825,[1]Approval!A:J,10,FALSE),"")</f>
        <v>44105</v>
      </c>
      <c r="R825" s="425">
        <f>2020-YEAR(Table227[[#This Row],[In-
Service
Date]])</f>
        <v>2</v>
      </c>
      <c r="S825" s="308">
        <f>+Table227[[#This Row],[Proj To Date
Actuals]]*1.02^R825</f>
        <v>258412.450392</v>
      </c>
    </row>
    <row r="826" spans="1:19" x14ac:dyDescent="0.25">
      <c r="A826" s="476" t="s">
        <v>208</v>
      </c>
      <c r="B826" s="475" t="s">
        <v>208</v>
      </c>
      <c r="C826" s="422" t="e">
        <f>VLOOKUP(B826,'Matter &amp; CI#'!$D$4:$E$595,2,FALSE)</f>
        <v>#N/A</v>
      </c>
      <c r="D826" s="476" t="s">
        <v>209</v>
      </c>
      <c r="E826" s="476" t="s">
        <v>42</v>
      </c>
      <c r="F826" s="476" t="s">
        <v>24</v>
      </c>
      <c r="G826" s="475" t="s">
        <v>2013</v>
      </c>
      <c r="H826" s="516"/>
      <c r="I826" s="477" t="s">
        <v>5</v>
      </c>
      <c r="J826" s="476" t="s">
        <v>6</v>
      </c>
      <c r="K826" s="476" t="s">
        <v>28</v>
      </c>
      <c r="L826" s="184">
        <v>43251</v>
      </c>
      <c r="N826" s="480">
        <v>1039350.04</v>
      </c>
      <c r="O826" s="478" t="str">
        <f>IFERROR(VLOOKUP(A826,[1]Approval!A:C,3,FALSE),"")</f>
        <v/>
      </c>
      <c r="P826" s="184" t="str">
        <f>IFERROR(VLOOKUP(A826,[1]Approval!A:J,10,FALSE),"")</f>
        <v/>
      </c>
      <c r="R826" s="425">
        <f>2020-YEAR(Table227[[#This Row],[In-
Service
Date]])</f>
        <v>2</v>
      </c>
      <c r="S826" s="308">
        <f>+Table227[[#This Row],[Proj To Date
Actuals]]*1.02^R826</f>
        <v>1081339.781616</v>
      </c>
    </row>
    <row r="827" spans="1:19" x14ac:dyDescent="0.25">
      <c r="A827" s="476" t="s">
        <v>1140</v>
      </c>
      <c r="B827" s="475" t="s">
        <v>4595</v>
      </c>
      <c r="C827" s="422" t="e">
        <f>VLOOKUP(B827,'Matter &amp; CI#'!$D$4:$E$595,2,FALSE)</f>
        <v>#N/A</v>
      </c>
      <c r="D827" s="476" t="s">
        <v>1141</v>
      </c>
      <c r="E827" s="476" t="s">
        <v>34</v>
      </c>
      <c r="F827" s="476" t="s">
        <v>24</v>
      </c>
      <c r="G827" s="475" t="s">
        <v>2013</v>
      </c>
      <c r="H827" s="516"/>
      <c r="I827" s="477" t="s">
        <v>5</v>
      </c>
      <c r="J827" s="476" t="s">
        <v>6</v>
      </c>
      <c r="K827" s="476" t="s">
        <v>7</v>
      </c>
      <c r="L827" s="184">
        <v>43281</v>
      </c>
      <c r="M827" s="184">
        <v>44197</v>
      </c>
      <c r="N827" s="480">
        <v>650673.92000000004</v>
      </c>
      <c r="O827" s="478" t="str">
        <f>IFERROR(VLOOKUP(A827,[1]Approval!A:C,3,FALSE),"")</f>
        <v>FIN Approval - Internal</v>
      </c>
      <c r="P827" s="184">
        <f>IFERROR(VLOOKUP(A827,[1]Approval!A:J,10,FALSE),"")</f>
        <v>44105</v>
      </c>
      <c r="R827" s="425">
        <f>2020-YEAR(Table227[[#This Row],[In-
Service
Date]])</f>
        <v>2</v>
      </c>
      <c r="S827" s="308">
        <f>+Table227[[#This Row],[Proj To Date
Actuals]]*1.02^R827</f>
        <v>676961.14636800007</v>
      </c>
    </row>
    <row r="828" spans="1:19" x14ac:dyDescent="0.25">
      <c r="A828" s="476" t="s">
        <v>1180</v>
      </c>
      <c r="B828" s="475" t="s">
        <v>1180</v>
      </c>
      <c r="C828" s="422" t="e">
        <f>VLOOKUP(B828,'Matter &amp; CI#'!$D$4:$E$595,2,FALSE)</f>
        <v>#N/A</v>
      </c>
      <c r="D828" s="476" t="s">
        <v>1181</v>
      </c>
      <c r="E828" s="476" t="s">
        <v>42</v>
      </c>
      <c r="F828" s="476" t="s">
        <v>24</v>
      </c>
      <c r="G828" s="475" t="s">
        <v>2013</v>
      </c>
      <c r="H828" s="516"/>
      <c r="I828" s="477" t="s">
        <v>5</v>
      </c>
      <c r="J828" s="476" t="s">
        <v>6</v>
      </c>
      <c r="K828" s="476" t="s">
        <v>28</v>
      </c>
      <c r="L828" s="184">
        <v>43281</v>
      </c>
      <c r="N828" s="481">
        <v>924520.55</v>
      </c>
      <c r="O828" s="478" t="str">
        <f>IFERROR(VLOOKUP(A828,[1]Approval!A:C,3,FALSE),"")</f>
        <v/>
      </c>
      <c r="P828" s="184" t="str">
        <f>IFERROR(VLOOKUP(A828,[1]Approval!A:J,10,FALSE),"")</f>
        <v/>
      </c>
      <c r="R828" s="425">
        <f>2020-YEAR(Table227[[#This Row],[In-
Service
Date]])</f>
        <v>2</v>
      </c>
      <c r="S828" s="308">
        <f>+Table227[[#This Row],[Proj To Date
Actuals]]*1.02^R828</f>
        <v>961871.1802200001</v>
      </c>
    </row>
    <row r="829" spans="1:19" x14ac:dyDescent="0.25">
      <c r="A829" s="476" t="s">
        <v>674</v>
      </c>
      <c r="B829" s="475" t="s">
        <v>674</v>
      </c>
      <c r="C829" s="422" t="e">
        <f>VLOOKUP(B829,'Matter &amp; CI#'!$D$4:$E$595,2,FALSE)</f>
        <v>#N/A</v>
      </c>
      <c r="D829" s="476" t="s">
        <v>675</v>
      </c>
      <c r="E829" s="476" t="s">
        <v>34</v>
      </c>
      <c r="F829" s="476" t="s">
        <v>24</v>
      </c>
      <c r="G829" s="475" t="s">
        <v>2013</v>
      </c>
      <c r="H829" s="516"/>
      <c r="I829" s="477" t="s">
        <v>5</v>
      </c>
      <c r="J829" s="476" t="s">
        <v>6</v>
      </c>
      <c r="K829" s="476" t="s">
        <v>28</v>
      </c>
      <c r="L829" s="184">
        <v>43281</v>
      </c>
      <c r="N829" s="480">
        <v>206787.29</v>
      </c>
      <c r="O829" s="478" t="str">
        <f>IFERROR(VLOOKUP(A829,[1]Approval!A:C,3,FALSE),"")</f>
        <v/>
      </c>
      <c r="P829" s="184" t="str">
        <f>IFERROR(VLOOKUP(A829,[1]Approval!A:J,10,FALSE),"")</f>
        <v/>
      </c>
      <c r="R829" s="425">
        <f>2020-YEAR(Table227[[#This Row],[In-
Service
Date]])</f>
        <v>2</v>
      </c>
      <c r="S829" s="308">
        <f>+Table227[[#This Row],[Proj To Date
Actuals]]*1.02^R829</f>
        <v>215141.49651600001</v>
      </c>
    </row>
    <row r="830" spans="1:19" x14ac:dyDescent="0.25">
      <c r="A830" s="476" t="s">
        <v>467</v>
      </c>
      <c r="B830" s="475" t="s">
        <v>467</v>
      </c>
      <c r="C830" s="422" t="e">
        <f>VLOOKUP(B830,'Matter &amp; CI#'!$D$4:$E$595,2,FALSE)</f>
        <v>#N/A</v>
      </c>
      <c r="D830" s="476" t="s">
        <v>468</v>
      </c>
      <c r="E830" s="476" t="s">
        <v>34</v>
      </c>
      <c r="F830" s="476" t="s">
        <v>24</v>
      </c>
      <c r="G830" s="475" t="s">
        <v>2013</v>
      </c>
      <c r="H830" s="516"/>
      <c r="I830" s="477" t="s">
        <v>5</v>
      </c>
      <c r="J830" s="476" t="s">
        <v>25</v>
      </c>
      <c r="K830" s="476" t="s">
        <v>28</v>
      </c>
      <c r="L830" s="184">
        <v>43281</v>
      </c>
      <c r="N830" s="480">
        <v>33301.550000000003</v>
      </c>
      <c r="O830" s="478" t="str">
        <f>IFERROR(VLOOKUP(A830,[1]Approval!A:C,3,FALSE),"")</f>
        <v/>
      </c>
      <c r="P830" s="184" t="str">
        <f>IFERROR(VLOOKUP(A830,[1]Approval!A:J,10,FALSE),"")</f>
        <v/>
      </c>
      <c r="R830" s="425">
        <f>2020-YEAR(Table227[[#This Row],[In-
Service
Date]])</f>
        <v>2</v>
      </c>
      <c r="S830" s="308">
        <f>+Table227[[#This Row],[Proj To Date
Actuals]]*1.02^R830</f>
        <v>34646.93262</v>
      </c>
    </row>
    <row r="831" spans="1:19" x14ac:dyDescent="0.25">
      <c r="A831" s="476" t="s">
        <v>1833</v>
      </c>
      <c r="B831" s="475" t="s">
        <v>4196</v>
      </c>
      <c r="C831" s="422" t="e">
        <f>VLOOKUP(B831,'Matter &amp; CI#'!$D$4:$E$595,2,FALSE)</f>
        <v>#N/A</v>
      </c>
      <c r="D831" s="476" t="s">
        <v>1834</v>
      </c>
      <c r="E831" s="476" t="s">
        <v>118</v>
      </c>
      <c r="F831" s="476" t="s">
        <v>24</v>
      </c>
      <c r="G831" s="475" t="s">
        <v>2013</v>
      </c>
      <c r="H831" s="516"/>
      <c r="I831" s="477" t="s">
        <v>5</v>
      </c>
      <c r="J831" s="476" t="s">
        <v>6</v>
      </c>
      <c r="K831" s="476" t="s">
        <v>28</v>
      </c>
      <c r="L831" s="184">
        <v>43286</v>
      </c>
      <c r="N831" s="480">
        <v>18627164.149999999</v>
      </c>
      <c r="O831" s="478" t="str">
        <f>IFERROR(VLOOKUP(A831,[1]Approval!A:C,3,FALSE),"")</f>
        <v/>
      </c>
      <c r="P831" s="184" t="str">
        <f>IFERROR(VLOOKUP(A831,[1]Approval!A:J,10,FALSE),"")</f>
        <v/>
      </c>
      <c r="R831" s="425">
        <f>2020-YEAR(Table227[[#This Row],[In-
Service
Date]])</f>
        <v>2</v>
      </c>
      <c r="S831" s="308">
        <f>+Table227[[#This Row],[Proj To Date
Actuals]]*1.02^R831</f>
        <v>19379701.581659999</v>
      </c>
    </row>
    <row r="832" spans="1:19" x14ac:dyDescent="0.25">
      <c r="A832" s="476" t="s">
        <v>1066</v>
      </c>
      <c r="B832" s="475" t="s">
        <v>4218</v>
      </c>
      <c r="C832" s="422" t="e">
        <f>VLOOKUP(B832,'Matter &amp; CI#'!$D$4:$E$595,2,FALSE)</f>
        <v>#N/A</v>
      </c>
      <c r="D832" s="476" t="s">
        <v>1067</v>
      </c>
      <c r="E832" s="476" t="s">
        <v>118</v>
      </c>
      <c r="F832" s="476" t="s">
        <v>24</v>
      </c>
      <c r="G832" s="475" t="s">
        <v>2013</v>
      </c>
      <c r="H832" s="516"/>
      <c r="I832" s="477" t="s">
        <v>5</v>
      </c>
      <c r="J832" s="476" t="s">
        <v>6</v>
      </c>
      <c r="K832" s="476" t="s">
        <v>28</v>
      </c>
      <c r="L832" s="184">
        <v>43301</v>
      </c>
      <c r="N832" s="480">
        <v>20385511.050000001</v>
      </c>
      <c r="O832" s="478" t="str">
        <f>IFERROR(VLOOKUP(A832,[1]Approval!A:C,3,FALSE),"")</f>
        <v/>
      </c>
      <c r="P832" s="184" t="str">
        <f>IFERROR(VLOOKUP(A832,[1]Approval!A:J,10,FALSE),"")</f>
        <v/>
      </c>
      <c r="R832" s="425">
        <f>2020-YEAR(Table227[[#This Row],[In-
Service
Date]])</f>
        <v>2</v>
      </c>
      <c r="S832" s="308">
        <f>+Table227[[#This Row],[Proj To Date
Actuals]]*1.02^R832</f>
        <v>21209085.696419999</v>
      </c>
    </row>
    <row r="833" spans="1:19" x14ac:dyDescent="0.25">
      <c r="A833" s="476" t="s">
        <v>1638</v>
      </c>
      <c r="B833" s="475" t="s">
        <v>4490</v>
      </c>
      <c r="C833" s="422" t="e">
        <f>VLOOKUP(B833,'Matter &amp; CI#'!$D$4:$E$595,2,FALSE)</f>
        <v>#N/A</v>
      </c>
      <c r="D833" s="476" t="s">
        <v>1639</v>
      </c>
      <c r="E833" s="476" t="s">
        <v>34</v>
      </c>
      <c r="F833" s="476" t="s">
        <v>24</v>
      </c>
      <c r="G833" s="475" t="s">
        <v>2013</v>
      </c>
      <c r="H833" s="516"/>
      <c r="I833" s="477" t="s">
        <v>5</v>
      </c>
      <c r="J833" s="476" t="s">
        <v>6</v>
      </c>
      <c r="K833" s="476" t="s">
        <v>7</v>
      </c>
      <c r="L833" s="184">
        <v>43312</v>
      </c>
      <c r="M833" s="184">
        <v>44044</v>
      </c>
      <c r="N833" s="480">
        <v>63436.08</v>
      </c>
      <c r="O833" s="478" t="str">
        <f>IFERROR(VLOOKUP(A833,[1]Approval!A:C,3,FALSE),"")</f>
        <v>FIN Approval - Internal</v>
      </c>
      <c r="P833" s="184">
        <f>IFERROR(VLOOKUP(A833,[1]Approval!A:J,10,FALSE),"")</f>
        <v>44055</v>
      </c>
      <c r="R833" s="425">
        <f>2020-YEAR(Table227[[#This Row],[In-
Service
Date]])</f>
        <v>2</v>
      </c>
      <c r="S833" s="308">
        <f>+Table227[[#This Row],[Proj To Date
Actuals]]*1.02^R833</f>
        <v>65998.897632000007</v>
      </c>
    </row>
    <row r="834" spans="1:19" x14ac:dyDescent="0.25">
      <c r="A834" s="476" t="s">
        <v>905</v>
      </c>
      <c r="B834" s="475" t="s">
        <v>4646</v>
      </c>
      <c r="C834" s="422" t="e">
        <f>VLOOKUP(B834,'Matter &amp; CI#'!$D$4:$E$595,2,FALSE)</f>
        <v>#N/A</v>
      </c>
      <c r="D834" s="476" t="s">
        <v>906</v>
      </c>
      <c r="E834" s="476" t="s">
        <v>42</v>
      </c>
      <c r="F834" s="476" t="s">
        <v>24</v>
      </c>
      <c r="G834" s="475" t="s">
        <v>2013</v>
      </c>
      <c r="H834" s="516"/>
      <c r="I834" s="477" t="s">
        <v>5</v>
      </c>
      <c r="J834" s="476" t="s">
        <v>29</v>
      </c>
      <c r="K834" s="476" t="s">
        <v>7</v>
      </c>
      <c r="L834" s="184">
        <v>43312</v>
      </c>
      <c r="M834" s="184">
        <v>44044</v>
      </c>
      <c r="N834" s="480">
        <v>187358.89</v>
      </c>
      <c r="O834" s="478" t="str">
        <f>IFERROR(VLOOKUP(A834,[1]Approval!A:C,3,FALSE),"")</f>
        <v>FIN Approval - Internal</v>
      </c>
      <c r="P834" s="184">
        <f>IFERROR(VLOOKUP(A834,[1]Approval!A:J,10,FALSE),"")</f>
        <v>43993</v>
      </c>
      <c r="R834" s="425">
        <f>2020-YEAR(Table227[[#This Row],[In-
Service
Date]])</f>
        <v>2</v>
      </c>
      <c r="S834" s="308">
        <f>+Table227[[#This Row],[Proj To Date
Actuals]]*1.02^R834</f>
        <v>194928.18915600001</v>
      </c>
    </row>
    <row r="835" spans="1:19" x14ac:dyDescent="0.25">
      <c r="A835" s="476" t="s">
        <v>204</v>
      </c>
      <c r="B835" s="475" t="s">
        <v>4681</v>
      </c>
      <c r="C835" s="422" t="e">
        <f>VLOOKUP(B835,'Matter &amp; CI#'!$D$4:$E$595,2,FALSE)</f>
        <v>#N/A</v>
      </c>
      <c r="D835" s="476" t="s">
        <v>205</v>
      </c>
      <c r="E835" s="476" t="s">
        <v>42</v>
      </c>
      <c r="F835" s="476" t="s">
        <v>24</v>
      </c>
      <c r="G835" s="475" t="s">
        <v>2013</v>
      </c>
      <c r="H835" s="516"/>
      <c r="I835" s="477" t="s">
        <v>5</v>
      </c>
      <c r="J835" s="476" t="s">
        <v>29</v>
      </c>
      <c r="K835" s="476" t="s">
        <v>7</v>
      </c>
      <c r="L835" s="184">
        <v>43312</v>
      </c>
      <c r="M835" s="184">
        <v>44136</v>
      </c>
      <c r="N835" s="480">
        <v>51129.06</v>
      </c>
      <c r="O835" s="478" t="str">
        <f>IFERROR(VLOOKUP(A835,[1]Approval!A:C,3,FALSE),"")</f>
        <v>FIN Approval - Internal</v>
      </c>
      <c r="P835" s="184">
        <f>IFERROR(VLOOKUP(A835,[1]Approval!A:J,10,FALSE),"")</f>
        <v>43993</v>
      </c>
      <c r="R835" s="425">
        <f>2020-YEAR(Table227[[#This Row],[In-
Service
Date]])</f>
        <v>2</v>
      </c>
      <c r="S835" s="308">
        <f>+Table227[[#This Row],[Proj To Date
Actuals]]*1.02^R835</f>
        <v>53194.674024</v>
      </c>
    </row>
    <row r="836" spans="1:19" x14ac:dyDescent="0.25">
      <c r="A836" s="476" t="s">
        <v>1432</v>
      </c>
      <c r="B836" s="475" t="s">
        <v>1432</v>
      </c>
      <c r="C836" s="422" t="e">
        <f>VLOOKUP(B836,'Matter &amp; CI#'!$D$4:$E$595,2,FALSE)</f>
        <v>#N/A</v>
      </c>
      <c r="D836" s="476" t="s">
        <v>1433</v>
      </c>
      <c r="E836" s="476" t="s">
        <v>42</v>
      </c>
      <c r="F836" s="476" t="s">
        <v>24</v>
      </c>
      <c r="G836" s="475" t="s">
        <v>2013</v>
      </c>
      <c r="H836" s="516"/>
      <c r="I836" s="477" t="s">
        <v>5</v>
      </c>
      <c r="J836" s="476" t="s">
        <v>6</v>
      </c>
      <c r="K836" s="476" t="s">
        <v>28</v>
      </c>
      <c r="L836" s="184">
        <v>43312</v>
      </c>
      <c r="N836" s="480">
        <v>784720.25</v>
      </c>
      <c r="O836" s="478" t="str">
        <f>IFERROR(VLOOKUP(A836,[1]Approval!A:C,3,FALSE),"")</f>
        <v>FIN Approval - Internal</v>
      </c>
      <c r="P836" s="184">
        <f>IFERROR(VLOOKUP(A836,[1]Approval!A:J,10,FALSE),"")</f>
        <v>44161</v>
      </c>
      <c r="R836" s="425">
        <f>2020-YEAR(Table227[[#This Row],[In-
Service
Date]])</f>
        <v>2</v>
      </c>
      <c r="S836" s="308">
        <f>+Table227[[#This Row],[Proj To Date
Actuals]]*1.02^R836</f>
        <v>816422.94810000004</v>
      </c>
    </row>
    <row r="837" spans="1:19" x14ac:dyDescent="0.25">
      <c r="A837" s="476" t="s">
        <v>222</v>
      </c>
      <c r="B837" s="475" t="s">
        <v>222</v>
      </c>
      <c r="C837" s="422" t="e">
        <f>VLOOKUP(B837,'Matter &amp; CI#'!$D$4:$E$595,2,FALSE)</f>
        <v>#N/A</v>
      </c>
      <c r="D837" s="476" t="s">
        <v>223</v>
      </c>
      <c r="E837" s="476" t="s">
        <v>34</v>
      </c>
      <c r="F837" s="476" t="s">
        <v>24</v>
      </c>
      <c r="G837" s="475" t="s">
        <v>2013</v>
      </c>
      <c r="H837" s="516"/>
      <c r="I837" s="477" t="s">
        <v>5</v>
      </c>
      <c r="J837" s="476" t="s">
        <v>25</v>
      </c>
      <c r="K837" s="476" t="s">
        <v>7</v>
      </c>
      <c r="L837" s="184">
        <v>43312</v>
      </c>
      <c r="M837" s="184">
        <v>44136</v>
      </c>
      <c r="N837" s="480">
        <v>84789.32</v>
      </c>
      <c r="O837" s="478" t="str">
        <f>IFERROR(VLOOKUP(A837,[1]Approval!A:C,3,FALSE),"")</f>
        <v>FIN Approval - Internal</v>
      </c>
      <c r="P837" s="184">
        <f>IFERROR(VLOOKUP(A837,[1]Approval!A:J,10,FALSE),"")</f>
        <v>44105</v>
      </c>
      <c r="R837" s="425">
        <f>2020-YEAR(Table227[[#This Row],[In-
Service
Date]])</f>
        <v>2</v>
      </c>
      <c r="S837" s="308">
        <f>+Table227[[#This Row],[Proj To Date
Actuals]]*1.02^R837</f>
        <v>88214.808528000009</v>
      </c>
    </row>
    <row r="838" spans="1:19" x14ac:dyDescent="0.25">
      <c r="A838" s="476" t="s">
        <v>1144</v>
      </c>
      <c r="B838" s="475" t="s">
        <v>4462</v>
      </c>
      <c r="C838" s="422" t="e">
        <f>VLOOKUP(B838,'Matter &amp; CI#'!$D$4:$E$595,2,FALSE)</f>
        <v>#N/A</v>
      </c>
      <c r="D838" s="476" t="s">
        <v>1145</v>
      </c>
      <c r="E838" s="476" t="s">
        <v>42</v>
      </c>
      <c r="F838" s="476" t="s">
        <v>24</v>
      </c>
      <c r="G838" s="475" t="s">
        <v>2013</v>
      </c>
      <c r="H838" s="516"/>
      <c r="I838" s="477" t="s">
        <v>5</v>
      </c>
      <c r="J838" s="476" t="s">
        <v>6</v>
      </c>
      <c r="K838" s="476" t="s">
        <v>28</v>
      </c>
      <c r="L838" s="184">
        <v>43343</v>
      </c>
      <c r="N838" s="480">
        <v>402184</v>
      </c>
      <c r="O838" s="478" t="str">
        <f>IFERROR(VLOOKUP(A838,[1]Approval!A:C,3,FALSE),"")</f>
        <v/>
      </c>
      <c r="P838" s="184" t="str">
        <f>IFERROR(VLOOKUP(A838,[1]Approval!A:J,10,FALSE),"")</f>
        <v/>
      </c>
      <c r="R838" s="425">
        <f>2020-YEAR(Table227[[#This Row],[In-
Service
Date]])</f>
        <v>2</v>
      </c>
      <c r="S838" s="308">
        <f>+Table227[[#This Row],[Proj To Date
Actuals]]*1.02^R838</f>
        <v>418432.23359999998</v>
      </c>
    </row>
    <row r="839" spans="1:19" x14ac:dyDescent="0.25">
      <c r="A839" s="476" t="s">
        <v>1164</v>
      </c>
      <c r="B839" s="475" t="s">
        <v>4676</v>
      </c>
      <c r="C839" s="422" t="e">
        <f>VLOOKUP(B839,'Matter &amp; CI#'!$D$4:$E$595,2,FALSE)</f>
        <v>#N/A</v>
      </c>
      <c r="D839" s="476" t="s">
        <v>1165</v>
      </c>
      <c r="E839" s="476" t="s">
        <v>34</v>
      </c>
      <c r="F839" s="476" t="s">
        <v>24</v>
      </c>
      <c r="G839" s="475" t="s">
        <v>2013</v>
      </c>
      <c r="H839" s="516"/>
      <c r="I839" s="477" t="s">
        <v>5</v>
      </c>
      <c r="J839" s="476" t="s">
        <v>25</v>
      </c>
      <c r="K839" s="476" t="s">
        <v>7</v>
      </c>
      <c r="L839" s="184">
        <v>43343</v>
      </c>
      <c r="M839" s="184">
        <v>43952</v>
      </c>
      <c r="N839" s="480">
        <v>310725.88</v>
      </c>
      <c r="O839" s="478" t="str">
        <f>IFERROR(VLOOKUP(A839,[1]Approval!A:C,3,FALSE),"")</f>
        <v>FIN Approval - Internal</v>
      </c>
      <c r="P839" s="184">
        <f>IFERROR(VLOOKUP(A839,[1]Approval!A:J,10,FALSE),"")</f>
        <v>43892</v>
      </c>
      <c r="R839" s="425">
        <f>2020-YEAR(Table227[[#This Row],[In-
Service
Date]])</f>
        <v>2</v>
      </c>
      <c r="S839" s="308">
        <f>+Table227[[#This Row],[Proj To Date
Actuals]]*1.02^R839</f>
        <v>323279.20555200003</v>
      </c>
    </row>
    <row r="840" spans="1:19" x14ac:dyDescent="0.25">
      <c r="A840" s="476" t="s">
        <v>696</v>
      </c>
      <c r="B840" s="475" t="s">
        <v>696</v>
      </c>
      <c r="C840" s="422" t="e">
        <f>VLOOKUP(B840,'Matter &amp; CI#'!$D$4:$E$595,2,FALSE)</f>
        <v>#N/A</v>
      </c>
      <c r="D840" s="476" t="s">
        <v>697</v>
      </c>
      <c r="E840" s="476" t="s">
        <v>34</v>
      </c>
      <c r="F840" s="476" t="s">
        <v>24</v>
      </c>
      <c r="G840" s="475" t="s">
        <v>2013</v>
      </c>
      <c r="H840" s="516"/>
      <c r="I840" s="477" t="s">
        <v>5</v>
      </c>
      <c r="J840" s="476" t="s">
        <v>25</v>
      </c>
      <c r="K840" s="476" t="s">
        <v>7</v>
      </c>
      <c r="L840" s="184">
        <v>43343</v>
      </c>
      <c r="M840" s="184">
        <v>44136</v>
      </c>
      <c r="N840" s="481">
        <v>165302.99</v>
      </c>
      <c r="O840" s="478" t="str">
        <f>IFERROR(VLOOKUP(A840,[1]Approval!A:C,3,FALSE),"")</f>
        <v>FIN Approval - Internal</v>
      </c>
      <c r="P840" s="184">
        <f>IFERROR(VLOOKUP(A840,[1]Approval!A:J,10,FALSE),"")</f>
        <v>43993</v>
      </c>
      <c r="R840" s="425">
        <f>2020-YEAR(Table227[[#This Row],[In-
Service
Date]])</f>
        <v>2</v>
      </c>
      <c r="S840" s="308">
        <f>+Table227[[#This Row],[Proj To Date
Actuals]]*1.02^R840</f>
        <v>171981.23079599999</v>
      </c>
    </row>
    <row r="841" spans="1:19" x14ac:dyDescent="0.25">
      <c r="A841" s="476" t="s">
        <v>931</v>
      </c>
      <c r="B841" s="475" t="s">
        <v>4545</v>
      </c>
      <c r="C841" s="422" t="e">
        <f>VLOOKUP(B841,'Matter &amp; CI#'!$D$4:$E$595,2,FALSE)</f>
        <v>#N/A</v>
      </c>
      <c r="D841" s="476" t="s">
        <v>932</v>
      </c>
      <c r="E841" s="476" t="s">
        <v>42</v>
      </c>
      <c r="F841" s="476" t="s">
        <v>24</v>
      </c>
      <c r="G841" s="475" t="s">
        <v>2013</v>
      </c>
      <c r="H841" s="516"/>
      <c r="I841" s="477" t="s">
        <v>5</v>
      </c>
      <c r="J841" s="476" t="s">
        <v>29</v>
      </c>
      <c r="K841" s="476" t="s">
        <v>28</v>
      </c>
      <c r="L841" s="184">
        <v>43344</v>
      </c>
      <c r="N841" s="480">
        <v>192565.52</v>
      </c>
      <c r="O841" s="478" t="str">
        <f>IFERROR(VLOOKUP(A841,[1]Approval!A:C,3,FALSE),"")</f>
        <v/>
      </c>
      <c r="P841" s="184" t="str">
        <f>IFERROR(VLOOKUP(A841,[1]Approval!A:J,10,FALSE),"")</f>
        <v/>
      </c>
      <c r="R841" s="425">
        <f>2020-YEAR(Table227[[#This Row],[In-
Service
Date]])</f>
        <v>2</v>
      </c>
      <c r="S841" s="308">
        <f>+Table227[[#This Row],[Proj To Date
Actuals]]*1.02^R841</f>
        <v>200345.16700799999</v>
      </c>
    </row>
    <row r="842" spans="1:19" x14ac:dyDescent="0.25">
      <c r="A842" s="476" t="s">
        <v>1430</v>
      </c>
      <c r="B842" s="475" t="s">
        <v>4651</v>
      </c>
      <c r="C842" s="422" t="e">
        <f>VLOOKUP(B842,'Matter &amp; CI#'!$D$4:$E$595,2,FALSE)</f>
        <v>#N/A</v>
      </c>
      <c r="D842" s="476" t="s">
        <v>1431</v>
      </c>
      <c r="E842" s="476" t="s">
        <v>34</v>
      </c>
      <c r="F842" s="476" t="s">
        <v>24</v>
      </c>
      <c r="G842" s="475" t="s">
        <v>2013</v>
      </c>
      <c r="H842" s="516"/>
      <c r="I842" s="477" t="s">
        <v>5</v>
      </c>
      <c r="J842" s="476" t="s">
        <v>195</v>
      </c>
      <c r="K842" s="476" t="s">
        <v>7</v>
      </c>
      <c r="L842" s="184">
        <v>43344</v>
      </c>
      <c r="M842" s="184">
        <v>43891</v>
      </c>
      <c r="N842" s="480">
        <v>12793.63</v>
      </c>
      <c r="O842" s="478" t="str">
        <f>IFERROR(VLOOKUP(A842,[1]Approval!A:C,3,FALSE),"")</f>
        <v>FIN Approval - Internal</v>
      </c>
      <c r="P842" s="184">
        <f>IFERROR(VLOOKUP(A842,[1]Approval!A:J,10,FALSE),"")</f>
        <v>43892</v>
      </c>
      <c r="R842" s="425">
        <f>2020-YEAR(Table227[[#This Row],[In-
Service
Date]])</f>
        <v>2</v>
      </c>
      <c r="S842" s="308">
        <f>+Table227[[#This Row],[Proj To Date
Actuals]]*1.02^R842</f>
        <v>13310.492651999999</v>
      </c>
    </row>
    <row r="843" spans="1:19" x14ac:dyDescent="0.25">
      <c r="A843" s="476" t="s">
        <v>1696</v>
      </c>
      <c r="B843" s="475" t="s">
        <v>4680</v>
      </c>
      <c r="C843" s="422" t="e">
        <f>VLOOKUP(B843,'Matter &amp; CI#'!$D$4:$E$595,2,FALSE)</f>
        <v>#N/A</v>
      </c>
      <c r="D843" s="476" t="s">
        <v>1697</v>
      </c>
      <c r="E843" s="476" t="s">
        <v>42</v>
      </c>
      <c r="F843" s="476" t="s">
        <v>24</v>
      </c>
      <c r="G843" s="475" t="s">
        <v>2013</v>
      </c>
      <c r="H843" s="516"/>
      <c r="I843" s="477" t="s">
        <v>5</v>
      </c>
      <c r="J843" s="476" t="s">
        <v>29</v>
      </c>
      <c r="K843" s="476" t="s">
        <v>28</v>
      </c>
      <c r="L843" s="184">
        <v>43344</v>
      </c>
      <c r="N843" s="480">
        <v>178482.68</v>
      </c>
      <c r="O843" s="478" t="str">
        <f>IFERROR(VLOOKUP(A843,[1]Approval!A:C,3,FALSE),"")</f>
        <v>FIN Approval - Internal</v>
      </c>
      <c r="P843" s="184">
        <f>IFERROR(VLOOKUP(A843,[1]Approval!A:J,10,FALSE),"")</f>
        <v>44161</v>
      </c>
      <c r="R843" s="425">
        <f>2020-YEAR(Table227[[#This Row],[In-
Service
Date]])</f>
        <v>2</v>
      </c>
      <c r="S843" s="308">
        <f>+Table227[[#This Row],[Proj To Date
Actuals]]*1.02^R843</f>
        <v>185693.38027199998</v>
      </c>
    </row>
    <row r="844" spans="1:19" x14ac:dyDescent="0.25">
      <c r="A844" s="476" t="s">
        <v>196</v>
      </c>
      <c r="B844" s="475" t="s">
        <v>4682</v>
      </c>
      <c r="C844" s="422" t="e">
        <f>VLOOKUP(B844,'Matter &amp; CI#'!$D$4:$E$595,2,FALSE)</f>
        <v>#N/A</v>
      </c>
      <c r="D844" s="476" t="s">
        <v>197</v>
      </c>
      <c r="E844" s="476" t="s">
        <v>42</v>
      </c>
      <c r="F844" s="476" t="s">
        <v>24</v>
      </c>
      <c r="G844" s="475" t="s">
        <v>2013</v>
      </c>
      <c r="H844" s="516"/>
      <c r="I844" s="477" t="s">
        <v>5</v>
      </c>
      <c r="J844" s="476" t="s">
        <v>29</v>
      </c>
      <c r="K844" s="476" t="s">
        <v>7</v>
      </c>
      <c r="L844" s="184">
        <v>43344</v>
      </c>
      <c r="M844" s="184">
        <v>44197</v>
      </c>
      <c r="N844" s="480">
        <v>88204.479999999996</v>
      </c>
      <c r="O844" s="478" t="str">
        <f>IFERROR(VLOOKUP(A844,[1]Approval!A:C,3,FALSE),"")</f>
        <v>FIN Approval - Internal</v>
      </c>
      <c r="P844" s="184">
        <f>IFERROR(VLOOKUP(A844,[1]Approval!A:J,10,FALSE),"")</f>
        <v>44161</v>
      </c>
      <c r="R844" s="425">
        <f>2020-YEAR(Table227[[#This Row],[In-
Service
Date]])</f>
        <v>2</v>
      </c>
      <c r="S844" s="308">
        <f>+Table227[[#This Row],[Proj To Date
Actuals]]*1.02^R844</f>
        <v>91767.940991999989</v>
      </c>
    </row>
    <row r="845" spans="1:19" x14ac:dyDescent="0.25">
      <c r="A845" s="476" t="s">
        <v>193</v>
      </c>
      <c r="B845" s="475" t="s">
        <v>4685</v>
      </c>
      <c r="C845" s="422" t="e">
        <f>VLOOKUP(B845,'Matter &amp; CI#'!$D$4:$E$595,2,FALSE)</f>
        <v>#N/A</v>
      </c>
      <c r="D845" s="476" t="s">
        <v>194</v>
      </c>
      <c r="E845" s="476" t="s">
        <v>34</v>
      </c>
      <c r="F845" s="476" t="s">
        <v>24</v>
      </c>
      <c r="G845" s="475" t="s">
        <v>2013</v>
      </c>
      <c r="H845" s="516"/>
      <c r="I845" s="477" t="s">
        <v>5</v>
      </c>
      <c r="J845" s="476" t="s">
        <v>195</v>
      </c>
      <c r="K845" s="476" t="s">
        <v>28</v>
      </c>
      <c r="L845" s="184">
        <v>43344</v>
      </c>
      <c r="N845" s="480">
        <v>414451.14</v>
      </c>
      <c r="O845" s="478" t="str">
        <f>IFERROR(VLOOKUP(A845,[1]Approval!A:C,3,FALSE),"")</f>
        <v/>
      </c>
      <c r="P845" s="184" t="str">
        <f>IFERROR(VLOOKUP(A845,[1]Approval!A:J,10,FALSE),"")</f>
        <v/>
      </c>
      <c r="R845" s="425">
        <f>2020-YEAR(Table227[[#This Row],[In-
Service
Date]])</f>
        <v>2</v>
      </c>
      <c r="S845" s="308">
        <f>+Table227[[#This Row],[Proj To Date
Actuals]]*1.02^R845</f>
        <v>431194.96605600003</v>
      </c>
    </row>
    <row r="846" spans="1:19" x14ac:dyDescent="0.25">
      <c r="A846" s="476" t="s">
        <v>831</v>
      </c>
      <c r="B846" s="475" t="s">
        <v>4374</v>
      </c>
      <c r="C846" s="422" t="e">
        <f>VLOOKUP(B846,'Matter &amp; CI#'!$D$4:$E$595,2,FALSE)</f>
        <v>#N/A</v>
      </c>
      <c r="D846" s="476" t="s">
        <v>832</v>
      </c>
      <c r="E846" s="476" t="s">
        <v>235</v>
      </c>
      <c r="F846" s="476" t="s">
        <v>24</v>
      </c>
      <c r="G846" s="475" t="s">
        <v>2013</v>
      </c>
      <c r="H846" s="516"/>
      <c r="I846" s="477" t="s">
        <v>5</v>
      </c>
      <c r="J846" s="476" t="s">
        <v>6</v>
      </c>
      <c r="K846" s="476" t="s">
        <v>28</v>
      </c>
      <c r="L846" s="184">
        <v>43371</v>
      </c>
      <c r="N846" s="480">
        <v>14858073.85</v>
      </c>
      <c r="O846" s="478" t="str">
        <f>IFERROR(VLOOKUP(A846,[1]Approval!A:C,3,FALSE),"")</f>
        <v>FIN Approval - Internal</v>
      </c>
      <c r="P846" s="184">
        <f>IFERROR(VLOOKUP(A846,[1]Approval!A:J,10,FALSE),"")</f>
        <v>43857</v>
      </c>
      <c r="R846" s="425">
        <f>2020-YEAR(Table227[[#This Row],[In-
Service
Date]])</f>
        <v>2</v>
      </c>
      <c r="S846" s="308">
        <f>+Table227[[#This Row],[Proj To Date
Actuals]]*1.02^R846</f>
        <v>15458340.033539999</v>
      </c>
    </row>
    <row r="847" spans="1:19" x14ac:dyDescent="0.25">
      <c r="A847" s="476" t="s">
        <v>847</v>
      </c>
      <c r="B847" s="475" t="s">
        <v>4474</v>
      </c>
      <c r="C847" s="422" t="e">
        <f>VLOOKUP(B847,'Matter &amp; CI#'!$D$4:$E$595,2,FALSE)</f>
        <v>#N/A</v>
      </c>
      <c r="D847" s="476" t="s">
        <v>848</v>
      </c>
      <c r="E847" s="476" t="s">
        <v>34</v>
      </c>
      <c r="F847" s="476" t="s">
        <v>24</v>
      </c>
      <c r="G847" s="475" t="s">
        <v>2013</v>
      </c>
      <c r="H847" s="516"/>
      <c r="I847" s="477" t="s">
        <v>5</v>
      </c>
      <c r="J847" s="476" t="s">
        <v>6</v>
      </c>
      <c r="K847" s="476" t="s">
        <v>28</v>
      </c>
      <c r="L847" s="184">
        <v>43373</v>
      </c>
      <c r="N847" s="480">
        <v>2534685.1800000002</v>
      </c>
      <c r="O847" s="478" t="str">
        <f>IFERROR(VLOOKUP(A847,[1]Approval!A:C,3,FALSE),"")</f>
        <v/>
      </c>
      <c r="P847" s="184" t="str">
        <f>IFERROR(VLOOKUP(A847,[1]Approval!A:J,10,FALSE),"")</f>
        <v/>
      </c>
      <c r="R847" s="425">
        <f>2020-YEAR(Table227[[#This Row],[In-
Service
Date]])</f>
        <v>2</v>
      </c>
      <c r="S847" s="308">
        <f>+Table227[[#This Row],[Proj To Date
Actuals]]*1.02^R847</f>
        <v>2637086.4612720003</v>
      </c>
    </row>
    <row r="848" spans="1:19" x14ac:dyDescent="0.25">
      <c r="A848" s="476" t="s">
        <v>1442</v>
      </c>
      <c r="B848" s="475" t="s">
        <v>4644</v>
      </c>
      <c r="C848" s="422" t="e">
        <f>VLOOKUP(B848,'Matter &amp; CI#'!$D$4:$E$595,2,FALSE)</f>
        <v>#N/A</v>
      </c>
      <c r="D848" s="476" t="s">
        <v>1443</v>
      </c>
      <c r="E848" s="476" t="s">
        <v>42</v>
      </c>
      <c r="F848" s="476" t="s">
        <v>24</v>
      </c>
      <c r="G848" s="475" t="s">
        <v>2013</v>
      </c>
      <c r="H848" s="516"/>
      <c r="I848" s="477" t="s">
        <v>5</v>
      </c>
      <c r="J848" s="476" t="s">
        <v>29</v>
      </c>
      <c r="K848" s="476" t="s">
        <v>28</v>
      </c>
      <c r="L848" s="184">
        <v>43373</v>
      </c>
      <c r="N848" s="480">
        <v>49607.81</v>
      </c>
      <c r="O848" s="478" t="str">
        <f>IFERROR(VLOOKUP(A848,[1]Approval!A:C,3,FALSE),"")</f>
        <v/>
      </c>
      <c r="P848" s="184" t="str">
        <f>IFERROR(VLOOKUP(A848,[1]Approval!A:J,10,FALSE),"")</f>
        <v/>
      </c>
      <c r="R848" s="425">
        <f>2020-YEAR(Table227[[#This Row],[In-
Service
Date]])</f>
        <v>2</v>
      </c>
      <c r="S848" s="308">
        <f>+Table227[[#This Row],[Proj To Date
Actuals]]*1.02^R848</f>
        <v>51611.965523999999</v>
      </c>
    </row>
    <row r="849" spans="1:19" x14ac:dyDescent="0.25">
      <c r="A849" s="476" t="s">
        <v>1706</v>
      </c>
      <c r="B849" s="475" t="s">
        <v>1706</v>
      </c>
      <c r="C849" s="422" t="e">
        <f>VLOOKUP(B849,'Matter &amp; CI#'!$D$4:$E$595,2,FALSE)</f>
        <v>#N/A</v>
      </c>
      <c r="D849" s="476" t="s">
        <v>1707</v>
      </c>
      <c r="E849" s="476" t="s">
        <v>34</v>
      </c>
      <c r="F849" s="476" t="s">
        <v>24</v>
      </c>
      <c r="G849" s="475" t="s">
        <v>2013</v>
      </c>
      <c r="H849" s="516"/>
      <c r="I849" s="477" t="s">
        <v>5</v>
      </c>
      <c r="J849" s="476" t="s">
        <v>6</v>
      </c>
      <c r="K849" s="476" t="s">
        <v>7</v>
      </c>
      <c r="L849" s="184">
        <v>43373</v>
      </c>
      <c r="M849" s="184">
        <v>44197</v>
      </c>
      <c r="N849" s="480">
        <v>417340.3</v>
      </c>
      <c r="O849" s="478" t="str">
        <f>IFERROR(VLOOKUP(A849,[1]Approval!A:C,3,FALSE),"")</f>
        <v>FIN Approval - Internal</v>
      </c>
      <c r="P849" s="184">
        <f>IFERROR(VLOOKUP(A849,[1]Approval!A:J,10,FALSE),"")</f>
        <v>44105</v>
      </c>
      <c r="R849" s="425">
        <f>2020-YEAR(Table227[[#This Row],[In-
Service
Date]])</f>
        <v>2</v>
      </c>
      <c r="S849" s="308">
        <f>+Table227[[#This Row],[Proj To Date
Actuals]]*1.02^R849</f>
        <v>434200.84811999998</v>
      </c>
    </row>
    <row r="850" spans="1:19" x14ac:dyDescent="0.25">
      <c r="A850" s="476" t="s">
        <v>1935</v>
      </c>
      <c r="B850" s="475" t="s">
        <v>4170</v>
      </c>
      <c r="C850" s="422" t="e">
        <f>VLOOKUP(B850,'Matter &amp; CI#'!$D$4:$E$595,2,FALSE)</f>
        <v>#N/A</v>
      </c>
      <c r="D850" s="476" t="s">
        <v>1936</v>
      </c>
      <c r="E850" s="476" t="s">
        <v>42</v>
      </c>
      <c r="F850" s="476" t="s">
        <v>24</v>
      </c>
      <c r="G850" s="475" t="s">
        <v>2013</v>
      </c>
      <c r="H850" s="516"/>
      <c r="I850" s="477" t="s">
        <v>5</v>
      </c>
      <c r="J850" s="476" t="s">
        <v>6</v>
      </c>
      <c r="K850" s="476" t="s">
        <v>7</v>
      </c>
      <c r="L850" s="184">
        <v>43374</v>
      </c>
      <c r="M850" s="184">
        <v>43374</v>
      </c>
      <c r="N850" s="480">
        <v>-0.01</v>
      </c>
      <c r="O850" s="478" t="str">
        <f>IFERROR(VLOOKUP(A850,[1]Approval!A:C,3,FALSE),"")</f>
        <v/>
      </c>
      <c r="P850" s="184" t="str">
        <f>IFERROR(VLOOKUP(A850,[1]Approval!A:J,10,FALSE),"")</f>
        <v/>
      </c>
      <c r="R850" s="425">
        <f>2020-YEAR(Table227[[#This Row],[In-
Service
Date]])</f>
        <v>2</v>
      </c>
      <c r="S850" s="308">
        <f>+Table227[[#This Row],[Proj To Date
Actuals]]*1.02^R850</f>
        <v>-1.0404E-2</v>
      </c>
    </row>
    <row r="851" spans="1:19" x14ac:dyDescent="0.25">
      <c r="A851" s="476" t="s">
        <v>1969</v>
      </c>
      <c r="B851" s="475" t="s">
        <v>1969</v>
      </c>
      <c r="C851" s="422" t="e">
        <f>VLOOKUP(B851,'Matter &amp; CI#'!$D$4:$E$595,2,FALSE)</f>
        <v>#N/A</v>
      </c>
      <c r="D851" s="476" t="s">
        <v>1970</v>
      </c>
      <c r="E851" s="476" t="s">
        <v>42</v>
      </c>
      <c r="F851" s="476" t="s">
        <v>24</v>
      </c>
      <c r="G851" s="475" t="s">
        <v>2013</v>
      </c>
      <c r="H851" s="516"/>
      <c r="I851" s="477" t="s">
        <v>5</v>
      </c>
      <c r="J851" s="476" t="s">
        <v>6</v>
      </c>
      <c r="K851" s="476" t="s">
        <v>28</v>
      </c>
      <c r="L851" s="184">
        <v>43404</v>
      </c>
      <c r="N851" s="480">
        <v>1942239.64</v>
      </c>
      <c r="O851" s="478" t="str">
        <f>IFERROR(VLOOKUP(A851,[1]Approval!A:C,3,FALSE),"")</f>
        <v/>
      </c>
      <c r="P851" s="184" t="str">
        <f>IFERROR(VLOOKUP(A851,[1]Approval!A:J,10,FALSE),"")</f>
        <v/>
      </c>
      <c r="R851" s="425">
        <f>2020-YEAR(Table227[[#This Row],[In-
Service
Date]])</f>
        <v>2</v>
      </c>
      <c r="S851" s="308">
        <f>+Table227[[#This Row],[Proj To Date
Actuals]]*1.02^R851</f>
        <v>2020706.1214559998</v>
      </c>
    </row>
    <row r="852" spans="1:19" x14ac:dyDescent="0.25">
      <c r="A852" s="476" t="s">
        <v>441</v>
      </c>
      <c r="B852" s="475" t="s">
        <v>4580</v>
      </c>
      <c r="C852" s="422" t="e">
        <f>VLOOKUP(B852,'Matter &amp; CI#'!$D$4:$E$595,2,FALSE)</f>
        <v>#N/A</v>
      </c>
      <c r="D852" s="476" t="s">
        <v>442</v>
      </c>
      <c r="E852" s="476" t="s">
        <v>34</v>
      </c>
      <c r="F852" s="476" t="s">
        <v>24</v>
      </c>
      <c r="G852" s="475" t="s">
        <v>2013</v>
      </c>
      <c r="H852" s="516"/>
      <c r="I852" s="477" t="s">
        <v>5</v>
      </c>
      <c r="J852" s="476" t="s">
        <v>6</v>
      </c>
      <c r="K852" s="476" t="s">
        <v>7</v>
      </c>
      <c r="L852" s="184">
        <v>43404</v>
      </c>
      <c r="M852" s="184">
        <v>44136</v>
      </c>
      <c r="N852" s="480">
        <v>439279.61</v>
      </c>
      <c r="O852" s="478" t="str">
        <f>IFERROR(VLOOKUP(A852,[1]Approval!A:C,3,FALSE),"")</f>
        <v>FIN Approval - Internal</v>
      </c>
      <c r="P852" s="184">
        <f>IFERROR(VLOOKUP(A852,[1]Approval!A:J,10,FALSE),"")</f>
        <v>43999</v>
      </c>
      <c r="R852" s="425">
        <f>2020-YEAR(Table227[[#This Row],[In-
Service
Date]])</f>
        <v>2</v>
      </c>
      <c r="S852" s="308">
        <f>+Table227[[#This Row],[Proj To Date
Actuals]]*1.02^R852</f>
        <v>457026.50624399999</v>
      </c>
    </row>
    <row r="853" spans="1:19" x14ac:dyDescent="0.25">
      <c r="A853" s="476" t="s">
        <v>1979</v>
      </c>
      <c r="B853" s="475" t="s">
        <v>4643</v>
      </c>
      <c r="C853" s="422" t="e">
        <f>VLOOKUP(B853,'Matter &amp; CI#'!$D$4:$E$595,2,FALSE)</f>
        <v>#N/A</v>
      </c>
      <c r="D853" s="476" t="s">
        <v>1980</v>
      </c>
      <c r="E853" s="476" t="s">
        <v>42</v>
      </c>
      <c r="F853" s="476" t="s">
        <v>24</v>
      </c>
      <c r="G853" s="475" t="s">
        <v>2013</v>
      </c>
      <c r="H853" s="516"/>
      <c r="I853" s="477" t="s">
        <v>5</v>
      </c>
      <c r="J853" s="476" t="s">
        <v>29</v>
      </c>
      <c r="K853" s="476" t="s">
        <v>28</v>
      </c>
      <c r="L853" s="184">
        <v>43404</v>
      </c>
      <c r="N853" s="480">
        <v>2343.19</v>
      </c>
      <c r="O853" s="478" t="str">
        <f>IFERROR(VLOOKUP(A853,[1]Approval!A:C,3,FALSE),"")</f>
        <v/>
      </c>
      <c r="P853" s="184" t="str">
        <f>IFERROR(VLOOKUP(A853,[1]Approval!A:J,10,FALSE),"")</f>
        <v/>
      </c>
      <c r="R853" s="425">
        <f>2020-YEAR(Table227[[#This Row],[In-
Service
Date]])</f>
        <v>2</v>
      </c>
      <c r="S853" s="308">
        <f>+Table227[[#This Row],[Proj To Date
Actuals]]*1.02^R853</f>
        <v>2437.8548759999999</v>
      </c>
    </row>
    <row r="854" spans="1:19" x14ac:dyDescent="0.25">
      <c r="A854" s="476" t="s">
        <v>698</v>
      </c>
      <c r="B854" s="475" t="s">
        <v>698</v>
      </c>
      <c r="C854" s="422" t="e">
        <f>VLOOKUP(B854,'Matter &amp; CI#'!$D$4:$E$595,2,FALSE)</f>
        <v>#N/A</v>
      </c>
      <c r="D854" s="476" t="s">
        <v>699</v>
      </c>
      <c r="E854" s="476" t="s">
        <v>42</v>
      </c>
      <c r="F854" s="476" t="s">
        <v>24</v>
      </c>
      <c r="G854" s="475" t="s">
        <v>2013</v>
      </c>
      <c r="H854" s="516"/>
      <c r="I854" s="477" t="s">
        <v>5</v>
      </c>
      <c r="J854" s="476" t="s">
        <v>6</v>
      </c>
      <c r="K854" s="476" t="s">
        <v>28</v>
      </c>
      <c r="L854" s="184">
        <v>43404</v>
      </c>
      <c r="N854" s="480">
        <v>1454552.95</v>
      </c>
      <c r="O854" s="478" t="str">
        <f>IFERROR(VLOOKUP(A854,[1]Approval!A:C,3,FALSE),"")</f>
        <v/>
      </c>
      <c r="P854" s="184" t="str">
        <f>IFERROR(VLOOKUP(A854,[1]Approval!A:J,10,FALSE),"")</f>
        <v/>
      </c>
      <c r="R854" s="425">
        <f>2020-YEAR(Table227[[#This Row],[In-
Service
Date]])</f>
        <v>2</v>
      </c>
      <c r="S854" s="308">
        <f>+Table227[[#This Row],[Proj To Date
Actuals]]*1.02^R854</f>
        <v>1513316.8891799999</v>
      </c>
    </row>
    <row r="855" spans="1:19" x14ac:dyDescent="0.25">
      <c r="A855" s="476" t="s">
        <v>702</v>
      </c>
      <c r="B855" s="475" t="s">
        <v>702</v>
      </c>
      <c r="C855" s="422" t="e">
        <f>VLOOKUP(B855,'Matter &amp; CI#'!$D$4:$E$595,2,FALSE)</f>
        <v>#N/A</v>
      </c>
      <c r="D855" s="476" t="s">
        <v>703</v>
      </c>
      <c r="E855" s="476" t="s">
        <v>42</v>
      </c>
      <c r="F855" s="476" t="s">
        <v>24</v>
      </c>
      <c r="G855" s="475" t="s">
        <v>2013</v>
      </c>
      <c r="H855" s="516"/>
      <c r="I855" s="477" t="s">
        <v>5</v>
      </c>
      <c r="J855" s="476" t="s">
        <v>547</v>
      </c>
      <c r="K855" s="476" t="s">
        <v>7</v>
      </c>
      <c r="L855" s="184">
        <v>43405</v>
      </c>
      <c r="M855" s="184">
        <v>44136</v>
      </c>
      <c r="N855" s="480">
        <v>584914.05000000005</v>
      </c>
      <c r="O855" s="478" t="str">
        <f>IFERROR(VLOOKUP(A855,[1]Approval!A:C,3,FALSE),"")</f>
        <v>FIN Approval - Internal</v>
      </c>
      <c r="P855" s="184">
        <f>IFERROR(VLOOKUP(A855,[1]Approval!A:J,10,FALSE),"")</f>
        <v>43999</v>
      </c>
      <c r="R855" s="425">
        <f>2020-YEAR(Table227[[#This Row],[In-
Service
Date]])</f>
        <v>2</v>
      </c>
      <c r="S855" s="308">
        <f>+Table227[[#This Row],[Proj To Date
Actuals]]*1.02^R855</f>
        <v>608544.57762</v>
      </c>
    </row>
    <row r="856" spans="1:19" x14ac:dyDescent="0.25">
      <c r="A856" s="476" t="s">
        <v>1981</v>
      </c>
      <c r="B856" s="475" t="s">
        <v>1981</v>
      </c>
      <c r="C856" s="422" t="e">
        <f>VLOOKUP(B856,'Matter &amp; CI#'!$D$4:$E$595,2,FALSE)</f>
        <v>#N/A</v>
      </c>
      <c r="D856" s="476" t="s">
        <v>1982</v>
      </c>
      <c r="E856" s="476" t="s">
        <v>34</v>
      </c>
      <c r="F856" s="476" t="s">
        <v>24</v>
      </c>
      <c r="G856" s="475" t="s">
        <v>2013</v>
      </c>
      <c r="H856" s="516"/>
      <c r="I856" s="477" t="s">
        <v>5</v>
      </c>
      <c r="J856" s="476" t="s">
        <v>25</v>
      </c>
      <c r="K856" s="476" t="s">
        <v>7</v>
      </c>
      <c r="L856" s="184">
        <v>43417</v>
      </c>
      <c r="M856" s="184">
        <v>44197</v>
      </c>
      <c r="N856" s="480">
        <v>8963.64</v>
      </c>
      <c r="O856" s="478" t="str">
        <f>IFERROR(VLOOKUP(A856,[1]Approval!A:C,3,FALSE),"")</f>
        <v>FIN Approval - Internal</v>
      </c>
      <c r="P856" s="184">
        <f>IFERROR(VLOOKUP(A856,[1]Approval!A:J,10,FALSE),"")</f>
        <v>44105</v>
      </c>
      <c r="R856" s="425">
        <f>2020-YEAR(Table227[[#This Row],[In-
Service
Date]])</f>
        <v>2</v>
      </c>
      <c r="S856" s="308">
        <f>+Table227[[#This Row],[Proj To Date
Actuals]]*1.02^R856</f>
        <v>9325.7710559999996</v>
      </c>
    </row>
    <row r="857" spans="1:19" x14ac:dyDescent="0.25">
      <c r="A857" s="476" t="s">
        <v>1963</v>
      </c>
      <c r="B857" s="475" t="s">
        <v>1963</v>
      </c>
      <c r="C857" s="422" t="e">
        <f>VLOOKUP(B857,'Matter &amp; CI#'!$D$4:$E$595,2,FALSE)</f>
        <v>#N/A</v>
      </c>
      <c r="D857" s="476" t="s">
        <v>1964</v>
      </c>
      <c r="E857" s="476" t="s">
        <v>34</v>
      </c>
      <c r="F857" s="476" t="s">
        <v>24</v>
      </c>
      <c r="G857" s="475" t="s">
        <v>2013</v>
      </c>
      <c r="H857" s="516"/>
      <c r="I857" s="477" t="s">
        <v>5</v>
      </c>
      <c r="J857" s="476" t="s">
        <v>6</v>
      </c>
      <c r="K857" s="476" t="s">
        <v>7</v>
      </c>
      <c r="L857" s="184">
        <v>43434</v>
      </c>
      <c r="M857" s="184">
        <v>44197</v>
      </c>
      <c r="N857" s="480">
        <v>674829.15</v>
      </c>
      <c r="O857" s="478" t="str">
        <f>IFERROR(VLOOKUP(A857,[1]Approval!A:C,3,FALSE),"")</f>
        <v>FIN Approval - Internal</v>
      </c>
      <c r="P857" s="184">
        <f>IFERROR(VLOOKUP(A857,[1]Approval!A:J,10,FALSE),"")</f>
        <v>44105</v>
      </c>
      <c r="R857" s="425">
        <f>2020-YEAR(Table227[[#This Row],[In-
Service
Date]])</f>
        <v>2</v>
      </c>
      <c r="S857" s="308">
        <f>+Table227[[#This Row],[Proj To Date
Actuals]]*1.02^R857</f>
        <v>702092.24765999999</v>
      </c>
    </row>
    <row r="858" spans="1:19" x14ac:dyDescent="0.25">
      <c r="A858" s="476" t="s">
        <v>941</v>
      </c>
      <c r="B858" s="475" t="s">
        <v>941</v>
      </c>
      <c r="C858" s="422" t="e">
        <f>VLOOKUP(B858,'Matter &amp; CI#'!$D$4:$E$595,2,FALSE)</f>
        <v>#N/A</v>
      </c>
      <c r="D858" s="476" t="s">
        <v>942</v>
      </c>
      <c r="E858" s="476" t="s">
        <v>34</v>
      </c>
      <c r="F858" s="476" t="s">
        <v>24</v>
      </c>
      <c r="G858" s="475" t="s">
        <v>2013</v>
      </c>
      <c r="H858" s="516"/>
      <c r="I858" s="477" t="s">
        <v>5</v>
      </c>
      <c r="J858" s="476" t="s">
        <v>6</v>
      </c>
      <c r="K858" s="476" t="s">
        <v>28</v>
      </c>
      <c r="L858" s="184">
        <v>43465</v>
      </c>
      <c r="N858" s="480">
        <v>1036672.5</v>
      </c>
      <c r="O858" s="478" t="str">
        <f>IFERROR(VLOOKUP(A858,[1]Approval!A:C,3,FALSE),"")</f>
        <v/>
      </c>
      <c r="P858" s="184" t="str">
        <f>IFERROR(VLOOKUP(A858,[1]Approval!A:J,10,FALSE),"")</f>
        <v/>
      </c>
      <c r="R858" s="425">
        <f>2020-YEAR(Table227[[#This Row],[In-
Service
Date]])</f>
        <v>2</v>
      </c>
      <c r="S858" s="308">
        <f>+Table227[[#This Row],[Proj To Date
Actuals]]*1.02^R858</f>
        <v>1078554.0689999999</v>
      </c>
    </row>
    <row r="859" spans="1:19" x14ac:dyDescent="0.25">
      <c r="A859" s="476" t="s">
        <v>1188</v>
      </c>
      <c r="B859" s="475" t="s">
        <v>1188</v>
      </c>
      <c r="C859" s="422" t="e">
        <f>VLOOKUP(B859,'Matter &amp; CI#'!$D$4:$E$595,2,FALSE)</f>
        <v>#N/A</v>
      </c>
      <c r="D859" s="476" t="s">
        <v>1189</v>
      </c>
      <c r="E859" s="476" t="s">
        <v>42</v>
      </c>
      <c r="F859" s="476" t="s">
        <v>24</v>
      </c>
      <c r="G859" s="475" t="s">
        <v>2013</v>
      </c>
      <c r="H859" s="516"/>
      <c r="I859" s="477" t="s">
        <v>5</v>
      </c>
      <c r="J859" s="476" t="s">
        <v>6</v>
      </c>
      <c r="K859" s="476" t="s">
        <v>28</v>
      </c>
      <c r="L859" s="184">
        <v>43465</v>
      </c>
      <c r="N859" s="480">
        <v>943913.78</v>
      </c>
      <c r="O859" s="478" t="str">
        <f>IFERROR(VLOOKUP(A859,[1]Approval!A:C,3,FALSE),"")</f>
        <v/>
      </c>
      <c r="P859" s="184" t="str">
        <f>IFERROR(VLOOKUP(A859,[1]Approval!A:J,10,FALSE),"")</f>
        <v/>
      </c>
      <c r="R859" s="425">
        <f>2020-YEAR(Table227[[#This Row],[In-
Service
Date]])</f>
        <v>2</v>
      </c>
      <c r="S859" s="308">
        <f>+Table227[[#This Row],[Proj To Date
Actuals]]*1.02^R859</f>
        <v>982047.89671200002</v>
      </c>
    </row>
    <row r="860" spans="1:19" x14ac:dyDescent="0.25">
      <c r="A860" s="476" t="s">
        <v>947</v>
      </c>
      <c r="B860" s="475" t="s">
        <v>947</v>
      </c>
      <c r="C860" s="422" t="e">
        <f>VLOOKUP(B860,'Matter &amp; CI#'!$D$4:$E$595,2,FALSE)</f>
        <v>#N/A</v>
      </c>
      <c r="D860" s="476" t="s">
        <v>948</v>
      </c>
      <c r="E860" s="476" t="s">
        <v>42</v>
      </c>
      <c r="F860" s="476" t="s">
        <v>24</v>
      </c>
      <c r="G860" s="475" t="s">
        <v>2013</v>
      </c>
      <c r="H860" s="516"/>
      <c r="I860" s="477" t="s">
        <v>5</v>
      </c>
      <c r="J860" s="476" t="s">
        <v>547</v>
      </c>
      <c r="K860" s="476" t="s">
        <v>28</v>
      </c>
      <c r="L860" s="184">
        <v>43465</v>
      </c>
      <c r="N860" s="481">
        <v>966751.37</v>
      </c>
      <c r="O860" s="478" t="str">
        <f>IFERROR(VLOOKUP(A860,[1]Approval!A:C,3,FALSE),"")</f>
        <v>FIN Approval - Internal</v>
      </c>
      <c r="P860" s="184">
        <f>IFERROR(VLOOKUP(A860,[1]Approval!A:J,10,FALSE),"")</f>
        <v>44194</v>
      </c>
      <c r="R860" s="425">
        <f>2020-YEAR(Table227[[#This Row],[In-
Service
Date]])</f>
        <v>2</v>
      </c>
      <c r="S860" s="308">
        <f>+Table227[[#This Row],[Proj To Date
Actuals]]*1.02^R860</f>
        <v>1005808.125348</v>
      </c>
    </row>
    <row r="861" spans="1:19" x14ac:dyDescent="0.25">
      <c r="A861" s="476" t="s">
        <v>951</v>
      </c>
      <c r="B861" s="475" t="s">
        <v>951</v>
      </c>
      <c r="C861" s="422" t="e">
        <f>VLOOKUP(B861,'Matter &amp; CI#'!$D$4:$E$595,2,FALSE)</f>
        <v>#N/A</v>
      </c>
      <c r="D861" s="476" t="s">
        <v>952</v>
      </c>
      <c r="E861" s="476" t="s">
        <v>89</v>
      </c>
      <c r="F861" s="476" t="s">
        <v>24</v>
      </c>
      <c r="G861" s="475" t="s">
        <v>2013</v>
      </c>
      <c r="H861" s="516"/>
      <c r="I861" s="477" t="s">
        <v>5</v>
      </c>
      <c r="J861" s="476" t="s">
        <v>6</v>
      </c>
      <c r="K861" s="476" t="s">
        <v>28</v>
      </c>
      <c r="L861" s="184">
        <v>43466</v>
      </c>
      <c r="N861" s="480">
        <v>5612430.54</v>
      </c>
      <c r="O861" s="478" t="str">
        <f>IFERROR(VLOOKUP(A861,[1]Approval!A:C,3,FALSE),"")</f>
        <v/>
      </c>
      <c r="P861" s="184" t="str">
        <f>IFERROR(VLOOKUP(A861,[1]Approval!A:J,10,FALSE),"")</f>
        <v/>
      </c>
      <c r="R861" s="425">
        <f>2020-YEAR(Table227[[#This Row],[In-
Service
Date]])</f>
        <v>1</v>
      </c>
      <c r="S861" s="308">
        <f>+Table227[[#This Row],[Proj To Date
Actuals]]*1.02^R861</f>
        <v>5724679.1507999999</v>
      </c>
    </row>
    <row r="862" spans="1:19" x14ac:dyDescent="0.25">
      <c r="A862" s="476" t="s">
        <v>1452</v>
      </c>
      <c r="B862" s="475" t="s">
        <v>1452</v>
      </c>
      <c r="C862" s="422" t="e">
        <f>VLOOKUP(B862,'Matter &amp; CI#'!$D$4:$E$595,2,FALSE)</f>
        <v>#N/A</v>
      </c>
      <c r="D862" s="476" t="s">
        <v>1453</v>
      </c>
      <c r="E862" s="476" t="s">
        <v>42</v>
      </c>
      <c r="F862" s="476" t="s">
        <v>24</v>
      </c>
      <c r="G862" s="475" t="s">
        <v>2013</v>
      </c>
      <c r="H862" s="516"/>
      <c r="I862" s="477" t="s">
        <v>5</v>
      </c>
      <c r="J862" s="476" t="s">
        <v>547</v>
      </c>
      <c r="K862" s="476" t="s">
        <v>28</v>
      </c>
      <c r="L862" s="184">
        <v>43485</v>
      </c>
      <c r="N862" s="480">
        <v>2228.9899999999998</v>
      </c>
      <c r="O862" s="478" t="str">
        <f>IFERROR(VLOOKUP(A862,[1]Approval!A:C,3,FALSE),"")</f>
        <v>FIN Approval - Internal</v>
      </c>
      <c r="P862" s="184">
        <f>IFERROR(VLOOKUP(A862,[1]Approval!A:J,10,FALSE),"")</f>
        <v>43993</v>
      </c>
      <c r="R862" s="425">
        <f>2020-YEAR(Table227[[#This Row],[In-
Service
Date]])</f>
        <v>1</v>
      </c>
      <c r="S862" s="308">
        <f>+Table227[[#This Row],[Proj To Date
Actuals]]*1.02^R862</f>
        <v>2273.5697999999998</v>
      </c>
    </row>
    <row r="863" spans="1:19" x14ac:dyDescent="0.25">
      <c r="A863" s="476" t="s">
        <v>1991</v>
      </c>
      <c r="B863" s="475" t="s">
        <v>1991</v>
      </c>
      <c r="C863" s="422" t="e">
        <f>VLOOKUP(B863,'Matter &amp; CI#'!$D$4:$E$595,2,FALSE)</f>
        <v>#N/A</v>
      </c>
      <c r="D863" s="476" t="s">
        <v>1992</v>
      </c>
      <c r="E863" s="476" t="s">
        <v>42</v>
      </c>
      <c r="F863" s="476" t="s">
        <v>24</v>
      </c>
      <c r="G863" s="475" t="s">
        <v>2013</v>
      </c>
      <c r="H863" s="516"/>
      <c r="I863" s="477" t="s">
        <v>5</v>
      </c>
      <c r="J863" s="476" t="s">
        <v>547</v>
      </c>
      <c r="K863" s="476" t="s">
        <v>28</v>
      </c>
      <c r="L863" s="184">
        <v>43485</v>
      </c>
      <c r="N863" s="481">
        <v>32147.64</v>
      </c>
      <c r="O863" s="478" t="str">
        <f>IFERROR(VLOOKUP(A863,[1]Approval!A:C,3,FALSE),"")</f>
        <v>FIN Approval - Internal</v>
      </c>
      <c r="P863" s="184">
        <f>IFERROR(VLOOKUP(A863,[1]Approval!A:J,10,FALSE),"")</f>
        <v>44151</v>
      </c>
      <c r="R863" s="425">
        <f>2020-YEAR(Table227[[#This Row],[In-
Service
Date]])</f>
        <v>1</v>
      </c>
      <c r="S863" s="308">
        <f>+Table227[[#This Row],[Proj To Date
Actuals]]*1.02^R863</f>
        <v>32790.592799999999</v>
      </c>
    </row>
    <row r="864" spans="1:19" x14ac:dyDescent="0.25">
      <c r="A864" s="476" t="s">
        <v>1714</v>
      </c>
      <c r="B864" s="475" t="s">
        <v>1714</v>
      </c>
      <c r="C864" s="422" t="e">
        <f>VLOOKUP(B864,'Matter &amp; CI#'!$D$4:$E$595,2,FALSE)</f>
        <v>#N/A</v>
      </c>
      <c r="D864" s="476" t="s">
        <v>1715</v>
      </c>
      <c r="E864" s="476" t="s">
        <v>42</v>
      </c>
      <c r="F864" s="476" t="s">
        <v>24</v>
      </c>
      <c r="G864" s="475" t="s">
        <v>2013</v>
      </c>
      <c r="H864" s="516"/>
      <c r="I864" s="477" t="s">
        <v>5</v>
      </c>
      <c r="J864" s="476" t="s">
        <v>6</v>
      </c>
      <c r="K864" s="476" t="s">
        <v>28</v>
      </c>
      <c r="L864" s="184">
        <v>43496</v>
      </c>
      <c r="N864" s="480">
        <v>2035207.82</v>
      </c>
      <c r="O864" s="478" t="str">
        <f>IFERROR(VLOOKUP(A864,[1]Approval!A:C,3,FALSE),"")</f>
        <v/>
      </c>
      <c r="P864" s="184" t="str">
        <f>IFERROR(VLOOKUP(A864,[1]Approval!A:J,10,FALSE),"")</f>
        <v/>
      </c>
      <c r="R864" s="425">
        <f>2020-YEAR(Table227[[#This Row],[In-
Service
Date]])</f>
        <v>1</v>
      </c>
      <c r="S864" s="308">
        <f>+Table227[[#This Row],[Proj To Date
Actuals]]*1.02^R864</f>
        <v>2075911.9764</v>
      </c>
    </row>
    <row r="865" spans="1:19" x14ac:dyDescent="0.25">
      <c r="A865" s="476" t="s">
        <v>923</v>
      </c>
      <c r="B865" s="475" t="s">
        <v>923</v>
      </c>
      <c r="C865" s="422" t="e">
        <f>VLOOKUP(B865,'Matter &amp; CI#'!$D$4:$E$595,2,FALSE)</f>
        <v>#N/A</v>
      </c>
      <c r="D865" s="476" t="s">
        <v>924</v>
      </c>
      <c r="E865" s="476" t="s">
        <v>34</v>
      </c>
      <c r="F865" s="476" t="s">
        <v>24</v>
      </c>
      <c r="G865" s="475" t="s">
        <v>2013</v>
      </c>
      <c r="H865" s="516"/>
      <c r="I865" s="477" t="s">
        <v>5</v>
      </c>
      <c r="J865" s="476" t="s">
        <v>6</v>
      </c>
      <c r="K865" s="476" t="s">
        <v>28</v>
      </c>
      <c r="L865" s="184">
        <v>43496</v>
      </c>
      <c r="N865" s="480">
        <v>752627.93</v>
      </c>
      <c r="O865" s="478" t="str">
        <f>IFERROR(VLOOKUP(A865,[1]Approval!A:C,3,FALSE),"")</f>
        <v/>
      </c>
      <c r="P865" s="184" t="str">
        <f>IFERROR(VLOOKUP(A865,[1]Approval!A:J,10,FALSE),"")</f>
        <v/>
      </c>
      <c r="R865" s="425">
        <f>2020-YEAR(Table227[[#This Row],[In-
Service
Date]])</f>
        <v>1</v>
      </c>
      <c r="S865" s="308">
        <f>+Table227[[#This Row],[Proj To Date
Actuals]]*1.02^R865</f>
        <v>767680.48860000004</v>
      </c>
    </row>
    <row r="866" spans="1:19" x14ac:dyDescent="0.25">
      <c r="A866" s="476" t="s">
        <v>1448</v>
      </c>
      <c r="B866" s="475" t="s">
        <v>1448</v>
      </c>
      <c r="C866" s="422" t="e">
        <f>VLOOKUP(B866,'Matter &amp; CI#'!$D$4:$E$595,2,FALSE)</f>
        <v>#N/A</v>
      </c>
      <c r="D866" s="476" t="s">
        <v>1449</v>
      </c>
      <c r="E866" s="476" t="s">
        <v>42</v>
      </c>
      <c r="F866" s="476" t="s">
        <v>24</v>
      </c>
      <c r="G866" s="475" t="s">
        <v>2013</v>
      </c>
      <c r="H866" s="516"/>
      <c r="I866" s="477" t="s">
        <v>5</v>
      </c>
      <c r="J866" s="476" t="s">
        <v>6</v>
      </c>
      <c r="K866" s="476" t="s">
        <v>28</v>
      </c>
      <c r="L866" s="184">
        <v>43496</v>
      </c>
      <c r="N866" s="480">
        <v>1374896.39</v>
      </c>
      <c r="O866" s="478" t="str">
        <f>IFERROR(VLOOKUP(A866,[1]Approval!A:C,3,FALSE),"")</f>
        <v/>
      </c>
      <c r="P866" s="184" t="str">
        <f>IFERROR(VLOOKUP(A866,[1]Approval!A:J,10,FALSE),"")</f>
        <v/>
      </c>
      <c r="R866" s="425">
        <f>2020-YEAR(Table227[[#This Row],[In-
Service
Date]])</f>
        <v>1</v>
      </c>
      <c r="S866" s="308">
        <f>+Table227[[#This Row],[Proj To Date
Actuals]]*1.02^R866</f>
        <v>1402394.3177999998</v>
      </c>
    </row>
    <row r="867" spans="1:19" x14ac:dyDescent="0.25">
      <c r="A867" s="476" t="s">
        <v>1726</v>
      </c>
      <c r="B867" s="475" t="s">
        <v>1726</v>
      </c>
      <c r="C867" s="422" t="e">
        <f>VLOOKUP(B867,'Matter &amp; CI#'!$D$4:$E$595,2,FALSE)</f>
        <v>#N/A</v>
      </c>
      <c r="D867" s="476" t="s">
        <v>1727</v>
      </c>
      <c r="E867" s="476" t="s">
        <v>34</v>
      </c>
      <c r="F867" s="476" t="s">
        <v>24</v>
      </c>
      <c r="G867" s="475" t="s">
        <v>2013</v>
      </c>
      <c r="H867" s="516"/>
      <c r="I867" s="477" t="s">
        <v>5</v>
      </c>
      <c r="J867" s="476" t="s">
        <v>6</v>
      </c>
      <c r="K867" s="476" t="s">
        <v>28</v>
      </c>
      <c r="L867" s="184">
        <v>43496</v>
      </c>
      <c r="N867" s="480">
        <v>249072.59</v>
      </c>
      <c r="O867" s="478" t="str">
        <f>IFERROR(VLOOKUP(A867,[1]Approval!A:C,3,FALSE),"")</f>
        <v>FIN Approval - Internal</v>
      </c>
      <c r="P867" s="184">
        <f>IFERROR(VLOOKUP(A867,[1]Approval!A:J,10,FALSE),"")</f>
        <v>44161</v>
      </c>
      <c r="R867" s="425">
        <f>2020-YEAR(Table227[[#This Row],[In-
Service
Date]])</f>
        <v>1</v>
      </c>
      <c r="S867" s="308">
        <f>+Table227[[#This Row],[Proj To Date
Actuals]]*1.02^R867</f>
        <v>254054.04180000001</v>
      </c>
    </row>
    <row r="868" spans="1:19" x14ac:dyDescent="0.25">
      <c r="A868" s="476" t="s">
        <v>1728</v>
      </c>
      <c r="B868" s="475" t="s">
        <v>1728</v>
      </c>
      <c r="C868" s="422" t="e">
        <f>VLOOKUP(B868,'Matter &amp; CI#'!$D$4:$E$595,2,FALSE)</f>
        <v>#N/A</v>
      </c>
      <c r="D868" s="476" t="s">
        <v>1729</v>
      </c>
      <c r="E868" s="476" t="s">
        <v>42</v>
      </c>
      <c r="F868" s="476" t="s">
        <v>24</v>
      </c>
      <c r="G868" s="475" t="s">
        <v>2013</v>
      </c>
      <c r="H868" s="516"/>
      <c r="I868" s="477" t="s">
        <v>5</v>
      </c>
      <c r="J868" s="476" t="s">
        <v>6</v>
      </c>
      <c r="K868" s="476" t="s">
        <v>28</v>
      </c>
      <c r="L868" s="184">
        <v>43524</v>
      </c>
      <c r="N868" s="480">
        <v>1485115.59</v>
      </c>
      <c r="O868" s="478" t="str">
        <f>IFERROR(VLOOKUP(A868,[1]Approval!A:C,3,FALSE),"")</f>
        <v/>
      </c>
      <c r="P868" s="184" t="str">
        <f>IFERROR(VLOOKUP(A868,[1]Approval!A:J,10,FALSE),"")</f>
        <v/>
      </c>
      <c r="R868" s="425">
        <f>2020-YEAR(Table227[[#This Row],[In-
Service
Date]])</f>
        <v>1</v>
      </c>
      <c r="S868" s="308">
        <f>+Table227[[#This Row],[Proj To Date
Actuals]]*1.02^R868</f>
        <v>1514817.9018000001</v>
      </c>
    </row>
    <row r="869" spans="1:19" x14ac:dyDescent="0.25">
      <c r="A869" s="476" t="s">
        <v>1462</v>
      </c>
      <c r="B869" s="475" t="s">
        <v>1462</v>
      </c>
      <c r="C869" s="422" t="e">
        <f>VLOOKUP(B869,'Matter &amp; CI#'!$D$4:$E$595,2,FALSE)</f>
        <v>#N/A</v>
      </c>
      <c r="D869" s="476" t="s">
        <v>1463</v>
      </c>
      <c r="E869" s="476" t="s">
        <v>42</v>
      </c>
      <c r="F869" s="476" t="s">
        <v>24</v>
      </c>
      <c r="G869" s="475" t="s">
        <v>2013</v>
      </c>
      <c r="H869" s="516"/>
      <c r="I869" s="477" t="s">
        <v>5</v>
      </c>
      <c r="J869" s="476" t="s">
        <v>6</v>
      </c>
      <c r="K869" s="476" t="s">
        <v>28</v>
      </c>
      <c r="L869" s="184">
        <v>43585</v>
      </c>
      <c r="N869" s="480">
        <v>1146339.74</v>
      </c>
      <c r="O869" s="478" t="str">
        <f>IFERROR(VLOOKUP(A869,[1]Approval!A:C,3,FALSE),"")</f>
        <v/>
      </c>
      <c r="P869" s="184" t="str">
        <f>IFERROR(VLOOKUP(A869,[1]Approval!A:J,10,FALSE),"")</f>
        <v/>
      </c>
      <c r="R869" s="425">
        <f>2020-YEAR(Table227[[#This Row],[In-
Service
Date]])</f>
        <v>1</v>
      </c>
      <c r="S869" s="308">
        <f>+Table227[[#This Row],[Proj To Date
Actuals]]*1.02^R869</f>
        <v>1169266.5348</v>
      </c>
    </row>
    <row r="870" spans="1:19" x14ac:dyDescent="0.25">
      <c r="A870" s="476" t="s">
        <v>481</v>
      </c>
      <c r="B870" s="475" t="s">
        <v>481</v>
      </c>
      <c r="C870" s="422" t="e">
        <f>VLOOKUP(B870,'Matter &amp; CI#'!$D$4:$E$595,2,FALSE)</f>
        <v>#N/A</v>
      </c>
      <c r="D870" s="476" t="s">
        <v>482</v>
      </c>
      <c r="E870" s="476" t="s">
        <v>42</v>
      </c>
      <c r="F870" s="476" t="s">
        <v>24</v>
      </c>
      <c r="G870" s="475" t="s">
        <v>2013</v>
      </c>
      <c r="H870" s="516"/>
      <c r="I870" s="477" t="s">
        <v>5</v>
      </c>
      <c r="J870" s="476" t="s">
        <v>6</v>
      </c>
      <c r="K870" s="476" t="s">
        <v>28</v>
      </c>
      <c r="L870" s="184">
        <v>43585</v>
      </c>
      <c r="N870" s="480">
        <v>672125.73</v>
      </c>
      <c r="O870" s="478" t="str">
        <f>IFERROR(VLOOKUP(A870,[1]Approval!A:C,3,FALSE),"")</f>
        <v/>
      </c>
      <c r="P870" s="184" t="str">
        <f>IFERROR(VLOOKUP(A870,[1]Approval!A:J,10,FALSE),"")</f>
        <v/>
      </c>
      <c r="R870" s="425">
        <f>2020-YEAR(Table227[[#This Row],[In-
Service
Date]])</f>
        <v>1</v>
      </c>
      <c r="S870" s="308">
        <f>+Table227[[#This Row],[Proj To Date
Actuals]]*1.02^R870</f>
        <v>685568.24459999998</v>
      </c>
    </row>
    <row r="871" spans="1:19" x14ac:dyDescent="0.25">
      <c r="A871" s="476" t="s">
        <v>1983</v>
      </c>
      <c r="B871" s="475" t="s">
        <v>1983</v>
      </c>
      <c r="C871" s="422" t="e">
        <f>VLOOKUP(B871,'Matter &amp; CI#'!$D$4:$E$595,2,FALSE)</f>
        <v>#N/A</v>
      </c>
      <c r="D871" s="476" t="s">
        <v>1984</v>
      </c>
      <c r="E871" s="476" t="s">
        <v>34</v>
      </c>
      <c r="F871" s="476" t="s">
        <v>24</v>
      </c>
      <c r="G871" s="475" t="s">
        <v>2013</v>
      </c>
      <c r="H871" s="516"/>
      <c r="I871" s="477" t="s">
        <v>5</v>
      </c>
      <c r="J871" s="476" t="s">
        <v>6</v>
      </c>
      <c r="K871" s="476" t="s">
        <v>28</v>
      </c>
      <c r="L871" s="184">
        <v>43616</v>
      </c>
      <c r="N871" s="480">
        <v>2413687.09</v>
      </c>
      <c r="O871" s="478" t="str">
        <f>IFERROR(VLOOKUP(A871,[1]Approval!A:C,3,FALSE),"")</f>
        <v/>
      </c>
      <c r="P871" s="184" t="str">
        <f>IFERROR(VLOOKUP(A871,[1]Approval!A:J,10,FALSE),"")</f>
        <v/>
      </c>
      <c r="R871" s="425">
        <f>2020-YEAR(Table227[[#This Row],[In-
Service
Date]])</f>
        <v>1</v>
      </c>
      <c r="S871" s="308">
        <f>+Table227[[#This Row],[Proj To Date
Actuals]]*1.02^R871</f>
        <v>2461960.8317999998</v>
      </c>
    </row>
    <row r="872" spans="1:19" x14ac:dyDescent="0.25">
      <c r="A872" s="476" t="s">
        <v>1985</v>
      </c>
      <c r="B872" s="475" t="s">
        <v>1985</v>
      </c>
      <c r="C872" s="422" t="e">
        <f>VLOOKUP(B872,'Matter &amp; CI#'!$D$4:$E$595,2,FALSE)</f>
        <v>#N/A</v>
      </c>
      <c r="D872" s="476" t="s">
        <v>1986</v>
      </c>
      <c r="E872" s="476" t="s">
        <v>34</v>
      </c>
      <c r="F872" s="476" t="s">
        <v>24</v>
      </c>
      <c r="G872" s="475" t="s">
        <v>2013</v>
      </c>
      <c r="H872" s="516"/>
      <c r="I872" s="477" t="s">
        <v>5</v>
      </c>
      <c r="J872" s="476" t="s">
        <v>6</v>
      </c>
      <c r="K872" s="476" t="s">
        <v>28</v>
      </c>
      <c r="L872" s="184">
        <v>43616</v>
      </c>
      <c r="N872" s="481">
        <v>643425.93000000005</v>
      </c>
      <c r="O872" s="478" t="str">
        <f>IFERROR(VLOOKUP(A872,[1]Approval!A:C,3,FALSE),"")</f>
        <v/>
      </c>
      <c r="P872" s="184" t="str">
        <f>IFERROR(VLOOKUP(A872,[1]Approval!A:J,10,FALSE),"")</f>
        <v/>
      </c>
      <c r="R872" s="425">
        <f>2020-YEAR(Table227[[#This Row],[In-
Service
Date]])</f>
        <v>1</v>
      </c>
      <c r="S872" s="308">
        <f>+Table227[[#This Row],[Proj To Date
Actuals]]*1.02^R872</f>
        <v>656294.44860000012</v>
      </c>
    </row>
    <row r="873" spans="1:19" x14ac:dyDescent="0.25">
      <c r="A873" s="476" t="s">
        <v>1444</v>
      </c>
      <c r="B873" s="475" t="s">
        <v>1444</v>
      </c>
      <c r="C873" s="422" t="e">
        <f>VLOOKUP(B873,'Matter &amp; CI#'!$D$4:$E$595,2,FALSE)</f>
        <v>#N/A</v>
      </c>
      <c r="D873" s="476" t="s">
        <v>1445</v>
      </c>
      <c r="E873" s="476" t="s">
        <v>42</v>
      </c>
      <c r="F873" s="476" t="s">
        <v>24</v>
      </c>
      <c r="G873" s="475" t="s">
        <v>2013</v>
      </c>
      <c r="H873" s="516"/>
      <c r="I873" s="477" t="s">
        <v>5</v>
      </c>
      <c r="J873" s="476" t="s">
        <v>6</v>
      </c>
      <c r="K873" s="476" t="s">
        <v>28</v>
      </c>
      <c r="L873" s="184">
        <v>43646</v>
      </c>
      <c r="N873" s="481">
        <v>1171856.1200000001</v>
      </c>
      <c r="O873" s="478" t="str">
        <f>IFERROR(VLOOKUP(A873,[1]Approval!A:C,3,FALSE),"")</f>
        <v/>
      </c>
      <c r="P873" s="184" t="str">
        <f>IFERROR(VLOOKUP(A873,[1]Approval!A:J,10,FALSE),"")</f>
        <v/>
      </c>
      <c r="R873" s="425">
        <f>2020-YEAR(Table227[[#This Row],[In-
Service
Date]])</f>
        <v>1</v>
      </c>
      <c r="S873" s="308">
        <f>+Table227[[#This Row],[Proj To Date
Actuals]]*1.02^R873</f>
        <v>1195293.2424000001</v>
      </c>
    </row>
    <row r="874" spans="1:19" x14ac:dyDescent="0.25">
      <c r="A874" s="476" t="s">
        <v>469</v>
      </c>
      <c r="B874" s="475" t="s">
        <v>469</v>
      </c>
      <c r="C874" s="422" t="e">
        <f>VLOOKUP(B874,'Matter &amp; CI#'!$D$4:$E$595,2,FALSE)</f>
        <v>#N/A</v>
      </c>
      <c r="D874" s="476" t="s">
        <v>470</v>
      </c>
      <c r="E874" s="476" t="s">
        <v>42</v>
      </c>
      <c r="F874" s="476" t="s">
        <v>24</v>
      </c>
      <c r="G874" s="475" t="s">
        <v>2013</v>
      </c>
      <c r="H874" s="516"/>
      <c r="I874" s="477" t="s">
        <v>5</v>
      </c>
      <c r="J874" s="476" t="s">
        <v>6</v>
      </c>
      <c r="K874" s="476" t="s">
        <v>28</v>
      </c>
      <c r="L874" s="184">
        <v>43646</v>
      </c>
      <c r="N874" s="480">
        <v>636638.82999999996</v>
      </c>
      <c r="O874" s="478" t="str">
        <f>IFERROR(VLOOKUP(A874,[1]Approval!A:C,3,FALSE),"")</f>
        <v/>
      </c>
      <c r="P874" s="184" t="str">
        <f>IFERROR(VLOOKUP(A874,[1]Approval!A:J,10,FALSE),"")</f>
        <v/>
      </c>
      <c r="R874" s="425">
        <f>2020-YEAR(Table227[[#This Row],[In-
Service
Date]])</f>
        <v>1</v>
      </c>
      <c r="S874" s="308">
        <f>+Table227[[#This Row],[Proj To Date
Actuals]]*1.02^R874</f>
        <v>649371.60659999994</v>
      </c>
    </row>
    <row r="875" spans="1:19" x14ac:dyDescent="0.25">
      <c r="A875" s="476" t="s">
        <v>1204</v>
      </c>
      <c r="B875" s="475" t="s">
        <v>1204</v>
      </c>
      <c r="C875" s="422" t="e">
        <f>VLOOKUP(B875,'Matter &amp; CI#'!$D$4:$E$595,2,FALSE)</f>
        <v>#N/A</v>
      </c>
      <c r="D875" s="476" t="s">
        <v>1205</v>
      </c>
      <c r="E875" s="476" t="s">
        <v>34</v>
      </c>
      <c r="F875" s="476" t="s">
        <v>24</v>
      </c>
      <c r="G875" s="475" t="s">
        <v>2013</v>
      </c>
      <c r="H875" s="516"/>
      <c r="I875" s="477" t="s">
        <v>5</v>
      </c>
      <c r="J875" s="476" t="s">
        <v>25</v>
      </c>
      <c r="K875" s="476" t="s">
        <v>28</v>
      </c>
      <c r="L875" s="184">
        <v>43647</v>
      </c>
      <c r="N875" s="480">
        <v>502809.36</v>
      </c>
      <c r="O875" s="478" t="str">
        <f>IFERROR(VLOOKUP(A875,[1]Approval!A:C,3,FALSE),"")</f>
        <v/>
      </c>
      <c r="P875" s="184" t="str">
        <f>IFERROR(VLOOKUP(A875,[1]Approval!A:J,10,FALSE),"")</f>
        <v/>
      </c>
      <c r="R875" s="425">
        <f>2020-YEAR(Table227[[#This Row],[In-
Service
Date]])</f>
        <v>1</v>
      </c>
      <c r="S875" s="308">
        <f>+Table227[[#This Row],[Proj To Date
Actuals]]*1.02^R875</f>
        <v>512865.54719999997</v>
      </c>
    </row>
    <row r="876" spans="1:19" x14ac:dyDescent="0.25">
      <c r="A876" s="476" t="s">
        <v>1791</v>
      </c>
      <c r="B876" s="475" t="s">
        <v>4097</v>
      </c>
      <c r="C876" s="422" t="e">
        <f>VLOOKUP(B876,'Matter &amp; CI#'!$D$4:$E$595,2,FALSE)</f>
        <v>#N/A</v>
      </c>
      <c r="D876" s="476" t="s">
        <v>1792</v>
      </c>
      <c r="E876" s="476" t="s">
        <v>34</v>
      </c>
      <c r="F876" s="476" t="s">
        <v>24</v>
      </c>
      <c r="G876" s="475" t="s">
        <v>2013</v>
      </c>
      <c r="H876" s="516"/>
      <c r="I876" s="477" t="s">
        <v>5</v>
      </c>
      <c r="J876" s="476" t="s">
        <v>6</v>
      </c>
      <c r="K876" s="476" t="s">
        <v>28</v>
      </c>
      <c r="L876" s="184">
        <v>43661</v>
      </c>
      <c r="N876" s="480">
        <v>468640.28</v>
      </c>
      <c r="O876" s="478" t="str">
        <f>IFERROR(VLOOKUP(A876,[1]Approval!A:C,3,FALSE),"")</f>
        <v>FIN Approval - Internal</v>
      </c>
      <c r="P876" s="184">
        <f>IFERROR(VLOOKUP(A876,[1]Approval!A:J,10,FALSE),"")</f>
        <v>44151</v>
      </c>
      <c r="R876" s="425">
        <f>2020-YEAR(Table227[[#This Row],[In-
Service
Date]])</f>
        <v>1</v>
      </c>
      <c r="S876" s="308">
        <f>+Table227[[#This Row],[Proj To Date
Actuals]]*1.02^R876</f>
        <v>478013.08560000005</v>
      </c>
    </row>
    <row r="877" spans="1:19" x14ac:dyDescent="0.25">
      <c r="A877" s="476" t="s">
        <v>1334</v>
      </c>
      <c r="B877" s="475" t="s">
        <v>4186</v>
      </c>
      <c r="C877" s="422" t="e">
        <f>VLOOKUP(B877,'Matter &amp; CI#'!$D$4:$E$595,2,FALSE)</f>
        <v>#N/A</v>
      </c>
      <c r="D877" s="476" t="s">
        <v>1335</v>
      </c>
      <c r="E877" s="476" t="s">
        <v>34</v>
      </c>
      <c r="F877" s="476" t="s">
        <v>24</v>
      </c>
      <c r="G877" s="475" t="s">
        <v>2013</v>
      </c>
      <c r="H877" s="516"/>
      <c r="I877" s="477" t="s">
        <v>5</v>
      </c>
      <c r="J877" s="476" t="s">
        <v>6</v>
      </c>
      <c r="K877" s="476" t="s">
        <v>28</v>
      </c>
      <c r="L877" s="184">
        <v>43677</v>
      </c>
      <c r="N877" s="480">
        <v>1011935.78</v>
      </c>
      <c r="O877" s="478" t="str">
        <f>IFERROR(VLOOKUP(A877,[1]Approval!A:C,3,FALSE),"")</f>
        <v/>
      </c>
      <c r="P877" s="184" t="str">
        <f>IFERROR(VLOOKUP(A877,[1]Approval!A:J,10,FALSE),"")</f>
        <v/>
      </c>
      <c r="R877" s="425">
        <f>2020-YEAR(Table227[[#This Row],[In-
Service
Date]])</f>
        <v>1</v>
      </c>
      <c r="S877" s="308">
        <f>+Table227[[#This Row],[Proj To Date
Actuals]]*1.02^R877</f>
        <v>1032174.4956</v>
      </c>
    </row>
    <row r="878" spans="1:19" x14ac:dyDescent="0.25">
      <c r="A878" s="476" t="s">
        <v>1116</v>
      </c>
      <c r="B878" s="475" t="s">
        <v>4357</v>
      </c>
      <c r="C878" s="422" t="e">
        <f>VLOOKUP(B878,'Matter &amp; CI#'!$D$4:$E$595,2,FALSE)</f>
        <v>#N/A</v>
      </c>
      <c r="D878" s="476" t="s">
        <v>1117</v>
      </c>
      <c r="E878" s="476" t="s">
        <v>108</v>
      </c>
      <c r="F878" s="476" t="s">
        <v>24</v>
      </c>
      <c r="G878" s="475" t="s">
        <v>2013</v>
      </c>
      <c r="H878" s="516"/>
      <c r="I878" s="477" t="s">
        <v>5</v>
      </c>
      <c r="J878" s="476" t="s">
        <v>6</v>
      </c>
      <c r="K878" s="476" t="s">
        <v>7</v>
      </c>
      <c r="L878" s="184">
        <v>43677</v>
      </c>
      <c r="M878" s="184">
        <v>44136</v>
      </c>
      <c r="N878" s="480">
        <v>190198.91</v>
      </c>
      <c r="O878" s="478" t="str">
        <f>IFERROR(VLOOKUP(A878,[1]Approval!A:C,3,FALSE),"")</f>
        <v>FIN Approval - Internal</v>
      </c>
      <c r="P878" s="184">
        <f>IFERROR(VLOOKUP(A878,[1]Approval!A:J,10,FALSE),"")</f>
        <v>43999</v>
      </c>
      <c r="R878" s="425">
        <f>2020-YEAR(Table227[[#This Row],[In-
Service
Date]])</f>
        <v>1</v>
      </c>
      <c r="S878" s="308">
        <f>+Table227[[#This Row],[Proj To Date
Actuals]]*1.02^R878</f>
        <v>194002.88820000002</v>
      </c>
    </row>
    <row r="879" spans="1:19" x14ac:dyDescent="0.25">
      <c r="A879" s="476" t="s">
        <v>871</v>
      </c>
      <c r="B879" s="475" t="s">
        <v>4483</v>
      </c>
      <c r="C879" s="422" t="e">
        <f>VLOOKUP(B879,'Matter &amp; CI#'!$D$4:$E$595,2,FALSE)</f>
        <v>#N/A</v>
      </c>
      <c r="D879" s="476" t="s">
        <v>872</v>
      </c>
      <c r="E879" s="476" t="s">
        <v>34</v>
      </c>
      <c r="F879" s="476" t="s">
        <v>24</v>
      </c>
      <c r="G879" s="475" t="s">
        <v>2013</v>
      </c>
      <c r="H879" s="516"/>
      <c r="I879" s="477" t="s">
        <v>5</v>
      </c>
      <c r="J879" s="476" t="s">
        <v>6</v>
      </c>
      <c r="K879" s="476" t="s">
        <v>7</v>
      </c>
      <c r="L879" s="184">
        <v>43677</v>
      </c>
      <c r="M879" s="184">
        <v>44136</v>
      </c>
      <c r="N879" s="480">
        <v>290264.84000000003</v>
      </c>
      <c r="O879" s="478" t="str">
        <f>IFERROR(VLOOKUP(A879,[1]Approval!A:C,3,FALSE),"")</f>
        <v>FIN Approval - Internal</v>
      </c>
      <c r="P879" s="184">
        <f>IFERROR(VLOOKUP(A879,[1]Approval!A:J,10,FALSE),"")</f>
        <v>43999</v>
      </c>
      <c r="R879" s="425">
        <f>2020-YEAR(Table227[[#This Row],[In-
Service
Date]])</f>
        <v>1</v>
      </c>
      <c r="S879" s="308">
        <f>+Table227[[#This Row],[Proj To Date
Actuals]]*1.02^R879</f>
        <v>296070.13680000004</v>
      </c>
    </row>
    <row r="880" spans="1:19" x14ac:dyDescent="0.25">
      <c r="A880" s="476" t="s">
        <v>686</v>
      </c>
      <c r="B880" s="475" t="s">
        <v>686</v>
      </c>
      <c r="C880" s="422" t="e">
        <f>VLOOKUP(B880,'Matter &amp; CI#'!$D$4:$E$595,2,FALSE)</f>
        <v>#N/A</v>
      </c>
      <c r="D880" s="476" t="s">
        <v>687</v>
      </c>
      <c r="E880" s="476" t="s">
        <v>42</v>
      </c>
      <c r="F880" s="476" t="s">
        <v>24</v>
      </c>
      <c r="G880" s="475" t="s">
        <v>2013</v>
      </c>
      <c r="H880" s="516"/>
      <c r="I880" s="477" t="s">
        <v>5</v>
      </c>
      <c r="J880" s="476" t="s">
        <v>6</v>
      </c>
      <c r="K880" s="476" t="s">
        <v>28</v>
      </c>
      <c r="L880" s="184">
        <v>43677</v>
      </c>
      <c r="N880" s="480">
        <v>791304.92</v>
      </c>
      <c r="O880" s="478" t="str">
        <f>IFERROR(VLOOKUP(A880,[1]Approval!A:C,3,FALSE),"")</f>
        <v/>
      </c>
      <c r="P880" s="184" t="str">
        <f>IFERROR(VLOOKUP(A880,[1]Approval!A:J,10,FALSE),"")</f>
        <v/>
      </c>
      <c r="R880" s="425">
        <f>2020-YEAR(Table227[[#This Row],[In-
Service
Date]])</f>
        <v>1</v>
      </c>
      <c r="S880" s="308">
        <f>+Table227[[#This Row],[Proj To Date
Actuals]]*1.02^R880</f>
        <v>807131.01840000006</v>
      </c>
    </row>
    <row r="881" spans="1:19" x14ac:dyDescent="0.25">
      <c r="A881" s="476" t="s">
        <v>471</v>
      </c>
      <c r="B881" s="475" t="s">
        <v>471</v>
      </c>
      <c r="C881" s="422" t="e">
        <f>VLOOKUP(B881,'Matter &amp; CI#'!$D$4:$E$595,2,FALSE)</f>
        <v>#N/A</v>
      </c>
      <c r="D881" s="476" t="s">
        <v>472</v>
      </c>
      <c r="E881" s="476" t="s">
        <v>42</v>
      </c>
      <c r="F881" s="476" t="s">
        <v>24</v>
      </c>
      <c r="G881" s="475" t="s">
        <v>2013</v>
      </c>
      <c r="H881" s="516"/>
      <c r="I881" s="477" t="s">
        <v>5</v>
      </c>
      <c r="J881" s="476" t="s">
        <v>6</v>
      </c>
      <c r="K881" s="476" t="s">
        <v>28</v>
      </c>
      <c r="L881" s="184">
        <v>43677</v>
      </c>
      <c r="N881" s="480">
        <v>780462.21</v>
      </c>
      <c r="O881" s="478" t="str">
        <f>IFERROR(VLOOKUP(A881,[1]Approval!A:C,3,FALSE),"")</f>
        <v/>
      </c>
      <c r="P881" s="184" t="str">
        <f>IFERROR(VLOOKUP(A881,[1]Approval!A:J,10,FALSE),"")</f>
        <v/>
      </c>
      <c r="R881" s="425">
        <f>2020-YEAR(Table227[[#This Row],[In-
Service
Date]])</f>
        <v>1</v>
      </c>
      <c r="S881" s="308">
        <f>+Table227[[#This Row],[Proj To Date
Actuals]]*1.02^R881</f>
        <v>796071.45419999992</v>
      </c>
    </row>
    <row r="882" spans="1:19" x14ac:dyDescent="0.25">
      <c r="A882" s="476" t="s">
        <v>714</v>
      </c>
      <c r="B882" s="475" t="s">
        <v>714</v>
      </c>
      <c r="C882" s="422" t="e">
        <f>VLOOKUP(B882,'Matter &amp; CI#'!$D$4:$E$595,2,FALSE)</f>
        <v>#N/A</v>
      </c>
      <c r="D882" s="476" t="s">
        <v>715</v>
      </c>
      <c r="E882" s="476" t="s">
        <v>34</v>
      </c>
      <c r="F882" s="476" t="s">
        <v>24</v>
      </c>
      <c r="G882" s="475" t="s">
        <v>2013</v>
      </c>
      <c r="H882" s="516"/>
      <c r="I882" s="477" t="s">
        <v>5</v>
      </c>
      <c r="J882" s="476" t="s">
        <v>6</v>
      </c>
      <c r="K882" s="476" t="s">
        <v>28</v>
      </c>
      <c r="L882" s="184">
        <v>43677</v>
      </c>
      <c r="N882" s="480">
        <v>217888.45</v>
      </c>
      <c r="O882" s="478" t="str">
        <f>IFERROR(VLOOKUP(A882,[1]Approval!A:C,3,FALSE),"")</f>
        <v/>
      </c>
      <c r="P882" s="184" t="str">
        <f>IFERROR(VLOOKUP(A882,[1]Approval!A:J,10,FALSE),"")</f>
        <v/>
      </c>
      <c r="R882" s="425">
        <f>2020-YEAR(Table227[[#This Row],[In-
Service
Date]])</f>
        <v>1</v>
      </c>
      <c r="S882" s="308">
        <f>+Table227[[#This Row],[Proj To Date
Actuals]]*1.02^R882</f>
        <v>222246.21900000001</v>
      </c>
    </row>
    <row r="883" spans="1:19" x14ac:dyDescent="0.25">
      <c r="A883" s="476" t="s">
        <v>1468</v>
      </c>
      <c r="B883" s="475" t="s">
        <v>1468</v>
      </c>
      <c r="C883" s="422" t="e">
        <f>VLOOKUP(B883,'Matter &amp; CI#'!$D$4:$E$595,2,FALSE)</f>
        <v>#N/A</v>
      </c>
      <c r="D883" s="476" t="s">
        <v>1469</v>
      </c>
      <c r="E883" s="476" t="s">
        <v>42</v>
      </c>
      <c r="F883" s="476" t="s">
        <v>24</v>
      </c>
      <c r="G883" s="475" t="s">
        <v>2013</v>
      </c>
      <c r="H883" s="516"/>
      <c r="I883" s="477" t="s">
        <v>5</v>
      </c>
      <c r="J883" s="476" t="s">
        <v>6</v>
      </c>
      <c r="K883" s="476" t="s">
        <v>28</v>
      </c>
      <c r="L883" s="184">
        <v>43678</v>
      </c>
      <c r="N883" s="480">
        <v>1620556.31</v>
      </c>
      <c r="O883" s="478" t="str">
        <f>IFERROR(VLOOKUP(A883,[1]Approval!A:C,3,FALSE),"")</f>
        <v/>
      </c>
      <c r="P883" s="184" t="str">
        <f>IFERROR(VLOOKUP(A883,[1]Approval!A:J,10,FALSE),"")</f>
        <v/>
      </c>
      <c r="R883" s="425">
        <f>2020-YEAR(Table227[[#This Row],[In-
Service
Date]])</f>
        <v>1</v>
      </c>
      <c r="S883" s="308">
        <f>+Table227[[#This Row],[Proj To Date
Actuals]]*1.02^R883</f>
        <v>1652967.4362000001</v>
      </c>
    </row>
    <row r="884" spans="1:19" x14ac:dyDescent="0.25">
      <c r="A884" s="476" t="s">
        <v>144</v>
      </c>
      <c r="B884" s="475" t="s">
        <v>4403</v>
      </c>
      <c r="C884" s="422" t="e">
        <f>VLOOKUP(B884,'Matter &amp; CI#'!$D$4:$E$595,2,FALSE)</f>
        <v>#N/A</v>
      </c>
      <c r="D884" s="476" t="s">
        <v>145</v>
      </c>
      <c r="E884" s="476" t="s">
        <v>42</v>
      </c>
      <c r="F884" s="476" t="s">
        <v>24</v>
      </c>
      <c r="G884" s="475" t="s">
        <v>2013</v>
      </c>
      <c r="H884" s="516"/>
      <c r="I884" s="477" t="s">
        <v>5</v>
      </c>
      <c r="J884" s="476" t="s">
        <v>6</v>
      </c>
      <c r="K884" s="476" t="s">
        <v>28</v>
      </c>
      <c r="L884" s="184">
        <v>43707</v>
      </c>
      <c r="N884" s="480">
        <v>828181.27</v>
      </c>
      <c r="O884" s="478" t="str">
        <f>IFERROR(VLOOKUP(A884,[1]Approval!A:C,3,FALSE),"")</f>
        <v/>
      </c>
      <c r="P884" s="184" t="str">
        <f>IFERROR(VLOOKUP(A884,[1]Approval!A:J,10,FALSE),"")</f>
        <v/>
      </c>
      <c r="R884" s="425">
        <f>2020-YEAR(Table227[[#This Row],[In-
Service
Date]])</f>
        <v>1</v>
      </c>
      <c r="S884" s="308">
        <f>+Table227[[#This Row],[Proj To Date
Actuals]]*1.02^R884</f>
        <v>844744.89540000004</v>
      </c>
    </row>
    <row r="885" spans="1:19" x14ac:dyDescent="0.25">
      <c r="A885" s="476" t="s">
        <v>236</v>
      </c>
      <c r="B885" s="475" t="s">
        <v>236</v>
      </c>
      <c r="C885" s="422" t="e">
        <f>VLOOKUP(B885,'Matter &amp; CI#'!$D$4:$E$595,2,FALSE)</f>
        <v>#N/A</v>
      </c>
      <c r="D885" s="476" t="s">
        <v>237</v>
      </c>
      <c r="E885" s="476" t="s">
        <v>42</v>
      </c>
      <c r="F885" s="476" t="s">
        <v>24</v>
      </c>
      <c r="G885" s="475" t="s">
        <v>2013</v>
      </c>
      <c r="H885" s="516"/>
      <c r="I885" s="477" t="s">
        <v>5</v>
      </c>
      <c r="J885" s="476" t="s">
        <v>6</v>
      </c>
      <c r="K885" s="476" t="s">
        <v>28</v>
      </c>
      <c r="L885" s="184">
        <v>43707</v>
      </c>
      <c r="N885" s="480">
        <v>1446969.31</v>
      </c>
      <c r="O885" s="478" t="str">
        <f>IFERROR(VLOOKUP(A885,[1]Approval!A:C,3,FALSE),"")</f>
        <v/>
      </c>
      <c r="P885" s="184" t="str">
        <f>IFERROR(VLOOKUP(A885,[1]Approval!A:J,10,FALSE),"")</f>
        <v/>
      </c>
      <c r="R885" s="425">
        <f>2020-YEAR(Table227[[#This Row],[In-
Service
Date]])</f>
        <v>1</v>
      </c>
      <c r="S885" s="308">
        <f>+Table227[[#This Row],[Proj To Date
Actuals]]*1.02^R885</f>
        <v>1475908.6962000001</v>
      </c>
    </row>
    <row r="886" spans="1:19" x14ac:dyDescent="0.25">
      <c r="A886" s="476" t="s">
        <v>1166</v>
      </c>
      <c r="B886" s="475" t="s">
        <v>1166</v>
      </c>
      <c r="C886" s="422" t="e">
        <f>VLOOKUP(B886,'Matter &amp; CI#'!$D$4:$E$595,2,FALSE)</f>
        <v>#N/A</v>
      </c>
      <c r="D886" s="476" t="s">
        <v>1167</v>
      </c>
      <c r="E886" s="476" t="s">
        <v>34</v>
      </c>
      <c r="F886" s="476" t="s">
        <v>24</v>
      </c>
      <c r="G886" s="475" t="s">
        <v>2013</v>
      </c>
      <c r="H886" s="516"/>
      <c r="I886" s="477" t="s">
        <v>5</v>
      </c>
      <c r="J886" s="476" t="s">
        <v>6</v>
      </c>
      <c r="K886" s="476" t="s">
        <v>28</v>
      </c>
      <c r="L886" s="184">
        <v>43708</v>
      </c>
      <c r="N886" s="480">
        <v>344911.35999999999</v>
      </c>
      <c r="O886" s="478" t="str">
        <f>IFERROR(VLOOKUP(A886,[1]Approval!A:C,3,FALSE),"")</f>
        <v/>
      </c>
      <c r="P886" s="184" t="str">
        <f>IFERROR(VLOOKUP(A886,[1]Approval!A:J,10,FALSE),"")</f>
        <v/>
      </c>
      <c r="R886" s="425">
        <f>2020-YEAR(Table227[[#This Row],[In-
Service
Date]])</f>
        <v>1</v>
      </c>
      <c r="S886" s="308">
        <f>+Table227[[#This Row],[Proj To Date
Actuals]]*1.02^R886</f>
        <v>351809.58720000001</v>
      </c>
    </row>
    <row r="887" spans="1:19" x14ac:dyDescent="0.25">
      <c r="A887" s="476" t="s">
        <v>716</v>
      </c>
      <c r="B887" s="475" t="s">
        <v>716</v>
      </c>
      <c r="C887" s="422" t="e">
        <f>VLOOKUP(B887,'Matter &amp; CI#'!$D$4:$E$595,2,FALSE)</f>
        <v>#N/A</v>
      </c>
      <c r="D887" s="476" t="s">
        <v>717</v>
      </c>
      <c r="E887" s="476" t="s">
        <v>34</v>
      </c>
      <c r="F887" s="476" t="s">
        <v>24</v>
      </c>
      <c r="G887" s="475" t="s">
        <v>2013</v>
      </c>
      <c r="H887" s="516"/>
      <c r="I887" s="477" t="s">
        <v>5</v>
      </c>
      <c r="J887" s="476" t="s">
        <v>25</v>
      </c>
      <c r="K887" s="476" t="s">
        <v>28</v>
      </c>
      <c r="L887" s="184">
        <v>43709</v>
      </c>
      <c r="N887" s="480">
        <v>11151.36</v>
      </c>
      <c r="O887" s="478" t="str">
        <f>IFERROR(VLOOKUP(A887,[1]Approval!A:C,3,FALSE),"")</f>
        <v>FIN Approval - Internal</v>
      </c>
      <c r="P887" s="184">
        <f>IFERROR(VLOOKUP(A887,[1]Approval!A:J,10,FALSE),"")</f>
        <v>44161</v>
      </c>
      <c r="R887" s="425">
        <f>2020-YEAR(Table227[[#This Row],[In-
Service
Date]])</f>
        <v>1</v>
      </c>
      <c r="S887" s="308">
        <f>+Table227[[#This Row],[Proj To Date
Actuals]]*1.02^R887</f>
        <v>11374.387200000001</v>
      </c>
    </row>
    <row r="888" spans="1:19" x14ac:dyDescent="0.25">
      <c r="A888" s="476" t="s">
        <v>957</v>
      </c>
      <c r="B888" s="475" t="s">
        <v>957</v>
      </c>
      <c r="C888" s="422" t="e">
        <f>VLOOKUP(B888,'Matter &amp; CI#'!$D$4:$E$595,2,FALSE)</f>
        <v>#N/A</v>
      </c>
      <c r="D888" s="476" t="s">
        <v>958</v>
      </c>
      <c r="E888" s="476" t="s">
        <v>34</v>
      </c>
      <c r="F888" s="476" t="s">
        <v>24</v>
      </c>
      <c r="G888" s="475" t="s">
        <v>2013</v>
      </c>
      <c r="H888" s="516"/>
      <c r="I888" s="477" t="s">
        <v>5</v>
      </c>
      <c r="J888" s="476" t="s">
        <v>25</v>
      </c>
      <c r="K888" s="476" t="s">
        <v>28</v>
      </c>
      <c r="L888" s="184">
        <v>43709</v>
      </c>
      <c r="N888" s="480">
        <v>71675.37</v>
      </c>
      <c r="O888" s="478" t="str">
        <f>IFERROR(VLOOKUP(A888,[1]Approval!A:C,3,FALSE),"")</f>
        <v>FIN Approval - Internal</v>
      </c>
      <c r="P888" s="184">
        <f>IFERROR(VLOOKUP(A888,[1]Approval!A:J,10,FALSE),"")</f>
        <v>44151</v>
      </c>
      <c r="R888" s="425">
        <f>2020-YEAR(Table227[[#This Row],[In-
Service
Date]])</f>
        <v>1</v>
      </c>
      <c r="S888" s="308">
        <f>+Table227[[#This Row],[Proj To Date
Actuals]]*1.02^R888</f>
        <v>73108.877399999998</v>
      </c>
    </row>
    <row r="889" spans="1:19" x14ac:dyDescent="0.25">
      <c r="A889" s="476" t="s">
        <v>1999</v>
      </c>
      <c r="B889" s="475" t="s">
        <v>1999</v>
      </c>
      <c r="C889" s="422" t="e">
        <f>VLOOKUP(B889,'Matter &amp; CI#'!$D$4:$E$595,2,FALSE)</f>
        <v>#N/A</v>
      </c>
      <c r="D889" s="476" t="s">
        <v>2000</v>
      </c>
      <c r="E889" s="476" t="s">
        <v>42</v>
      </c>
      <c r="F889" s="476" t="s">
        <v>24</v>
      </c>
      <c r="G889" s="475" t="s">
        <v>2013</v>
      </c>
      <c r="H889" s="516"/>
      <c r="I889" s="477" t="s">
        <v>5</v>
      </c>
      <c r="J889" s="476" t="s">
        <v>547</v>
      </c>
      <c r="K889" s="476" t="s">
        <v>28</v>
      </c>
      <c r="L889" s="184">
        <v>43714</v>
      </c>
      <c r="N889" s="480">
        <v>504912.12</v>
      </c>
      <c r="O889" s="478" t="str">
        <f>IFERROR(VLOOKUP(A889,[1]Approval!A:C,3,FALSE),"")</f>
        <v/>
      </c>
      <c r="P889" s="184" t="str">
        <f>IFERROR(VLOOKUP(A889,[1]Approval!A:J,10,FALSE),"")</f>
        <v/>
      </c>
      <c r="R889" s="425">
        <f>2020-YEAR(Table227[[#This Row],[In-
Service
Date]])</f>
        <v>1</v>
      </c>
      <c r="S889" s="308">
        <f>+Table227[[#This Row],[Proj To Date
Actuals]]*1.02^R889</f>
        <v>515010.36239999998</v>
      </c>
    </row>
    <row r="890" spans="1:19" x14ac:dyDescent="0.25">
      <c r="A890" s="476" t="s">
        <v>375</v>
      </c>
      <c r="B890" s="475" t="s">
        <v>4287</v>
      </c>
      <c r="C890" s="422" t="e">
        <f>VLOOKUP(B890,'Matter &amp; CI#'!$D$4:$E$595,2,FALSE)</f>
        <v>#N/A</v>
      </c>
      <c r="D890" s="476" t="s">
        <v>376</v>
      </c>
      <c r="E890" s="476" t="s">
        <v>42</v>
      </c>
      <c r="F890" s="476" t="s">
        <v>24</v>
      </c>
      <c r="G890" s="475" t="s">
        <v>2013</v>
      </c>
      <c r="H890" s="516"/>
      <c r="I890" s="477" t="s">
        <v>5</v>
      </c>
      <c r="J890" s="476" t="s">
        <v>6</v>
      </c>
      <c r="K890" s="476" t="s">
        <v>28</v>
      </c>
      <c r="L890" s="184">
        <v>43738</v>
      </c>
      <c r="N890" s="480">
        <v>225494.35</v>
      </c>
      <c r="O890" s="478" t="str">
        <f>IFERROR(VLOOKUP(A890,[1]Approval!A:C,3,FALSE),"")</f>
        <v/>
      </c>
      <c r="P890" s="184" t="str">
        <f>IFERROR(VLOOKUP(A890,[1]Approval!A:J,10,FALSE),"")</f>
        <v/>
      </c>
      <c r="R890" s="425">
        <f>2020-YEAR(Table227[[#This Row],[In-
Service
Date]])</f>
        <v>1</v>
      </c>
      <c r="S890" s="308">
        <f>+Table227[[#This Row],[Proj To Date
Actuals]]*1.02^R890</f>
        <v>230004.23700000002</v>
      </c>
    </row>
    <row r="891" spans="1:19" x14ac:dyDescent="0.25">
      <c r="A891" s="476" t="s">
        <v>1945</v>
      </c>
      <c r="B891" s="475" t="s">
        <v>4472</v>
      </c>
      <c r="C891" s="422" t="e">
        <f>VLOOKUP(B891,'Matter &amp; CI#'!$D$4:$E$595,2,FALSE)</f>
        <v>#N/A</v>
      </c>
      <c r="D891" s="476" t="s">
        <v>1946</v>
      </c>
      <c r="E891" s="476" t="s">
        <v>34</v>
      </c>
      <c r="F891" s="476" t="s">
        <v>24</v>
      </c>
      <c r="G891" s="475" t="s">
        <v>2013</v>
      </c>
      <c r="H891" s="516"/>
      <c r="I891" s="477" t="s">
        <v>5</v>
      </c>
      <c r="J891" s="476" t="s">
        <v>6</v>
      </c>
      <c r="K891" s="476" t="s">
        <v>28</v>
      </c>
      <c r="L891" s="184">
        <v>43769</v>
      </c>
      <c r="N891" s="480">
        <v>603587.4</v>
      </c>
      <c r="O891" s="478" t="str">
        <f>IFERROR(VLOOKUP(A891,[1]Approval!A:C,3,FALSE),"")</f>
        <v/>
      </c>
      <c r="P891" s="184" t="str">
        <f>IFERROR(VLOOKUP(A891,[1]Approval!A:J,10,FALSE),"")</f>
        <v/>
      </c>
      <c r="R891" s="425">
        <f>2020-YEAR(Table227[[#This Row],[In-
Service
Date]])</f>
        <v>1</v>
      </c>
      <c r="S891" s="308">
        <f>+Table227[[#This Row],[Proj To Date
Actuals]]*1.02^R891</f>
        <v>615659.14800000004</v>
      </c>
    </row>
    <row r="892" spans="1:19" x14ac:dyDescent="0.25">
      <c r="A892" s="476" t="s">
        <v>240</v>
      </c>
      <c r="B892" s="475" t="s">
        <v>240</v>
      </c>
      <c r="C892" s="422" t="e">
        <f>VLOOKUP(B892,'Matter &amp; CI#'!$D$4:$E$595,2,FALSE)</f>
        <v>#N/A</v>
      </c>
      <c r="D892" s="476" t="s">
        <v>241</v>
      </c>
      <c r="E892" s="476" t="s">
        <v>42</v>
      </c>
      <c r="F892" s="476" t="s">
        <v>24</v>
      </c>
      <c r="G892" s="475" t="s">
        <v>2013</v>
      </c>
      <c r="H892" s="516"/>
      <c r="I892" s="477" t="s">
        <v>5</v>
      </c>
      <c r="J892" s="476" t="s">
        <v>6</v>
      </c>
      <c r="K892" s="476" t="s">
        <v>28</v>
      </c>
      <c r="L892" s="184">
        <v>43769</v>
      </c>
      <c r="N892" s="480">
        <v>1433125.11</v>
      </c>
      <c r="O892" s="478" t="str">
        <f>IFERROR(VLOOKUP(A892,[1]Approval!A:C,3,FALSE),"")</f>
        <v/>
      </c>
      <c r="P892" s="184" t="str">
        <f>IFERROR(VLOOKUP(A892,[1]Approval!A:J,10,FALSE),"")</f>
        <v/>
      </c>
      <c r="R892" s="425">
        <f>2020-YEAR(Table227[[#This Row],[In-
Service
Date]])</f>
        <v>1</v>
      </c>
      <c r="S892" s="308">
        <f>+Table227[[#This Row],[Proj To Date
Actuals]]*1.02^R892</f>
        <v>1461787.6122000001</v>
      </c>
    </row>
    <row r="893" spans="1:19" x14ac:dyDescent="0.25">
      <c r="A893" s="476" t="s">
        <v>718</v>
      </c>
      <c r="B893" s="475" t="s">
        <v>718</v>
      </c>
      <c r="C893" s="422" t="str">
        <f>VLOOKUP(B893,'Matter &amp; CI#'!$D$4:$E$595,2,FALSE)</f>
        <v>M09480</v>
      </c>
      <c r="D893" s="476" t="s">
        <v>719</v>
      </c>
      <c r="E893" s="476" t="s">
        <v>42</v>
      </c>
      <c r="F893" s="476" t="s">
        <v>24</v>
      </c>
      <c r="G893" s="475" t="s">
        <v>2013</v>
      </c>
      <c r="H893" s="516"/>
      <c r="I893" s="477" t="s">
        <v>5</v>
      </c>
      <c r="J893" s="476" t="s">
        <v>6</v>
      </c>
      <c r="K893" s="476" t="s">
        <v>28</v>
      </c>
      <c r="L893" s="184">
        <v>43770</v>
      </c>
      <c r="N893" s="480">
        <v>559783.03</v>
      </c>
      <c r="O893" s="478" t="str">
        <f>IFERROR(VLOOKUP(A893,[1]Approval!A:C,3,FALSE),"")</f>
        <v/>
      </c>
      <c r="P893" s="184" t="str">
        <f>IFERROR(VLOOKUP(A893,[1]Approval!A:J,10,FALSE),"")</f>
        <v/>
      </c>
      <c r="R893" s="425">
        <f>2020-YEAR(Table227[[#This Row],[In-
Service
Date]])</f>
        <v>1</v>
      </c>
      <c r="S893" s="308">
        <f>+Table227[[#This Row],[Proj To Date
Actuals]]*1.02^R893</f>
        <v>570978.69060000009</v>
      </c>
    </row>
    <row r="894" spans="1:19" x14ac:dyDescent="0.25">
      <c r="A894" s="476" t="s">
        <v>1208</v>
      </c>
      <c r="B894" s="475" t="s">
        <v>1208</v>
      </c>
      <c r="C894" s="422" t="e">
        <f>VLOOKUP(B894,'Matter &amp; CI#'!$D$4:$E$595,2,FALSE)</f>
        <v>#N/A</v>
      </c>
      <c r="D894" s="476" t="s">
        <v>1209</v>
      </c>
      <c r="E894" s="476" t="s">
        <v>42</v>
      </c>
      <c r="F894" s="476" t="s">
        <v>24</v>
      </c>
      <c r="G894" s="475" t="s">
        <v>2013</v>
      </c>
      <c r="H894" s="516"/>
      <c r="I894" s="477" t="s">
        <v>5</v>
      </c>
      <c r="J894" s="476" t="s">
        <v>29</v>
      </c>
      <c r="K894" s="476" t="s">
        <v>28</v>
      </c>
      <c r="L894" s="184">
        <v>43799</v>
      </c>
      <c r="N894" s="480">
        <v>-0.23</v>
      </c>
      <c r="O894" s="478" t="str">
        <f>IFERROR(VLOOKUP(A894,[1]Approval!A:C,3,FALSE),"")</f>
        <v/>
      </c>
      <c r="P894" s="184" t="str">
        <f>IFERROR(VLOOKUP(A894,[1]Approval!A:J,10,FALSE),"")</f>
        <v/>
      </c>
      <c r="R894" s="425">
        <f>2020-YEAR(Table227[[#This Row],[In-
Service
Date]])</f>
        <v>1</v>
      </c>
      <c r="S894" s="308">
        <f>+Table227[[#This Row],[Proj To Date
Actuals]]*1.02^R894</f>
        <v>-0.2346</v>
      </c>
    </row>
    <row r="895" spans="1:19" x14ac:dyDescent="0.25">
      <c r="A895" s="476" t="s">
        <v>1210</v>
      </c>
      <c r="B895" s="475" t="s">
        <v>1210</v>
      </c>
      <c r="C895" s="422" t="e">
        <f>VLOOKUP(B895,'Matter &amp; CI#'!$D$4:$E$595,2,FALSE)</f>
        <v>#N/A</v>
      </c>
      <c r="D895" s="476" t="s">
        <v>1211</v>
      </c>
      <c r="E895" s="476" t="s">
        <v>42</v>
      </c>
      <c r="F895" s="476" t="s">
        <v>24</v>
      </c>
      <c r="G895" s="475" t="s">
        <v>2013</v>
      </c>
      <c r="H895" s="516"/>
      <c r="I895" s="477" t="s">
        <v>5</v>
      </c>
      <c r="J895" s="476" t="s">
        <v>547</v>
      </c>
      <c r="K895" s="476" t="s">
        <v>28</v>
      </c>
      <c r="L895" s="184">
        <v>43800</v>
      </c>
      <c r="N895" s="480">
        <v>256882.02</v>
      </c>
      <c r="O895" s="478" t="str">
        <f>IFERROR(VLOOKUP(A895,[1]Approval!A:C,3,FALSE),"")</f>
        <v/>
      </c>
      <c r="P895" s="184" t="str">
        <f>IFERROR(VLOOKUP(A895,[1]Approval!A:J,10,FALSE),"")</f>
        <v/>
      </c>
      <c r="R895" s="425">
        <f>2020-YEAR(Table227[[#This Row],[In-
Service
Date]])</f>
        <v>1</v>
      </c>
      <c r="S895" s="308">
        <f>+Table227[[#This Row],[Proj To Date
Actuals]]*1.02^R895</f>
        <v>262019.66039999999</v>
      </c>
    </row>
    <row r="896" spans="1:19" x14ac:dyDescent="0.25">
      <c r="A896" s="476" t="s">
        <v>1961</v>
      </c>
      <c r="B896" s="475" t="s">
        <v>1961</v>
      </c>
      <c r="C896" s="422" t="e">
        <f>VLOOKUP(B896,'Matter &amp; CI#'!$D$4:$E$595,2,FALSE)</f>
        <v>#N/A</v>
      </c>
      <c r="D896" s="476" t="s">
        <v>1962</v>
      </c>
      <c r="E896" s="476" t="s">
        <v>235</v>
      </c>
      <c r="F896" s="476" t="s">
        <v>24</v>
      </c>
      <c r="G896" s="475" t="s">
        <v>2013</v>
      </c>
      <c r="H896" s="516"/>
      <c r="I896" s="477" t="s">
        <v>5</v>
      </c>
      <c r="J896" s="476" t="s">
        <v>6</v>
      </c>
      <c r="K896" s="476" t="s">
        <v>28</v>
      </c>
      <c r="L896" s="184">
        <v>43817</v>
      </c>
      <c r="N896" s="480">
        <v>3984626.93</v>
      </c>
      <c r="O896" s="478" t="str">
        <f>IFERROR(VLOOKUP(A896,[1]Approval!A:C,3,FALSE),"")</f>
        <v/>
      </c>
      <c r="P896" s="184" t="str">
        <f>IFERROR(VLOOKUP(A896,[1]Approval!A:J,10,FALSE),"")</f>
        <v/>
      </c>
      <c r="R896" s="425">
        <f>2020-YEAR(Table227[[#This Row],[In-
Service
Date]])</f>
        <v>1</v>
      </c>
      <c r="S896" s="308">
        <f>+Table227[[#This Row],[Proj To Date
Actuals]]*1.02^R896</f>
        <v>4064319.4686000003</v>
      </c>
    </row>
    <row r="897" spans="1:19" x14ac:dyDescent="0.25">
      <c r="A897" s="476" t="s">
        <v>1446</v>
      </c>
      <c r="B897" s="475" t="s">
        <v>1446</v>
      </c>
      <c r="C897" s="422" t="e">
        <f>VLOOKUP(B897,'Matter &amp; CI#'!$D$4:$E$595,2,FALSE)</f>
        <v>#N/A</v>
      </c>
      <c r="D897" s="476" t="s">
        <v>1447</v>
      </c>
      <c r="E897" s="476" t="s">
        <v>30</v>
      </c>
      <c r="F897" s="476" t="s">
        <v>24</v>
      </c>
      <c r="G897" s="475" t="s">
        <v>2013</v>
      </c>
      <c r="H897" s="516"/>
      <c r="I897" s="477" t="s">
        <v>5</v>
      </c>
      <c r="J897" s="476" t="s">
        <v>6</v>
      </c>
      <c r="K897" s="476" t="s">
        <v>28</v>
      </c>
      <c r="L897" s="184">
        <v>43818</v>
      </c>
      <c r="N897" s="480">
        <v>189100.84</v>
      </c>
      <c r="O897" s="478" t="str">
        <f>IFERROR(VLOOKUP(A897,[1]Approval!A:C,3,FALSE),"")</f>
        <v/>
      </c>
      <c r="P897" s="184" t="str">
        <f>IFERROR(VLOOKUP(A897,[1]Approval!A:J,10,FALSE),"")</f>
        <v/>
      </c>
      <c r="R897" s="425">
        <f>2020-YEAR(Table227[[#This Row],[In-
Service
Date]])</f>
        <v>1</v>
      </c>
      <c r="S897" s="308">
        <f>+Table227[[#This Row],[Proj To Date
Actuals]]*1.02^R897</f>
        <v>192882.85680000001</v>
      </c>
    </row>
    <row r="898" spans="1:19" x14ac:dyDescent="0.25">
      <c r="A898" s="476" t="s">
        <v>1576</v>
      </c>
      <c r="B898" s="475" t="s">
        <v>4204</v>
      </c>
      <c r="C898" s="422" t="e">
        <f>VLOOKUP(B898,'Matter &amp; CI#'!$D$4:$E$595,2,FALSE)</f>
        <v>#N/A</v>
      </c>
      <c r="D898" s="476" t="s">
        <v>1577</v>
      </c>
      <c r="E898" s="476" t="s">
        <v>34</v>
      </c>
      <c r="F898" s="476" t="s">
        <v>24</v>
      </c>
      <c r="G898" s="475" t="s">
        <v>2013</v>
      </c>
      <c r="H898" s="516"/>
      <c r="I898" s="477" t="s">
        <v>5</v>
      </c>
      <c r="J898" s="476" t="s">
        <v>6</v>
      </c>
      <c r="K898" s="476" t="s">
        <v>28</v>
      </c>
      <c r="L898" s="184">
        <v>43830</v>
      </c>
      <c r="N898" s="480">
        <v>193091.94</v>
      </c>
      <c r="O898" s="478" t="str">
        <f>IFERROR(VLOOKUP(A898,[1]Approval!A:C,3,FALSE),"")</f>
        <v/>
      </c>
      <c r="P898" s="184" t="str">
        <f>IFERROR(VLOOKUP(A898,[1]Approval!A:J,10,FALSE),"")</f>
        <v/>
      </c>
      <c r="R898" s="425">
        <f>2020-YEAR(Table227[[#This Row],[In-
Service
Date]])</f>
        <v>1</v>
      </c>
      <c r="S898" s="308">
        <f>+Table227[[#This Row],[Proj To Date
Actuals]]*1.02^R898</f>
        <v>196953.7788</v>
      </c>
    </row>
    <row r="899" spans="1:19" x14ac:dyDescent="0.25">
      <c r="A899" s="476" t="s">
        <v>1734</v>
      </c>
      <c r="B899" s="475" t="s">
        <v>1734</v>
      </c>
      <c r="C899" s="422" t="e">
        <f>VLOOKUP(B899,'Matter &amp; CI#'!$D$4:$E$595,2,FALSE)</f>
        <v>#N/A</v>
      </c>
      <c r="D899" s="476" t="s">
        <v>1735</v>
      </c>
      <c r="E899" s="476" t="s">
        <v>42</v>
      </c>
      <c r="F899" s="476" t="s">
        <v>24</v>
      </c>
      <c r="G899" s="475" t="s">
        <v>2013</v>
      </c>
      <c r="H899" s="516"/>
      <c r="I899" s="477" t="s">
        <v>5</v>
      </c>
      <c r="J899" s="476" t="s">
        <v>6</v>
      </c>
      <c r="K899" s="476" t="s">
        <v>28</v>
      </c>
      <c r="L899" s="184">
        <v>43830</v>
      </c>
      <c r="N899" s="480">
        <v>640937.21</v>
      </c>
      <c r="O899" s="478" t="str">
        <f>IFERROR(VLOOKUP(A899,[1]Approval!A:C,3,FALSE),"")</f>
        <v/>
      </c>
      <c r="P899" s="184" t="str">
        <f>IFERROR(VLOOKUP(A899,[1]Approval!A:J,10,FALSE),"")</f>
        <v/>
      </c>
      <c r="R899" s="425">
        <f>2020-YEAR(Table227[[#This Row],[In-
Service
Date]])</f>
        <v>1</v>
      </c>
      <c r="S899" s="308">
        <f>+Table227[[#This Row],[Proj To Date
Actuals]]*1.02^R899</f>
        <v>653755.95419999992</v>
      </c>
    </row>
    <row r="900" spans="1:19" x14ac:dyDescent="0.25">
      <c r="A900" s="476" t="s">
        <v>244</v>
      </c>
      <c r="B900" s="475" t="s">
        <v>244</v>
      </c>
      <c r="C900" s="422" t="e">
        <f>VLOOKUP(B900,'Matter &amp; CI#'!$D$4:$E$595,2,FALSE)</f>
        <v>#N/A</v>
      </c>
      <c r="D900" s="476" t="s">
        <v>245</v>
      </c>
      <c r="E900" s="476" t="s">
        <v>42</v>
      </c>
      <c r="F900" s="476" t="s">
        <v>24</v>
      </c>
      <c r="G900" s="475" t="s">
        <v>2013</v>
      </c>
      <c r="H900" s="516"/>
      <c r="I900" s="477" t="s">
        <v>5</v>
      </c>
      <c r="J900" s="476" t="s">
        <v>6</v>
      </c>
      <c r="K900" s="476" t="s">
        <v>28</v>
      </c>
      <c r="L900" s="184">
        <v>43830</v>
      </c>
      <c r="N900" s="480">
        <v>1801928.99</v>
      </c>
      <c r="O900" s="478" t="str">
        <f>IFERROR(VLOOKUP(A900,[1]Approval!A:C,3,FALSE),"")</f>
        <v/>
      </c>
      <c r="P900" s="184" t="str">
        <f>IFERROR(VLOOKUP(A900,[1]Approval!A:J,10,FALSE),"")</f>
        <v/>
      </c>
      <c r="R900" s="425">
        <f>2020-YEAR(Table227[[#This Row],[In-
Service
Date]])</f>
        <v>1</v>
      </c>
      <c r="S900" s="308">
        <f>+Table227[[#This Row],[Proj To Date
Actuals]]*1.02^R900</f>
        <v>1837967.5697999999</v>
      </c>
    </row>
    <row r="901" spans="1:19" x14ac:dyDescent="0.25">
      <c r="A901" s="476" t="s">
        <v>3794</v>
      </c>
      <c r="B901" s="475" t="s">
        <v>3794</v>
      </c>
      <c r="C901" s="422" t="e">
        <f>VLOOKUP(B901,'Matter &amp; CI#'!$D$4:$E$595,2,FALSE)</f>
        <v>#N/A</v>
      </c>
      <c r="D901" s="476" t="s">
        <v>3795</v>
      </c>
      <c r="E901" s="476" t="s">
        <v>34</v>
      </c>
      <c r="F901" s="476" t="s">
        <v>24</v>
      </c>
      <c r="G901" s="484" t="s">
        <v>2013</v>
      </c>
      <c r="H901" s="517"/>
      <c r="I901" s="477" t="s">
        <v>5</v>
      </c>
      <c r="J901" s="476" t="s">
        <v>25</v>
      </c>
      <c r="K901" s="476" t="s">
        <v>28</v>
      </c>
      <c r="L901" s="184">
        <v>43831</v>
      </c>
      <c r="N901" s="480">
        <v>30061.06</v>
      </c>
      <c r="O901" s="478" t="str">
        <f>IFERROR(VLOOKUP(A901,[1]Approval!A:C,3,FALSE),"")</f>
        <v/>
      </c>
      <c r="P901" s="184" t="str">
        <f>IFERROR(VLOOKUP(A901,[1]Approval!A:J,10,FALSE),"")</f>
        <v/>
      </c>
      <c r="R901" s="425">
        <f>2020-YEAR(Table227[[#This Row],[In-
Service
Date]])</f>
        <v>0</v>
      </c>
      <c r="S901" s="308">
        <f>+Table227[[#This Row],[Proj To Date
Actuals]]*1.02^R901</f>
        <v>30061.06</v>
      </c>
    </row>
    <row r="902" spans="1:19" x14ac:dyDescent="0.25">
      <c r="A902" s="476" t="s">
        <v>3821</v>
      </c>
      <c r="B902" s="475" t="s">
        <v>3821</v>
      </c>
      <c r="C902" s="422" t="e">
        <f>VLOOKUP(B902,'Matter &amp; CI#'!$D$4:$E$595,2,FALSE)</f>
        <v>#N/A</v>
      </c>
      <c r="D902" s="476" t="s">
        <v>3822</v>
      </c>
      <c r="E902" s="476" t="s">
        <v>34</v>
      </c>
      <c r="F902" s="476" t="s">
        <v>24</v>
      </c>
      <c r="G902" s="484" t="s">
        <v>2013</v>
      </c>
      <c r="H902" s="517"/>
      <c r="I902" s="477" t="s">
        <v>5</v>
      </c>
      <c r="J902" s="476" t="s">
        <v>25</v>
      </c>
      <c r="K902" s="476" t="s">
        <v>28</v>
      </c>
      <c r="L902" s="184">
        <v>43831</v>
      </c>
      <c r="N902" s="480">
        <v>111821.62</v>
      </c>
      <c r="O902" s="478" t="str">
        <f>IFERROR(VLOOKUP(A902,[1]Approval!A:C,3,FALSE),"")</f>
        <v/>
      </c>
      <c r="P902" s="184" t="str">
        <f>IFERROR(VLOOKUP(A902,[1]Approval!A:J,10,FALSE),"")</f>
        <v/>
      </c>
      <c r="R902" s="425">
        <f>2020-YEAR(Table227[[#This Row],[In-
Service
Date]])</f>
        <v>0</v>
      </c>
      <c r="S902" s="308">
        <f>+Table227[[#This Row],[Proj To Date
Actuals]]*1.02^R902</f>
        <v>111821.62</v>
      </c>
    </row>
    <row r="903" spans="1:19" x14ac:dyDescent="0.25">
      <c r="A903" s="476" t="s">
        <v>3682</v>
      </c>
      <c r="B903" s="475" t="s">
        <v>3682</v>
      </c>
      <c r="C903" s="422" t="e">
        <f>VLOOKUP(B903,'Matter &amp; CI#'!$D$4:$E$595,2,FALSE)</f>
        <v>#N/A</v>
      </c>
      <c r="D903" s="476" t="s">
        <v>3683</v>
      </c>
      <c r="E903" s="476" t="s">
        <v>34</v>
      </c>
      <c r="F903" s="476" t="s">
        <v>24</v>
      </c>
      <c r="G903" s="484" t="s">
        <v>2013</v>
      </c>
      <c r="H903" s="517"/>
      <c r="I903" s="477" t="s">
        <v>5</v>
      </c>
      <c r="J903" s="476" t="s">
        <v>25</v>
      </c>
      <c r="K903" s="476" t="s">
        <v>28</v>
      </c>
      <c r="L903" s="184">
        <v>43831</v>
      </c>
      <c r="N903" s="480">
        <v>20314.919999999998</v>
      </c>
      <c r="O903" s="478" t="str">
        <f>IFERROR(VLOOKUP(A903,[1]Approval!A:C,3,FALSE),"")</f>
        <v/>
      </c>
      <c r="P903" s="184" t="str">
        <f>IFERROR(VLOOKUP(A903,[1]Approval!A:J,10,FALSE),"")</f>
        <v/>
      </c>
      <c r="R903" s="425">
        <f>2020-YEAR(Table227[[#This Row],[In-
Service
Date]])</f>
        <v>0</v>
      </c>
      <c r="S903" s="308">
        <f>+Table227[[#This Row],[Proj To Date
Actuals]]*1.02^R903</f>
        <v>20314.919999999998</v>
      </c>
    </row>
    <row r="904" spans="1:19" x14ac:dyDescent="0.25">
      <c r="A904" s="476" t="s">
        <v>3782</v>
      </c>
      <c r="B904" s="475" t="s">
        <v>3782</v>
      </c>
      <c r="C904" s="422" t="e">
        <f>VLOOKUP(B904,'Matter &amp; CI#'!$D$4:$E$595,2,FALSE)</f>
        <v>#N/A</v>
      </c>
      <c r="D904" s="476" t="s">
        <v>3783</v>
      </c>
      <c r="E904" s="476" t="s">
        <v>34</v>
      </c>
      <c r="F904" s="476" t="s">
        <v>24</v>
      </c>
      <c r="G904" s="484" t="s">
        <v>2013</v>
      </c>
      <c r="H904" s="517"/>
      <c r="I904" s="477" t="s">
        <v>5</v>
      </c>
      <c r="J904" s="476" t="s">
        <v>25</v>
      </c>
      <c r="K904" s="476" t="s">
        <v>28</v>
      </c>
      <c r="L904" s="184">
        <v>43831</v>
      </c>
      <c r="N904" s="480">
        <v>17855.03</v>
      </c>
      <c r="O904" s="478" t="str">
        <f>IFERROR(VLOOKUP(A904,[1]Approval!A:C,3,FALSE),"")</f>
        <v/>
      </c>
      <c r="P904" s="184" t="str">
        <f>IFERROR(VLOOKUP(A904,[1]Approval!A:J,10,FALSE),"")</f>
        <v/>
      </c>
      <c r="R904" s="425">
        <f>2020-YEAR(Table227[[#This Row],[In-
Service
Date]])</f>
        <v>0</v>
      </c>
      <c r="S904" s="308">
        <f>+Table227[[#This Row],[Proj To Date
Actuals]]*1.02^R904</f>
        <v>17855.03</v>
      </c>
    </row>
    <row r="905" spans="1:19" x14ac:dyDescent="0.25">
      <c r="A905" s="476" t="s">
        <v>3770</v>
      </c>
      <c r="B905" s="475" t="s">
        <v>3770</v>
      </c>
      <c r="C905" s="422" t="e">
        <f>VLOOKUP(B905,'Matter &amp; CI#'!$D$4:$E$595,2,FALSE)</f>
        <v>#N/A</v>
      </c>
      <c r="D905" s="476" t="s">
        <v>3771</v>
      </c>
      <c r="E905" s="476" t="s">
        <v>34</v>
      </c>
      <c r="F905" s="476" t="s">
        <v>24</v>
      </c>
      <c r="G905" s="484" t="s">
        <v>2013</v>
      </c>
      <c r="H905" s="517"/>
      <c r="I905" s="477" t="s">
        <v>5</v>
      </c>
      <c r="J905" s="476" t="s">
        <v>195</v>
      </c>
      <c r="K905" s="476" t="s">
        <v>28</v>
      </c>
      <c r="L905" s="184">
        <v>43831</v>
      </c>
      <c r="N905" s="480">
        <v>58417.61</v>
      </c>
      <c r="O905" s="478" t="str">
        <f>IFERROR(VLOOKUP(A905,[1]Approval!A:C,3,FALSE),"")</f>
        <v/>
      </c>
      <c r="P905" s="184" t="str">
        <f>IFERROR(VLOOKUP(A905,[1]Approval!A:J,10,FALSE),"")</f>
        <v/>
      </c>
      <c r="R905" s="425">
        <f>2020-YEAR(Table227[[#This Row],[In-
Service
Date]])</f>
        <v>0</v>
      </c>
      <c r="S905" s="308">
        <f>+Table227[[#This Row],[Proj To Date
Actuals]]*1.02^R905</f>
        <v>58417.61</v>
      </c>
    </row>
    <row r="906" spans="1:19" x14ac:dyDescent="0.25">
      <c r="A906" s="476" t="s">
        <v>3800</v>
      </c>
      <c r="B906" s="475" t="s">
        <v>3800</v>
      </c>
      <c r="C906" s="422" t="e">
        <f>VLOOKUP(B906,'Matter &amp; CI#'!$D$4:$E$595,2,FALSE)</f>
        <v>#N/A</v>
      </c>
      <c r="D906" s="476" t="s">
        <v>3801</v>
      </c>
      <c r="E906" s="476" t="s">
        <v>34</v>
      </c>
      <c r="F906" s="476" t="s">
        <v>24</v>
      </c>
      <c r="G906" s="484" t="s">
        <v>2013</v>
      </c>
      <c r="H906" s="517"/>
      <c r="I906" s="477" t="s">
        <v>5</v>
      </c>
      <c r="J906" s="476" t="s">
        <v>195</v>
      </c>
      <c r="K906" s="476" t="s">
        <v>28</v>
      </c>
      <c r="L906" s="184">
        <v>43831</v>
      </c>
      <c r="N906" s="480">
        <v>79990.11</v>
      </c>
      <c r="O906" s="478" t="str">
        <f>IFERROR(VLOOKUP(A906,[1]Approval!A:C,3,FALSE),"")</f>
        <v/>
      </c>
      <c r="P906" s="184" t="str">
        <f>IFERROR(VLOOKUP(A906,[1]Approval!A:J,10,FALSE),"")</f>
        <v/>
      </c>
      <c r="R906" s="425">
        <f>2020-YEAR(Table227[[#This Row],[In-
Service
Date]])</f>
        <v>0</v>
      </c>
      <c r="S906" s="308">
        <f>+Table227[[#This Row],[Proj To Date
Actuals]]*1.02^R906</f>
        <v>79990.11</v>
      </c>
    </row>
    <row r="907" spans="1:19" x14ac:dyDescent="0.25">
      <c r="A907" s="476" t="s">
        <v>3792</v>
      </c>
      <c r="B907" s="475" t="s">
        <v>3792</v>
      </c>
      <c r="C907" s="422" t="e">
        <f>VLOOKUP(B907,'Matter &amp; CI#'!$D$4:$E$595,2,FALSE)</f>
        <v>#N/A</v>
      </c>
      <c r="D907" s="476" t="s">
        <v>3793</v>
      </c>
      <c r="E907" s="476" t="s">
        <v>34</v>
      </c>
      <c r="F907" s="476" t="s">
        <v>24</v>
      </c>
      <c r="G907" s="484" t="s">
        <v>2013</v>
      </c>
      <c r="H907" s="517"/>
      <c r="I907" s="477" t="s">
        <v>5</v>
      </c>
      <c r="J907" s="476" t="s">
        <v>6</v>
      </c>
      <c r="K907" s="476" t="s">
        <v>28</v>
      </c>
      <c r="L907" s="184">
        <v>43860</v>
      </c>
      <c r="N907" s="480">
        <v>731771.15</v>
      </c>
      <c r="O907" s="478" t="str">
        <f>IFERROR(VLOOKUP(A907,[1]Approval!A:C,3,FALSE),"")</f>
        <v/>
      </c>
      <c r="P907" s="184" t="str">
        <f>IFERROR(VLOOKUP(A907,[1]Approval!A:J,10,FALSE),"")</f>
        <v/>
      </c>
      <c r="R907" s="425">
        <f>2020-YEAR(Table227[[#This Row],[In-
Service
Date]])</f>
        <v>0</v>
      </c>
      <c r="S907" s="308">
        <f>+Table227[[#This Row],[Proj To Date
Actuals]]*1.02^R907</f>
        <v>731771.15</v>
      </c>
    </row>
    <row r="908" spans="1:19" x14ac:dyDescent="0.25">
      <c r="A908" s="476" t="s">
        <v>3853</v>
      </c>
      <c r="B908" s="475" t="s">
        <v>3853</v>
      </c>
      <c r="C908" s="422" t="e">
        <f>VLOOKUP(B908,'Matter &amp; CI#'!$D$4:$E$595,2,FALSE)</f>
        <v>#N/A</v>
      </c>
      <c r="D908" s="476" t="s">
        <v>3854</v>
      </c>
      <c r="E908" s="476" t="s">
        <v>42</v>
      </c>
      <c r="F908" s="476" t="s">
        <v>24</v>
      </c>
      <c r="G908" s="484" t="s">
        <v>2013</v>
      </c>
      <c r="H908" s="517"/>
      <c r="I908" s="477" t="s">
        <v>5</v>
      </c>
      <c r="J908" s="476" t="s">
        <v>6</v>
      </c>
      <c r="K908" s="476" t="s">
        <v>28</v>
      </c>
      <c r="L908" s="184">
        <v>43861</v>
      </c>
      <c r="N908" s="480">
        <v>1665120.08</v>
      </c>
      <c r="O908" s="478" t="str">
        <f>IFERROR(VLOOKUP(A908,[1]Approval!A:C,3,FALSE),"")</f>
        <v/>
      </c>
      <c r="P908" s="184" t="str">
        <f>IFERROR(VLOOKUP(A908,[1]Approval!A:J,10,FALSE),"")</f>
        <v/>
      </c>
      <c r="R908" s="425">
        <f>2020-YEAR(Table227[[#This Row],[In-
Service
Date]])</f>
        <v>0</v>
      </c>
      <c r="S908" s="308">
        <f>+Table227[[#This Row],[Proj To Date
Actuals]]*1.02^R908</f>
        <v>1665120.08</v>
      </c>
    </row>
    <row r="909" spans="1:19" x14ac:dyDescent="0.25">
      <c r="A909" s="476" t="s">
        <v>3819</v>
      </c>
      <c r="B909" s="475" t="s">
        <v>3819</v>
      </c>
      <c r="C909" s="422" t="e">
        <f>VLOOKUP(B909,'Matter &amp; CI#'!$D$4:$E$595,2,FALSE)</f>
        <v>#N/A</v>
      </c>
      <c r="D909" s="476" t="s">
        <v>3820</v>
      </c>
      <c r="E909" s="476" t="s">
        <v>89</v>
      </c>
      <c r="F909" s="476" t="s">
        <v>24</v>
      </c>
      <c r="G909" s="484" t="s">
        <v>2013</v>
      </c>
      <c r="H909" s="517"/>
      <c r="I909" s="477" t="s">
        <v>5</v>
      </c>
      <c r="J909" s="476" t="s">
        <v>6</v>
      </c>
      <c r="K909" s="476" t="s">
        <v>28</v>
      </c>
      <c r="L909" s="184">
        <v>43861</v>
      </c>
      <c r="N909" s="480">
        <v>2184117.83</v>
      </c>
      <c r="O909" s="478" t="str">
        <f>IFERROR(VLOOKUP(A909,[1]Approval!A:C,3,FALSE),"")</f>
        <v/>
      </c>
      <c r="P909" s="184" t="str">
        <f>IFERROR(VLOOKUP(A909,[1]Approval!A:J,10,FALSE),"")</f>
        <v/>
      </c>
      <c r="R909" s="425">
        <f>2020-YEAR(Table227[[#This Row],[In-
Service
Date]])</f>
        <v>0</v>
      </c>
      <c r="S909" s="308">
        <f>+Table227[[#This Row],[Proj To Date
Actuals]]*1.02^R909</f>
        <v>2184117.83</v>
      </c>
    </row>
    <row r="910" spans="1:19" x14ac:dyDescent="0.25">
      <c r="A910" s="476" t="s">
        <v>3855</v>
      </c>
      <c r="B910" s="475" t="s">
        <v>3855</v>
      </c>
      <c r="C910" s="422" t="e">
        <f>VLOOKUP(B910,'Matter &amp; CI#'!$D$4:$E$595,2,FALSE)</f>
        <v>#N/A</v>
      </c>
      <c r="D910" s="476" t="s">
        <v>3856</v>
      </c>
      <c r="E910" s="476" t="s">
        <v>34</v>
      </c>
      <c r="F910" s="476" t="s">
        <v>24</v>
      </c>
      <c r="G910" s="484" t="s">
        <v>2013</v>
      </c>
      <c r="H910" s="517"/>
      <c r="I910" s="477" t="s">
        <v>5</v>
      </c>
      <c r="J910" s="476" t="s">
        <v>25</v>
      </c>
      <c r="K910" s="476" t="s">
        <v>28</v>
      </c>
      <c r="L910" s="184">
        <v>43891</v>
      </c>
      <c r="N910" s="480">
        <v>232149.6</v>
      </c>
      <c r="O910" s="478" t="str">
        <f>IFERROR(VLOOKUP(A910,[1]Approval!A:C,3,FALSE),"")</f>
        <v/>
      </c>
      <c r="P910" s="184" t="str">
        <f>IFERROR(VLOOKUP(A910,[1]Approval!A:J,10,FALSE),"")</f>
        <v/>
      </c>
      <c r="R910" s="425">
        <f>2020-YEAR(Table227[[#This Row],[In-
Service
Date]])</f>
        <v>0</v>
      </c>
      <c r="S910" s="308">
        <f>+Table227[[#This Row],[Proj To Date
Actuals]]*1.02^R910</f>
        <v>232149.6</v>
      </c>
    </row>
    <row r="911" spans="1:19" x14ac:dyDescent="0.25">
      <c r="A911" s="476" t="s">
        <v>3772</v>
      </c>
      <c r="B911" s="475" t="s">
        <v>3772</v>
      </c>
      <c r="C911" s="422" t="e">
        <f>VLOOKUP(B911,'Matter &amp; CI#'!$D$4:$E$595,2,FALSE)</f>
        <v>#N/A</v>
      </c>
      <c r="D911" s="476" t="s">
        <v>3773</v>
      </c>
      <c r="E911" s="476" t="s">
        <v>34</v>
      </c>
      <c r="F911" s="476" t="s">
        <v>24</v>
      </c>
      <c r="G911" s="484" t="s">
        <v>2013</v>
      </c>
      <c r="H911" s="517"/>
      <c r="I911" s="477" t="s">
        <v>5</v>
      </c>
      <c r="J911" s="476" t="s">
        <v>25</v>
      </c>
      <c r="K911" s="476" t="s">
        <v>28</v>
      </c>
      <c r="L911" s="184">
        <v>43944</v>
      </c>
      <c r="N911" s="480">
        <v>180314.78</v>
      </c>
      <c r="O911" s="478" t="str">
        <f>IFERROR(VLOOKUP(A911,[1]Approval!A:C,3,FALSE),"")</f>
        <v/>
      </c>
      <c r="P911" s="184" t="str">
        <f>IFERROR(VLOOKUP(A911,[1]Approval!A:J,10,FALSE),"")</f>
        <v/>
      </c>
      <c r="R911" s="425">
        <f>2020-YEAR(Table227[[#This Row],[In-
Service
Date]])</f>
        <v>0</v>
      </c>
      <c r="S911" s="308">
        <f>+Table227[[#This Row],[Proj To Date
Actuals]]*1.02^R911</f>
        <v>180314.78</v>
      </c>
    </row>
    <row r="912" spans="1:19" x14ac:dyDescent="0.25">
      <c r="A912" s="476" t="s">
        <v>3708</v>
      </c>
      <c r="B912" s="475" t="s">
        <v>3708</v>
      </c>
      <c r="C912" s="422" t="e">
        <f>VLOOKUP(B912,'Matter &amp; CI#'!$D$4:$E$595,2,FALSE)</f>
        <v>#N/A</v>
      </c>
      <c r="D912" s="476" t="s">
        <v>3709</v>
      </c>
      <c r="E912" s="476" t="s">
        <v>34</v>
      </c>
      <c r="F912" s="476" t="s">
        <v>24</v>
      </c>
      <c r="G912" s="484" t="s">
        <v>2013</v>
      </c>
      <c r="H912" s="517"/>
      <c r="I912" s="477" t="s">
        <v>5</v>
      </c>
      <c r="J912" s="476" t="s">
        <v>6</v>
      </c>
      <c r="K912" s="476" t="s">
        <v>28</v>
      </c>
      <c r="L912" s="184">
        <v>43951</v>
      </c>
      <c r="N912" s="480">
        <v>3813043.18</v>
      </c>
      <c r="O912" s="478" t="str">
        <f>IFERROR(VLOOKUP(A912,[1]Approval!A:C,3,FALSE),"")</f>
        <v/>
      </c>
      <c r="P912" s="184" t="str">
        <f>IFERROR(VLOOKUP(A912,[1]Approval!A:J,10,FALSE),"")</f>
        <v/>
      </c>
      <c r="R912" s="425">
        <f>2020-YEAR(Table227[[#This Row],[In-
Service
Date]])</f>
        <v>0</v>
      </c>
      <c r="S912" s="308">
        <f>+Table227[[#This Row],[Proj To Date
Actuals]]*1.02^R912</f>
        <v>3813043.18</v>
      </c>
    </row>
    <row r="913" spans="1:19" x14ac:dyDescent="0.25">
      <c r="A913" s="476" t="s">
        <v>3815</v>
      </c>
      <c r="B913" s="475" t="s">
        <v>3815</v>
      </c>
      <c r="C913" s="422" t="str">
        <f>VLOOKUP(B913,'Matter &amp; CI#'!$D$4:$E$595,2,FALSE)</f>
        <v>M09710</v>
      </c>
      <c r="D913" s="476" t="s">
        <v>3816</v>
      </c>
      <c r="E913" s="476" t="s">
        <v>34</v>
      </c>
      <c r="F913" s="476" t="s">
        <v>24</v>
      </c>
      <c r="G913" s="484" t="s">
        <v>2013</v>
      </c>
      <c r="H913" s="517" t="s">
        <v>4838</v>
      </c>
      <c r="I913" s="477" t="s">
        <v>5</v>
      </c>
      <c r="J913" s="476" t="s">
        <v>6</v>
      </c>
      <c r="K913" s="476" t="s">
        <v>28</v>
      </c>
      <c r="L913" s="184">
        <v>43951</v>
      </c>
      <c r="N913" s="480">
        <v>2689746.44</v>
      </c>
      <c r="O913" s="478" t="str">
        <f>IFERROR(VLOOKUP(A913,[1]Approval!A:C,3,FALSE),"")</f>
        <v/>
      </c>
      <c r="P913" s="184" t="str">
        <f>IFERROR(VLOOKUP(A913,[1]Approval!A:J,10,FALSE),"")</f>
        <v/>
      </c>
      <c r="R913" s="425">
        <f>2020-YEAR(Table227[[#This Row],[In-
Service
Date]])</f>
        <v>0</v>
      </c>
      <c r="S913" s="308">
        <f>+Table227[[#This Row],[Proj To Date
Actuals]]*1.02^R913</f>
        <v>2689746.44</v>
      </c>
    </row>
    <row r="914" spans="1:19" x14ac:dyDescent="0.25">
      <c r="A914" s="476" t="s">
        <v>3696</v>
      </c>
      <c r="B914" s="475" t="s">
        <v>4568</v>
      </c>
      <c r="C914" s="422" t="e">
        <f>VLOOKUP(B914,'Matter &amp; CI#'!$D$4:$E$595,2,FALSE)</f>
        <v>#N/A</v>
      </c>
      <c r="D914" s="476" t="s">
        <v>3697</v>
      </c>
      <c r="E914" s="476" t="s">
        <v>42</v>
      </c>
      <c r="F914" s="476" t="s">
        <v>24</v>
      </c>
      <c r="G914" s="484" t="s">
        <v>2013</v>
      </c>
      <c r="H914" s="517"/>
      <c r="I914" s="477" t="s">
        <v>5</v>
      </c>
      <c r="J914" s="476" t="s">
        <v>6</v>
      </c>
      <c r="K914" s="476" t="s">
        <v>28</v>
      </c>
      <c r="L914" s="184">
        <v>43982</v>
      </c>
      <c r="N914" s="480">
        <v>755352.19</v>
      </c>
      <c r="O914" s="478" t="str">
        <f>IFERROR(VLOOKUP(A914,[1]Approval!A:C,3,FALSE),"")</f>
        <v/>
      </c>
      <c r="P914" s="184" t="str">
        <f>IFERROR(VLOOKUP(A914,[1]Approval!A:J,10,FALSE),"")</f>
        <v/>
      </c>
      <c r="R914" s="425">
        <f>2020-YEAR(Table227[[#This Row],[In-
Service
Date]])</f>
        <v>0</v>
      </c>
      <c r="S914" s="308">
        <f>+Table227[[#This Row],[Proj To Date
Actuals]]*1.02^R914</f>
        <v>755352.19</v>
      </c>
    </row>
    <row r="915" spans="1:19" x14ac:dyDescent="0.25">
      <c r="A915" s="476" t="s">
        <v>3813</v>
      </c>
      <c r="B915" s="475" t="s">
        <v>3813</v>
      </c>
      <c r="C915" s="422" t="e">
        <f>VLOOKUP(B915,'Matter &amp; CI#'!$D$4:$E$595,2,FALSE)</f>
        <v>#N/A</v>
      </c>
      <c r="D915" s="476" t="s">
        <v>3814</v>
      </c>
      <c r="E915" s="476" t="s">
        <v>42</v>
      </c>
      <c r="F915" s="476" t="s">
        <v>24</v>
      </c>
      <c r="G915" s="484" t="s">
        <v>2013</v>
      </c>
      <c r="H915" s="517"/>
      <c r="I915" s="477" t="s">
        <v>5</v>
      </c>
      <c r="J915" s="476" t="s">
        <v>6</v>
      </c>
      <c r="K915" s="476" t="s">
        <v>28</v>
      </c>
      <c r="L915" s="184">
        <v>44012</v>
      </c>
      <c r="N915" s="480">
        <v>1800710</v>
      </c>
      <c r="O915" s="478" t="str">
        <f>IFERROR(VLOOKUP(A915,[1]Approval!A:C,3,FALSE),"")</f>
        <v/>
      </c>
      <c r="P915" s="184" t="str">
        <f>IFERROR(VLOOKUP(A915,[1]Approval!A:J,10,FALSE),"")</f>
        <v/>
      </c>
      <c r="R915" s="425">
        <f>2020-YEAR(Table227[[#This Row],[In-
Service
Date]])</f>
        <v>0</v>
      </c>
      <c r="S915" s="308">
        <f>+Table227[[#This Row],[Proj To Date
Actuals]]*1.02^R915</f>
        <v>1800710</v>
      </c>
    </row>
    <row r="916" spans="1:19" x14ac:dyDescent="0.25">
      <c r="A916" s="476" t="s">
        <v>3720</v>
      </c>
      <c r="B916" s="475" t="s">
        <v>3720</v>
      </c>
      <c r="C916" s="422" t="e">
        <f>VLOOKUP(B916,'Matter &amp; CI#'!$D$4:$E$595,2,FALSE)</f>
        <v>#N/A</v>
      </c>
      <c r="D916" s="476" t="s">
        <v>3721</v>
      </c>
      <c r="E916" s="476" t="s">
        <v>42</v>
      </c>
      <c r="F916" s="476" t="s">
        <v>24</v>
      </c>
      <c r="G916" s="484" t="s">
        <v>2013</v>
      </c>
      <c r="H916" s="517"/>
      <c r="I916" s="477" t="s">
        <v>5</v>
      </c>
      <c r="J916" s="476" t="s">
        <v>6</v>
      </c>
      <c r="K916" s="476" t="s">
        <v>28</v>
      </c>
      <c r="L916" s="184">
        <v>44043</v>
      </c>
      <c r="N916" s="480">
        <v>478552.63</v>
      </c>
      <c r="O916" s="478" t="str">
        <f>IFERROR(VLOOKUP(A916,[1]Approval!A:C,3,FALSE),"")</f>
        <v/>
      </c>
      <c r="P916" s="184" t="str">
        <f>IFERROR(VLOOKUP(A916,[1]Approval!A:J,10,FALSE),"")</f>
        <v/>
      </c>
      <c r="R916" s="425">
        <f>2020-YEAR(Table227[[#This Row],[In-
Service
Date]])</f>
        <v>0</v>
      </c>
      <c r="S916" s="308">
        <f>+Table227[[#This Row],[Proj To Date
Actuals]]*1.02^R916</f>
        <v>478552.63</v>
      </c>
    </row>
    <row r="917" spans="1:19" x14ac:dyDescent="0.25">
      <c r="A917" s="476" t="s">
        <v>3754</v>
      </c>
      <c r="B917" s="475" t="s">
        <v>3754</v>
      </c>
      <c r="C917" s="422" t="e">
        <f>VLOOKUP(B917,'Matter &amp; CI#'!$D$4:$E$595,2,FALSE)</f>
        <v>#N/A</v>
      </c>
      <c r="D917" s="476" t="s">
        <v>3755</v>
      </c>
      <c r="E917" s="476" t="s">
        <v>34</v>
      </c>
      <c r="F917" s="476" t="s">
        <v>24</v>
      </c>
      <c r="G917" s="484" t="s">
        <v>2013</v>
      </c>
      <c r="H917" s="517"/>
      <c r="I917" s="477" t="s">
        <v>5</v>
      </c>
      <c r="J917" s="476" t="s">
        <v>25</v>
      </c>
      <c r="K917" s="476" t="s">
        <v>28</v>
      </c>
      <c r="L917" s="184">
        <v>44043</v>
      </c>
      <c r="N917" s="480">
        <v>134708.98000000001</v>
      </c>
      <c r="O917" s="478" t="str">
        <f>IFERROR(VLOOKUP(A917,[1]Approval!A:C,3,FALSE),"")</f>
        <v/>
      </c>
      <c r="P917" s="184" t="str">
        <f>IFERROR(VLOOKUP(A917,[1]Approval!A:J,10,FALSE),"")</f>
        <v/>
      </c>
      <c r="R917" s="425">
        <f>2020-YEAR(Table227[[#This Row],[In-
Service
Date]])</f>
        <v>0</v>
      </c>
      <c r="S917" s="308">
        <f>+Table227[[#This Row],[Proj To Date
Actuals]]*1.02^R917</f>
        <v>134708.98000000001</v>
      </c>
    </row>
    <row r="918" spans="1:19" x14ac:dyDescent="0.25">
      <c r="A918" s="476" t="s">
        <v>3671</v>
      </c>
      <c r="B918" s="475" t="s">
        <v>3671</v>
      </c>
      <c r="C918" s="422" t="e">
        <f>VLOOKUP(B918,'Matter &amp; CI#'!$D$4:$E$595,2,FALSE)</f>
        <v>#N/A</v>
      </c>
      <c r="D918" s="476" t="s">
        <v>3672</v>
      </c>
      <c r="E918" s="476" t="s">
        <v>34</v>
      </c>
      <c r="F918" s="476" t="s">
        <v>24</v>
      </c>
      <c r="G918" s="484" t="s">
        <v>2013</v>
      </c>
      <c r="H918" s="517"/>
      <c r="I918" s="477" t="s">
        <v>5</v>
      </c>
      <c r="J918" s="476" t="s">
        <v>6</v>
      </c>
      <c r="K918" s="476" t="s">
        <v>28</v>
      </c>
      <c r="L918" s="184">
        <v>44074</v>
      </c>
      <c r="N918" s="480">
        <v>29211.89</v>
      </c>
      <c r="O918" s="478" t="str">
        <f>IFERROR(VLOOKUP(A918,[1]Approval!A:C,3,FALSE),"")</f>
        <v/>
      </c>
      <c r="P918" s="184" t="str">
        <f>IFERROR(VLOOKUP(A918,[1]Approval!A:J,10,FALSE),"")</f>
        <v/>
      </c>
      <c r="R918" s="425">
        <f>2020-YEAR(Table227[[#This Row],[In-
Service
Date]])</f>
        <v>0</v>
      </c>
      <c r="S918" s="308">
        <f>+Table227[[#This Row],[Proj To Date
Actuals]]*1.02^R918</f>
        <v>29211.89</v>
      </c>
    </row>
    <row r="919" spans="1:19" x14ac:dyDescent="0.25">
      <c r="A919" s="476" t="s">
        <v>3776</v>
      </c>
      <c r="B919" s="475" t="s">
        <v>3776</v>
      </c>
      <c r="C919" s="422" t="e">
        <f>VLOOKUP(B919,'Matter &amp; CI#'!$D$4:$E$595,2,FALSE)</f>
        <v>#N/A</v>
      </c>
      <c r="D919" s="476" t="s">
        <v>3777</v>
      </c>
      <c r="E919" s="476" t="s">
        <v>42</v>
      </c>
      <c r="F919" s="476" t="s">
        <v>24</v>
      </c>
      <c r="G919" s="484" t="s">
        <v>2013</v>
      </c>
      <c r="H919" s="517"/>
      <c r="I919" s="477" t="s">
        <v>5</v>
      </c>
      <c r="J919" s="476" t="s">
        <v>29</v>
      </c>
      <c r="K919" s="476" t="s">
        <v>28</v>
      </c>
      <c r="L919" s="184">
        <v>44074</v>
      </c>
      <c r="N919" s="480">
        <v>72.89</v>
      </c>
      <c r="O919" s="478" t="str">
        <f>IFERROR(VLOOKUP(A919,[1]Approval!A:C,3,FALSE),"")</f>
        <v/>
      </c>
      <c r="P919" s="184" t="str">
        <f>IFERROR(VLOOKUP(A919,[1]Approval!A:J,10,FALSE),"")</f>
        <v/>
      </c>
      <c r="R919" s="425">
        <f>2020-YEAR(Table227[[#This Row],[In-
Service
Date]])</f>
        <v>0</v>
      </c>
      <c r="S919" s="308">
        <f>+Table227[[#This Row],[Proj To Date
Actuals]]*1.02^R919</f>
        <v>72.89</v>
      </c>
    </row>
    <row r="920" spans="1:19" x14ac:dyDescent="0.25">
      <c r="A920" s="476" t="s">
        <v>3806</v>
      </c>
      <c r="B920" s="475" t="s">
        <v>3806</v>
      </c>
      <c r="C920" s="422" t="e">
        <f>VLOOKUP(B920,'Matter &amp; CI#'!$D$4:$E$595,2,FALSE)</f>
        <v>#N/A</v>
      </c>
      <c r="D920" s="476" t="s">
        <v>3807</v>
      </c>
      <c r="E920" s="476" t="s">
        <v>34</v>
      </c>
      <c r="F920" s="476" t="s">
        <v>24</v>
      </c>
      <c r="G920" s="484" t="s">
        <v>2013</v>
      </c>
      <c r="H920" s="517"/>
      <c r="I920" s="477" t="s">
        <v>5</v>
      </c>
      <c r="J920" s="476" t="s">
        <v>6</v>
      </c>
      <c r="K920" s="476" t="s">
        <v>28</v>
      </c>
      <c r="L920" s="184">
        <v>44104</v>
      </c>
      <c r="N920" s="480">
        <v>311357.24</v>
      </c>
      <c r="O920" s="478" t="str">
        <f>IFERROR(VLOOKUP(A920,[1]Approval!A:C,3,FALSE),"")</f>
        <v/>
      </c>
      <c r="P920" s="184" t="str">
        <f>IFERROR(VLOOKUP(A920,[1]Approval!A:J,10,FALSE),"")</f>
        <v/>
      </c>
      <c r="R920" s="425">
        <f>2020-YEAR(Table227[[#This Row],[In-
Service
Date]])</f>
        <v>0</v>
      </c>
      <c r="S920" s="308">
        <f>+Table227[[#This Row],[Proj To Date
Actuals]]*1.02^R920</f>
        <v>311357.24</v>
      </c>
    </row>
    <row r="921" spans="1:19" x14ac:dyDescent="0.25">
      <c r="A921" s="476" t="s">
        <v>3762</v>
      </c>
      <c r="B921" s="475" t="s">
        <v>3762</v>
      </c>
      <c r="C921" s="422" t="e">
        <f>VLOOKUP(B921,'Matter &amp; CI#'!$D$4:$E$595,2,FALSE)</f>
        <v>#N/A</v>
      </c>
      <c r="D921" s="476" t="s">
        <v>3763</v>
      </c>
      <c r="E921" s="476" t="s">
        <v>34</v>
      </c>
      <c r="F921" s="476" t="s">
        <v>24</v>
      </c>
      <c r="G921" s="484" t="s">
        <v>2013</v>
      </c>
      <c r="H921" s="517"/>
      <c r="I921" s="477" t="s">
        <v>5</v>
      </c>
      <c r="J921" s="476" t="s">
        <v>6</v>
      </c>
      <c r="K921" s="476" t="s">
        <v>28</v>
      </c>
      <c r="L921" s="184">
        <v>44135</v>
      </c>
      <c r="N921" s="480">
        <v>197582.06</v>
      </c>
      <c r="O921" s="478" t="str">
        <f>IFERROR(VLOOKUP(A921,[1]Approval!A:C,3,FALSE),"")</f>
        <v/>
      </c>
      <c r="P921" s="184" t="str">
        <f>IFERROR(VLOOKUP(A921,[1]Approval!A:J,10,FALSE),"")</f>
        <v/>
      </c>
      <c r="R921" s="425">
        <f>2020-YEAR(Table227[[#This Row],[In-
Service
Date]])</f>
        <v>0</v>
      </c>
      <c r="S921" s="308">
        <f>+Table227[[#This Row],[Proj To Date
Actuals]]*1.02^R921</f>
        <v>197582.06</v>
      </c>
    </row>
    <row r="922" spans="1:19" x14ac:dyDescent="0.25">
      <c r="A922" s="476" t="s">
        <v>3702</v>
      </c>
      <c r="B922" s="475" t="s">
        <v>3702</v>
      </c>
      <c r="C922" s="422" t="e">
        <f>VLOOKUP(B922,'Matter &amp; CI#'!$D$4:$E$595,2,FALSE)</f>
        <v>#N/A</v>
      </c>
      <c r="D922" s="476" t="s">
        <v>3703</v>
      </c>
      <c r="E922" s="476" t="s">
        <v>34</v>
      </c>
      <c r="F922" s="476" t="s">
        <v>24</v>
      </c>
      <c r="G922" s="484" t="s">
        <v>2013</v>
      </c>
      <c r="H922" s="517"/>
      <c r="I922" s="477" t="s">
        <v>5</v>
      </c>
      <c r="J922" s="476" t="s">
        <v>6</v>
      </c>
      <c r="K922" s="476" t="s">
        <v>28</v>
      </c>
      <c r="L922" s="184">
        <v>44135</v>
      </c>
      <c r="N922" s="480">
        <v>45702.55</v>
      </c>
      <c r="O922" s="478" t="str">
        <f>IFERROR(VLOOKUP(A922,[1]Approval!A:C,3,FALSE),"")</f>
        <v/>
      </c>
      <c r="P922" s="184" t="str">
        <f>IFERROR(VLOOKUP(A922,[1]Approval!A:J,10,FALSE),"")</f>
        <v/>
      </c>
      <c r="R922" s="425">
        <f>2020-YEAR(Table227[[#This Row],[In-
Service
Date]])</f>
        <v>0</v>
      </c>
      <c r="S922" s="308">
        <f>+Table227[[#This Row],[Proj To Date
Actuals]]*1.02^R922</f>
        <v>45702.55</v>
      </c>
    </row>
    <row r="923" spans="1:19" x14ac:dyDescent="0.25">
      <c r="A923" s="476" t="s">
        <v>3843</v>
      </c>
      <c r="B923" s="475" t="s">
        <v>3843</v>
      </c>
      <c r="C923" s="422" t="e">
        <f>VLOOKUP(B923,'Matter &amp; CI#'!$D$4:$E$595,2,FALSE)</f>
        <v>#N/A</v>
      </c>
      <c r="D923" s="476" t="s">
        <v>3844</v>
      </c>
      <c r="E923" s="476" t="s">
        <v>34</v>
      </c>
      <c r="F923" s="476" t="s">
        <v>24</v>
      </c>
      <c r="G923" s="484" t="s">
        <v>2013</v>
      </c>
      <c r="H923" s="517"/>
      <c r="I923" s="477" t="s">
        <v>5</v>
      </c>
      <c r="J923" s="476" t="s">
        <v>6</v>
      </c>
      <c r="K923" s="476" t="s">
        <v>28</v>
      </c>
      <c r="L923" s="184">
        <v>44135</v>
      </c>
      <c r="N923" s="480">
        <v>1817888.66</v>
      </c>
      <c r="O923" s="478" t="str">
        <f>IFERROR(VLOOKUP(A923,[1]Approval!A:C,3,FALSE),"")</f>
        <v/>
      </c>
      <c r="P923" s="184" t="str">
        <f>IFERROR(VLOOKUP(A923,[1]Approval!A:J,10,FALSE),"")</f>
        <v/>
      </c>
      <c r="R923" s="425">
        <f>2020-YEAR(Table227[[#This Row],[In-
Service
Date]])</f>
        <v>0</v>
      </c>
      <c r="S923" s="308">
        <f>+Table227[[#This Row],[Proj To Date
Actuals]]*1.02^R923</f>
        <v>1817888.66</v>
      </c>
    </row>
    <row r="924" spans="1:19" x14ac:dyDescent="0.25">
      <c r="A924" s="476" t="s">
        <v>3700</v>
      </c>
      <c r="B924" s="475" t="s">
        <v>3700</v>
      </c>
      <c r="C924" s="422" t="e">
        <f>VLOOKUP(B924,'Matter &amp; CI#'!$D$4:$E$595,2,FALSE)</f>
        <v>#N/A</v>
      </c>
      <c r="D924" s="476" t="s">
        <v>3701</v>
      </c>
      <c r="E924" s="476" t="s">
        <v>34</v>
      </c>
      <c r="F924" s="476" t="s">
        <v>24</v>
      </c>
      <c r="G924" s="484" t="s">
        <v>2013</v>
      </c>
      <c r="H924" s="517" t="s">
        <v>4839</v>
      </c>
      <c r="I924" s="477" t="s">
        <v>5</v>
      </c>
      <c r="J924" s="476" t="s">
        <v>6</v>
      </c>
      <c r="K924" s="476" t="s">
        <v>28</v>
      </c>
      <c r="L924" s="184">
        <v>44165</v>
      </c>
      <c r="N924" s="480">
        <v>1503974.01</v>
      </c>
      <c r="O924" s="478" t="str">
        <f>IFERROR(VLOOKUP(A924,[1]Approval!A:C,3,FALSE),"")</f>
        <v/>
      </c>
      <c r="P924" s="184" t="str">
        <f>IFERROR(VLOOKUP(A924,[1]Approval!A:J,10,FALSE),"")</f>
        <v/>
      </c>
      <c r="R924" s="425">
        <f>2020-YEAR(Table227[[#This Row],[In-
Service
Date]])</f>
        <v>0</v>
      </c>
      <c r="S924" s="308">
        <f>+Table227[[#This Row],[Proj To Date
Actuals]]*1.02^R924</f>
        <v>1503974.01</v>
      </c>
    </row>
    <row r="925" spans="1:19" x14ac:dyDescent="0.25">
      <c r="A925" s="476" t="s">
        <v>3847</v>
      </c>
      <c r="B925" s="475" t="s">
        <v>3847</v>
      </c>
      <c r="C925" s="422" t="e">
        <f>VLOOKUP(B925,'Matter &amp; CI#'!$D$4:$E$595,2,FALSE)</f>
        <v>#N/A</v>
      </c>
      <c r="D925" s="476" t="s">
        <v>3848</v>
      </c>
      <c r="E925" s="476" t="s">
        <v>34</v>
      </c>
      <c r="F925" s="476" t="s">
        <v>24</v>
      </c>
      <c r="G925" s="484" t="s">
        <v>2013</v>
      </c>
      <c r="H925" s="517"/>
      <c r="I925" s="477" t="s">
        <v>5</v>
      </c>
      <c r="J925" s="476" t="s">
        <v>6</v>
      </c>
      <c r="K925" s="476" t="s">
        <v>28</v>
      </c>
      <c r="L925" s="184">
        <v>44165</v>
      </c>
      <c r="N925" s="480">
        <v>1505655.45</v>
      </c>
      <c r="O925" s="478" t="str">
        <f>IFERROR(VLOOKUP(A925,[1]Approval!A:C,3,FALSE),"")</f>
        <v/>
      </c>
      <c r="P925" s="184" t="str">
        <f>IFERROR(VLOOKUP(A925,[1]Approval!A:J,10,FALSE),"")</f>
        <v/>
      </c>
      <c r="R925" s="425">
        <f>2020-YEAR(Table227[[#This Row],[In-
Service
Date]])</f>
        <v>0</v>
      </c>
      <c r="S925" s="308">
        <f>+Table227[[#This Row],[Proj To Date
Actuals]]*1.02^R925</f>
        <v>1505655.45</v>
      </c>
    </row>
    <row r="926" spans="1:19" x14ac:dyDescent="0.25">
      <c r="A926" s="476" t="s">
        <v>3734</v>
      </c>
      <c r="B926" s="475" t="s">
        <v>3734</v>
      </c>
      <c r="C926" s="422" t="e">
        <f>VLOOKUP(B926,'Matter &amp; CI#'!$D$4:$E$595,2,FALSE)</f>
        <v>#N/A</v>
      </c>
      <c r="D926" s="476" t="s">
        <v>3735</v>
      </c>
      <c r="E926" s="476" t="s">
        <v>34</v>
      </c>
      <c r="F926" s="476" t="s">
        <v>24</v>
      </c>
      <c r="G926" s="484" t="s">
        <v>2013</v>
      </c>
      <c r="H926" s="517"/>
      <c r="I926" s="477" t="s">
        <v>5</v>
      </c>
      <c r="J926" s="476" t="s">
        <v>6</v>
      </c>
      <c r="K926" s="476" t="s">
        <v>28</v>
      </c>
      <c r="L926" s="184">
        <v>44165</v>
      </c>
      <c r="N926" s="480">
        <v>188372.57</v>
      </c>
      <c r="O926" s="478" t="str">
        <f>IFERROR(VLOOKUP(A926,[1]Approval!A:C,3,FALSE),"")</f>
        <v/>
      </c>
      <c r="P926" s="184" t="str">
        <f>IFERROR(VLOOKUP(A926,[1]Approval!A:J,10,FALSE),"")</f>
        <v/>
      </c>
      <c r="R926" s="425">
        <f>2020-YEAR(Table227[[#This Row],[In-
Service
Date]])</f>
        <v>0</v>
      </c>
      <c r="S926" s="308">
        <f>+Table227[[#This Row],[Proj To Date
Actuals]]*1.02^R926</f>
        <v>188372.57</v>
      </c>
    </row>
    <row r="927" spans="1:19" x14ac:dyDescent="0.25">
      <c r="A927" s="476" t="s">
        <v>3752</v>
      </c>
      <c r="B927" s="475" t="s">
        <v>3752</v>
      </c>
      <c r="C927" s="422" t="e">
        <f>VLOOKUP(B927,'Matter &amp; CI#'!$D$4:$E$595,2,FALSE)</f>
        <v>#N/A</v>
      </c>
      <c r="D927" s="476" t="s">
        <v>3753</v>
      </c>
      <c r="E927" s="476" t="s">
        <v>34</v>
      </c>
      <c r="F927" s="476" t="s">
        <v>24</v>
      </c>
      <c r="G927" s="484" t="s">
        <v>2013</v>
      </c>
      <c r="H927" s="517" t="s">
        <v>4840</v>
      </c>
      <c r="I927" s="477" t="s">
        <v>5</v>
      </c>
      <c r="J927" s="476" t="s">
        <v>6</v>
      </c>
      <c r="K927" s="476" t="s">
        <v>28</v>
      </c>
      <c r="L927" s="184">
        <v>44165</v>
      </c>
      <c r="N927" s="480">
        <v>1290193.3799999999</v>
      </c>
      <c r="O927" s="478" t="str">
        <f>IFERROR(VLOOKUP(A927,[1]Approval!A:C,3,FALSE),"")</f>
        <v/>
      </c>
      <c r="P927" s="184" t="str">
        <f>IFERROR(VLOOKUP(A927,[1]Approval!A:J,10,FALSE),"")</f>
        <v/>
      </c>
      <c r="R927" s="425">
        <f>2020-YEAR(Table227[[#This Row],[In-
Service
Date]])</f>
        <v>0</v>
      </c>
      <c r="S927" s="308">
        <f>+Table227[[#This Row],[Proj To Date
Actuals]]*1.02^R927</f>
        <v>1290193.3799999999</v>
      </c>
    </row>
    <row r="928" spans="1:19" x14ac:dyDescent="0.25">
      <c r="A928" s="476" t="s">
        <v>3760</v>
      </c>
      <c r="B928" s="475" t="s">
        <v>3760</v>
      </c>
      <c r="C928" s="422" t="e">
        <f>VLOOKUP(B928,'Matter &amp; CI#'!$D$4:$E$595,2,FALSE)</f>
        <v>#N/A</v>
      </c>
      <c r="D928" s="476" t="s">
        <v>3761</v>
      </c>
      <c r="E928" s="476" t="s">
        <v>34</v>
      </c>
      <c r="F928" s="476" t="s">
        <v>24</v>
      </c>
      <c r="G928" s="484" t="s">
        <v>2013</v>
      </c>
      <c r="H928" s="517"/>
      <c r="I928" s="477" t="s">
        <v>5</v>
      </c>
      <c r="J928" s="476" t="s">
        <v>6</v>
      </c>
      <c r="K928" s="476" t="s">
        <v>28</v>
      </c>
      <c r="L928" s="184">
        <v>44165</v>
      </c>
      <c r="N928" s="480">
        <v>721759.38</v>
      </c>
      <c r="O928" s="478" t="str">
        <f>IFERROR(VLOOKUP(A928,[1]Approval!A:C,3,FALSE),"")</f>
        <v/>
      </c>
      <c r="P928" s="184" t="str">
        <f>IFERROR(VLOOKUP(A928,[1]Approval!A:J,10,FALSE),"")</f>
        <v/>
      </c>
      <c r="R928" s="425">
        <f>2020-YEAR(Table227[[#This Row],[In-
Service
Date]])</f>
        <v>0</v>
      </c>
      <c r="S928" s="308">
        <f>+Table227[[#This Row],[Proj To Date
Actuals]]*1.02^R928</f>
        <v>721759.38</v>
      </c>
    </row>
    <row r="929" spans="1:19" x14ac:dyDescent="0.25">
      <c r="A929" s="476" t="s">
        <v>3788</v>
      </c>
      <c r="B929" s="475" t="s">
        <v>3788</v>
      </c>
      <c r="C929" s="422" t="e">
        <f>VLOOKUP(B929,'Matter &amp; CI#'!$D$4:$E$595,2,FALSE)</f>
        <v>#N/A</v>
      </c>
      <c r="D929" s="476" t="s">
        <v>3789</v>
      </c>
      <c r="E929" s="476" t="s">
        <v>34</v>
      </c>
      <c r="F929" s="476" t="s">
        <v>24</v>
      </c>
      <c r="G929" s="484" t="s">
        <v>2013</v>
      </c>
      <c r="H929" s="517"/>
      <c r="I929" s="477" t="s">
        <v>5</v>
      </c>
      <c r="J929" s="476" t="s">
        <v>6</v>
      </c>
      <c r="K929" s="476" t="s">
        <v>28</v>
      </c>
      <c r="L929" s="184">
        <v>44180</v>
      </c>
      <c r="N929" s="480">
        <v>275152.65000000002</v>
      </c>
      <c r="O929" s="478" t="str">
        <f>IFERROR(VLOOKUP(A929,[1]Approval!A:C,3,FALSE),"")</f>
        <v/>
      </c>
      <c r="P929" s="184" t="str">
        <f>IFERROR(VLOOKUP(A929,[1]Approval!A:J,10,FALSE),"")</f>
        <v/>
      </c>
      <c r="R929" s="425">
        <f>2020-YEAR(Table227[[#This Row],[In-
Service
Date]])</f>
        <v>0</v>
      </c>
      <c r="S929" s="308">
        <f>+Table227[[#This Row],[Proj To Date
Actuals]]*1.02^R929</f>
        <v>275152.65000000002</v>
      </c>
    </row>
    <row r="930" spans="1:19" x14ac:dyDescent="0.25">
      <c r="A930" s="476" t="s">
        <v>3874</v>
      </c>
      <c r="B930" s="475" t="s">
        <v>3874</v>
      </c>
      <c r="C930" s="422" t="e">
        <f>VLOOKUP(B930,'Matter &amp; CI#'!$D$4:$E$595,2,FALSE)</f>
        <v>#N/A</v>
      </c>
      <c r="D930" s="476" t="s">
        <v>3875</v>
      </c>
      <c r="E930" s="476" t="s">
        <v>42</v>
      </c>
      <c r="F930" s="476" t="s">
        <v>24</v>
      </c>
      <c r="G930" s="484" t="s">
        <v>2013</v>
      </c>
      <c r="H930" s="517"/>
      <c r="I930" s="477" t="s">
        <v>5</v>
      </c>
      <c r="J930" s="476" t="s">
        <v>6</v>
      </c>
      <c r="K930" s="476" t="s">
        <v>28</v>
      </c>
      <c r="L930" s="184">
        <v>44196</v>
      </c>
      <c r="N930" s="481">
        <v>99478.42</v>
      </c>
      <c r="O930" s="478" t="str">
        <f>IFERROR(VLOOKUP(A930,[1]Approval!A:C,3,FALSE),"")</f>
        <v/>
      </c>
      <c r="P930" s="184" t="str">
        <f>IFERROR(VLOOKUP(A930,[1]Approval!A:J,10,FALSE),"")</f>
        <v/>
      </c>
      <c r="R930" s="425">
        <f>2020-YEAR(Table227[[#This Row],[In-
Service
Date]])</f>
        <v>0</v>
      </c>
      <c r="S930" s="308">
        <f>+Table227[[#This Row],[Proj To Date
Actuals]]*1.02^R930</f>
        <v>99478.42</v>
      </c>
    </row>
    <row r="931" spans="1:19" x14ac:dyDescent="0.25">
      <c r="A931" s="476" t="s">
        <v>3669</v>
      </c>
      <c r="B931" s="475" t="s">
        <v>3669</v>
      </c>
      <c r="C931" s="422" t="e">
        <f>VLOOKUP(B931,'Matter &amp; CI#'!$D$4:$E$595,2,FALSE)</f>
        <v>#N/A</v>
      </c>
      <c r="D931" s="476" t="s">
        <v>3670</v>
      </c>
      <c r="E931" s="476" t="s">
        <v>34</v>
      </c>
      <c r="F931" s="476" t="s">
        <v>24</v>
      </c>
      <c r="G931" s="484" t="s">
        <v>2013</v>
      </c>
      <c r="H931" s="517"/>
      <c r="I931" s="477" t="s">
        <v>11</v>
      </c>
      <c r="J931" s="476" t="s">
        <v>25</v>
      </c>
      <c r="K931" s="476" t="s">
        <v>28</v>
      </c>
      <c r="L931" s="184">
        <v>44196</v>
      </c>
      <c r="N931" s="480">
        <v>502555.88</v>
      </c>
      <c r="O931" s="478" t="str">
        <f>IFERROR(VLOOKUP(A931,[1]Approval!A:C,3,FALSE),"")</f>
        <v/>
      </c>
      <c r="P931" s="184" t="str">
        <f>IFERROR(VLOOKUP(A931,[1]Approval!A:J,10,FALSE),"")</f>
        <v/>
      </c>
      <c r="R931" s="425">
        <f>2020-YEAR(Table227[[#This Row],[In-
Service
Date]])</f>
        <v>0</v>
      </c>
      <c r="S931" s="308">
        <f>+Table227[[#This Row],[Proj To Date
Actuals]]*1.02^R931</f>
        <v>502555.88</v>
      </c>
    </row>
    <row r="932" spans="1:19" x14ac:dyDescent="0.25">
      <c r="A932" s="476" t="s">
        <v>3742</v>
      </c>
      <c r="B932" s="475" t="s">
        <v>3742</v>
      </c>
      <c r="C932" s="422" t="e">
        <f>VLOOKUP(B932,'Matter &amp; CI#'!$D$4:$E$595,2,FALSE)</f>
        <v>#N/A</v>
      </c>
      <c r="D932" s="476" t="s">
        <v>3743</v>
      </c>
      <c r="E932" s="476" t="s">
        <v>34</v>
      </c>
      <c r="F932" s="476" t="s">
        <v>24</v>
      </c>
      <c r="G932" s="484" t="s">
        <v>2013</v>
      </c>
      <c r="H932" s="517" t="s">
        <v>4841</v>
      </c>
      <c r="I932" s="477" t="s">
        <v>5</v>
      </c>
      <c r="J932" s="476" t="s">
        <v>195</v>
      </c>
      <c r="K932" s="476" t="s">
        <v>28</v>
      </c>
      <c r="L932" s="184">
        <v>43831</v>
      </c>
      <c r="N932" s="480">
        <v>88060.95</v>
      </c>
      <c r="O932" s="478" t="str">
        <f>IFERROR(VLOOKUP(A932,[1]Approval!A:C,3,FALSE),"")</f>
        <v/>
      </c>
      <c r="P932" s="184" t="str">
        <f>IFERROR(VLOOKUP(A932,[1]Approval!A:J,10,FALSE),"")</f>
        <v/>
      </c>
      <c r="R932" s="425">
        <f>2020-YEAR(Table227[[#This Row],[In-
Service
Date]])</f>
        <v>0</v>
      </c>
      <c r="S932" s="308">
        <f>+Table227[[#This Row],[Proj To Date
Actuals]]*1.02^R932</f>
        <v>88060.95</v>
      </c>
    </row>
    <row r="933" spans="1:19" x14ac:dyDescent="0.25">
      <c r="A933" s="476" t="s">
        <v>3746</v>
      </c>
      <c r="B933" s="475" t="s">
        <v>3746</v>
      </c>
      <c r="C933" s="422" t="e">
        <f>VLOOKUP(B933,'Matter &amp; CI#'!$D$4:$E$595,2,FALSE)</f>
        <v>#N/A</v>
      </c>
      <c r="D933" s="476" t="s">
        <v>3747</v>
      </c>
      <c r="E933" s="476" t="s">
        <v>10</v>
      </c>
      <c r="F933" s="476" t="s">
        <v>9</v>
      </c>
      <c r="G933" s="484" t="s">
        <v>2014</v>
      </c>
      <c r="H933" s="517" t="s">
        <v>4785</v>
      </c>
      <c r="I933" s="477" t="s">
        <v>5</v>
      </c>
      <c r="J933" s="476" t="s">
        <v>12</v>
      </c>
      <c r="K933" s="476" t="s">
        <v>28</v>
      </c>
      <c r="L933" s="184">
        <v>43831</v>
      </c>
      <c r="N933" s="480">
        <v>1891.83</v>
      </c>
      <c r="O933" s="478" t="str">
        <f>IFERROR(VLOOKUP(A933,[1]Approval!A:C,3,FALSE),"")</f>
        <v/>
      </c>
      <c r="P933" s="184" t="str">
        <f>IFERROR(VLOOKUP(A933,[1]Approval!A:J,10,FALSE),"")</f>
        <v/>
      </c>
      <c r="R933" s="425">
        <f>2020-YEAR(Table227[[#This Row],[In-
Service
Date]])</f>
        <v>0</v>
      </c>
      <c r="S933" s="308">
        <f>+Table227[[#This Row],[Proj To Date
Actuals]]*1.02^R933</f>
        <v>1891.83</v>
      </c>
    </row>
    <row r="934" spans="1:19" x14ac:dyDescent="0.25">
      <c r="A934" s="476" t="s">
        <v>3728</v>
      </c>
      <c r="B934" s="475" t="s">
        <v>3728</v>
      </c>
      <c r="C934" s="422" t="e">
        <f>VLOOKUP(B934,'Matter &amp; CI#'!$D$4:$E$595,2,FALSE)</f>
        <v>#N/A</v>
      </c>
      <c r="D934" s="476" t="s">
        <v>3729</v>
      </c>
      <c r="E934" s="476" t="s">
        <v>10</v>
      </c>
      <c r="F934" s="476" t="s">
        <v>9</v>
      </c>
      <c r="G934" s="484" t="s">
        <v>2014</v>
      </c>
      <c r="H934" s="517" t="s">
        <v>4796</v>
      </c>
      <c r="I934" s="477" t="s">
        <v>5</v>
      </c>
      <c r="J934" s="476" t="s">
        <v>14</v>
      </c>
      <c r="K934" s="476" t="s">
        <v>28</v>
      </c>
      <c r="L934" s="184">
        <v>44013</v>
      </c>
      <c r="N934" s="480">
        <v>2292.5</v>
      </c>
      <c r="O934" s="478" t="str">
        <f>IFERROR(VLOOKUP(A934,[1]Approval!A:C,3,FALSE),"")</f>
        <v/>
      </c>
      <c r="P934" s="184" t="str">
        <f>IFERROR(VLOOKUP(A934,[1]Approval!A:J,10,FALSE),"")</f>
        <v/>
      </c>
      <c r="R934" s="425">
        <f>2020-YEAR(Table227[[#This Row],[In-
Service
Date]])</f>
        <v>0</v>
      </c>
      <c r="S934" s="308">
        <f>+Table227[[#This Row],[Proj To Date
Actuals]]*1.02^R934</f>
        <v>2292.5</v>
      </c>
    </row>
    <row r="935" spans="1:19" x14ac:dyDescent="0.25">
      <c r="A935" s="476" t="s">
        <v>3712</v>
      </c>
      <c r="B935" s="475" t="s">
        <v>3712</v>
      </c>
      <c r="C935" s="422" t="e">
        <f>VLOOKUP(B935,'Matter &amp; CI#'!$D$4:$E$595,2,FALSE)</f>
        <v>#N/A</v>
      </c>
      <c r="D935" s="476" t="s">
        <v>3713</v>
      </c>
      <c r="E935" s="476" t="s">
        <v>10</v>
      </c>
      <c r="F935" s="476" t="s">
        <v>9</v>
      </c>
      <c r="G935" s="484" t="s">
        <v>2014</v>
      </c>
      <c r="H935" s="517" t="s">
        <v>4814</v>
      </c>
      <c r="I935" s="477" t="s">
        <v>5</v>
      </c>
      <c r="J935" s="476" t="s">
        <v>12</v>
      </c>
      <c r="K935" s="476" t="s">
        <v>28</v>
      </c>
      <c r="L935" s="184">
        <v>44196</v>
      </c>
      <c r="N935" s="480">
        <v>4530.8100000000004</v>
      </c>
      <c r="O935" s="478" t="str">
        <f>IFERROR(VLOOKUP(A935,[1]Approval!A:C,3,FALSE),"")</f>
        <v/>
      </c>
      <c r="P935" s="184" t="str">
        <f>IFERROR(VLOOKUP(A935,[1]Approval!A:J,10,FALSE),"")</f>
        <v/>
      </c>
      <c r="R935" s="425">
        <f>2020-YEAR(Table227[[#This Row],[In-
Service
Date]])</f>
        <v>0</v>
      </c>
      <c r="S935" s="308">
        <f>+Table227[[#This Row],[Proj To Date
Actuals]]*1.02^R935</f>
        <v>4530.8100000000004</v>
      </c>
    </row>
    <row r="936" spans="1:19" x14ac:dyDescent="0.25">
      <c r="A936" s="476" t="s">
        <v>325</v>
      </c>
      <c r="B936" s="475" t="s">
        <v>4230</v>
      </c>
      <c r="C936" s="422" t="e">
        <f>VLOOKUP(B936,'Matter &amp; CI#'!$D$4:$E$595,2,FALSE)</f>
        <v>#N/A</v>
      </c>
      <c r="D936" s="476" t="s">
        <v>326</v>
      </c>
      <c r="E936" s="476" t="s">
        <v>10</v>
      </c>
      <c r="F936" s="476" t="s">
        <v>9</v>
      </c>
      <c r="G936" s="475" t="s">
        <v>2014</v>
      </c>
      <c r="H936" s="516"/>
      <c r="I936" s="477" t="s">
        <v>5</v>
      </c>
      <c r="J936" s="476" t="s">
        <v>14</v>
      </c>
      <c r="K936" s="476" t="s">
        <v>7</v>
      </c>
      <c r="L936" s="184">
        <v>41669</v>
      </c>
      <c r="M936" s="184">
        <v>42909</v>
      </c>
      <c r="N936" s="480">
        <v>83851.210000000006</v>
      </c>
      <c r="O936" s="478" t="str">
        <f>IFERROR(VLOOKUP(A936,[1]Approval!A:C,3,FALSE),"")</f>
        <v>FIN Approval - Internal</v>
      </c>
      <c r="P936" s="184">
        <f>IFERROR(VLOOKUP(A936,[1]Approval!A:J,10,FALSE),"")</f>
        <v>42909</v>
      </c>
      <c r="R936" s="425">
        <f>2020-YEAR(Table227[[#This Row],[In-
Service
Date]])</f>
        <v>6</v>
      </c>
      <c r="S936" s="308">
        <f>+Table227[[#This Row],[Proj To Date
Actuals]]*1.02^R936</f>
        <v>94430.081511813725</v>
      </c>
    </row>
    <row r="937" spans="1:19" x14ac:dyDescent="0.25">
      <c r="A937" s="476" t="s">
        <v>821</v>
      </c>
      <c r="B937" s="475" t="s">
        <v>4321</v>
      </c>
      <c r="C937" s="422" t="e">
        <f>VLOOKUP(B937,'Matter &amp; CI#'!$D$4:$E$595,2,FALSE)</f>
        <v>#N/A</v>
      </c>
      <c r="D937" s="476" t="s">
        <v>822</v>
      </c>
      <c r="E937" s="476" t="s">
        <v>10</v>
      </c>
      <c r="F937" s="476" t="s">
        <v>9</v>
      </c>
      <c r="G937" s="475" t="s">
        <v>2014</v>
      </c>
      <c r="H937" s="516"/>
      <c r="I937" s="477" t="s">
        <v>5</v>
      </c>
      <c r="J937" s="476" t="s">
        <v>12</v>
      </c>
      <c r="K937" s="476" t="s">
        <v>7</v>
      </c>
      <c r="L937" s="184">
        <v>41882</v>
      </c>
      <c r="M937" s="184">
        <v>43524</v>
      </c>
      <c r="N937" s="480">
        <v>137315.79</v>
      </c>
      <c r="O937" s="478" t="str">
        <f>IFERROR(VLOOKUP(A937,[1]Approval!A:C,3,FALSE),"")</f>
        <v>FIN Approval - Internal</v>
      </c>
      <c r="P937" s="184">
        <f>IFERROR(VLOOKUP(A937,[1]Approval!A:J,10,FALSE),"")</f>
        <v>43432</v>
      </c>
      <c r="R937" s="425">
        <f>2020-YEAR(Table227[[#This Row],[In-
Service
Date]])</f>
        <v>6</v>
      </c>
      <c r="S937" s="308">
        <f>+Table227[[#This Row],[Proj To Date
Actuals]]*1.02^R937</f>
        <v>154639.88226954741</v>
      </c>
    </row>
    <row r="938" spans="1:19" x14ac:dyDescent="0.25">
      <c r="A938" s="476" t="s">
        <v>1092</v>
      </c>
      <c r="B938" s="475" t="s">
        <v>4368</v>
      </c>
      <c r="C938" s="422" t="e">
        <f>VLOOKUP(B938,'Matter &amp; CI#'!$D$4:$E$595,2,FALSE)</f>
        <v>#N/A</v>
      </c>
      <c r="D938" s="476" t="s">
        <v>1093</v>
      </c>
      <c r="E938" s="476" t="s">
        <v>10</v>
      </c>
      <c r="F938" s="476" t="s">
        <v>9</v>
      </c>
      <c r="G938" s="475" t="s">
        <v>2014</v>
      </c>
      <c r="H938" s="516"/>
      <c r="I938" s="477" t="s">
        <v>5</v>
      </c>
      <c r="J938" s="476" t="s">
        <v>6</v>
      </c>
      <c r="K938" s="476" t="s">
        <v>7</v>
      </c>
      <c r="L938" s="184">
        <v>42277</v>
      </c>
      <c r="M938" s="184">
        <v>42937</v>
      </c>
      <c r="N938" s="480">
        <v>165999.25</v>
      </c>
      <c r="O938" s="478" t="str">
        <f>IFERROR(VLOOKUP(A938,[1]Approval!A:C,3,FALSE),"")</f>
        <v>FIN Approval - Internal</v>
      </c>
      <c r="P938" s="184">
        <f>IFERROR(VLOOKUP(A938,[1]Approval!A:J,10,FALSE),"")</f>
        <v>42937</v>
      </c>
      <c r="R938" s="425">
        <f>2020-YEAR(Table227[[#This Row],[In-
Service
Date]])</f>
        <v>5</v>
      </c>
      <c r="S938" s="308">
        <f>+Table227[[#This Row],[Proj To Date
Actuals]]*1.02^R938</f>
        <v>183276.5852705976</v>
      </c>
    </row>
    <row r="939" spans="1:19" x14ac:dyDescent="0.25">
      <c r="A939" s="476" t="s">
        <v>1148</v>
      </c>
      <c r="B939" s="475" t="s">
        <v>4662</v>
      </c>
      <c r="C939" s="422" t="e">
        <f>VLOOKUP(B939,'Matter &amp; CI#'!$D$4:$E$595,2,FALSE)</f>
        <v>#N/A</v>
      </c>
      <c r="D939" s="476" t="s">
        <v>1149</v>
      </c>
      <c r="E939" s="476" t="s">
        <v>10</v>
      </c>
      <c r="F939" s="476" t="s">
        <v>9</v>
      </c>
      <c r="G939" s="475" t="s">
        <v>2014</v>
      </c>
      <c r="H939" s="516"/>
      <c r="I939" s="477" t="s">
        <v>5</v>
      </c>
      <c r="J939" s="476" t="s">
        <v>12</v>
      </c>
      <c r="K939" s="476" t="s">
        <v>7</v>
      </c>
      <c r="L939" s="184">
        <v>43100</v>
      </c>
      <c r="M939" s="184">
        <v>43891</v>
      </c>
      <c r="N939" s="480">
        <v>599909.25</v>
      </c>
      <c r="O939" s="478" t="str">
        <f>IFERROR(VLOOKUP(A939,[1]Approval!A:C,3,FALSE),"")</f>
        <v>FIN Approval - Internal</v>
      </c>
      <c r="P939" s="184">
        <f>IFERROR(VLOOKUP(A939,[1]Approval!A:J,10,FALSE),"")</f>
        <v>43677</v>
      </c>
      <c r="R939" s="425">
        <f>2020-YEAR(Table227[[#This Row],[In-
Service
Date]])</f>
        <v>3</v>
      </c>
      <c r="S939" s="308">
        <f>+Table227[[#This Row],[Proj To Date
Actuals]]*1.02^R939</f>
        <v>636628.49537399993</v>
      </c>
    </row>
    <row r="940" spans="1:19" x14ac:dyDescent="0.25">
      <c r="A940" s="476" t="s">
        <v>970</v>
      </c>
      <c r="B940" s="475" t="s">
        <v>3957</v>
      </c>
      <c r="C940" s="422" t="e">
        <f>VLOOKUP(B940,'Matter &amp; CI#'!$D$4:$E$595,2,FALSE)</f>
        <v>#N/A</v>
      </c>
      <c r="D940" s="476" t="s">
        <v>971</v>
      </c>
      <c r="E940" s="476" t="s">
        <v>8</v>
      </c>
      <c r="F940" s="476" t="s">
        <v>9</v>
      </c>
      <c r="G940" s="475" t="s">
        <v>2014</v>
      </c>
      <c r="H940" s="516"/>
      <c r="I940" s="477" t="s">
        <v>5</v>
      </c>
      <c r="J940" s="476" t="s">
        <v>131</v>
      </c>
      <c r="K940" s="476" t="s">
        <v>7</v>
      </c>
      <c r="L940" s="184">
        <v>40596</v>
      </c>
      <c r="M940" s="184">
        <v>41212</v>
      </c>
      <c r="N940" s="480">
        <v>49038.25</v>
      </c>
      <c r="O940" s="478" t="str">
        <f>IFERROR(VLOOKUP(A940,[1]Approval!A:C,3,FALSE),"")</f>
        <v>zINVALID FIN Approval - External</v>
      </c>
      <c r="P940" s="184">
        <f>IFERROR(VLOOKUP(A940,[1]Approval!A:J,10,FALSE),"")</f>
        <v>41179</v>
      </c>
      <c r="R940" s="425">
        <f>2020-YEAR(Table227[[#This Row],[In-
Service
Date]])</f>
        <v>9</v>
      </c>
      <c r="S940" s="308">
        <f>+Table227[[#This Row],[Proj To Date
Actuals]]*1.02^R940</f>
        <v>58605.248153243032</v>
      </c>
    </row>
    <row r="941" spans="1:19" x14ac:dyDescent="0.25">
      <c r="A941" s="476" t="s">
        <v>269</v>
      </c>
      <c r="B941" s="475" t="s">
        <v>3926</v>
      </c>
      <c r="C941" s="422" t="e">
        <f>VLOOKUP(B941,'Matter &amp; CI#'!$D$4:$E$595,2,FALSE)</f>
        <v>#N/A</v>
      </c>
      <c r="D941" s="476" t="s">
        <v>270</v>
      </c>
      <c r="E941" s="476" t="s">
        <v>8</v>
      </c>
      <c r="F941" s="476" t="s">
        <v>9</v>
      </c>
      <c r="G941" s="475" t="s">
        <v>2014</v>
      </c>
      <c r="H941" s="516"/>
      <c r="I941" s="477" t="s">
        <v>5</v>
      </c>
      <c r="J941" s="476" t="s">
        <v>6</v>
      </c>
      <c r="K941" s="476" t="s">
        <v>7</v>
      </c>
      <c r="L941" s="184">
        <v>40633</v>
      </c>
      <c r="M941" s="184">
        <v>41963</v>
      </c>
      <c r="N941" s="480">
        <v>532588.13</v>
      </c>
      <c r="O941" s="478" t="str">
        <f>IFERROR(VLOOKUP(A941,[1]Approval!A:C,3,FALSE),"")</f>
        <v>zINVALID FIN Approval - Internal</v>
      </c>
      <c r="P941" s="184">
        <f>IFERROR(VLOOKUP(A941,[1]Approval!A:J,10,FALSE),"")</f>
        <v>41963</v>
      </c>
      <c r="R941" s="425">
        <f>2020-YEAR(Table227[[#This Row],[In-
Service
Date]])</f>
        <v>9</v>
      </c>
      <c r="S941" s="308">
        <f>+Table227[[#This Row],[Proj To Date
Actuals]]*1.02^R941</f>
        <v>636492.11629945319</v>
      </c>
    </row>
    <row r="942" spans="1:19" x14ac:dyDescent="0.25">
      <c r="A942" s="476" t="s">
        <v>277</v>
      </c>
      <c r="B942" s="475" t="s">
        <v>3924</v>
      </c>
      <c r="C942" s="422" t="e">
        <f>VLOOKUP(B942,'Matter &amp; CI#'!$D$4:$E$595,2,FALSE)</f>
        <v>#N/A</v>
      </c>
      <c r="D942" s="476" t="s">
        <v>278</v>
      </c>
      <c r="E942" s="476" t="s">
        <v>8</v>
      </c>
      <c r="F942" s="476" t="s">
        <v>9</v>
      </c>
      <c r="G942" s="475" t="s">
        <v>2014</v>
      </c>
      <c r="H942" s="516"/>
      <c r="I942" s="477" t="s">
        <v>5</v>
      </c>
      <c r="J942" s="476" t="s">
        <v>6</v>
      </c>
      <c r="K942" s="476" t="s">
        <v>7</v>
      </c>
      <c r="L942" s="184">
        <v>40683</v>
      </c>
      <c r="M942" s="184">
        <v>41852</v>
      </c>
      <c r="N942" s="480">
        <v>1285635.32</v>
      </c>
      <c r="O942" s="478" t="str">
        <f>IFERROR(VLOOKUP(A942,[1]Approval!A:C,3,FALSE),"")</f>
        <v>zINVALID FIN Approval - Internal</v>
      </c>
      <c r="P942" s="184">
        <f>IFERROR(VLOOKUP(A942,[1]Approval!A:J,10,FALSE),"")</f>
        <v>41859</v>
      </c>
      <c r="R942" s="425">
        <f>2020-YEAR(Table227[[#This Row],[In-
Service
Date]])</f>
        <v>9</v>
      </c>
      <c r="S942" s="308">
        <f>+Table227[[#This Row],[Proj To Date
Actuals]]*1.02^R942</f>
        <v>1536453.2168903665</v>
      </c>
    </row>
    <row r="943" spans="1:19" x14ac:dyDescent="0.25">
      <c r="A943" s="476" t="s">
        <v>990</v>
      </c>
      <c r="B943" s="475" t="s">
        <v>3967</v>
      </c>
      <c r="C943" s="422" t="e">
        <f>VLOOKUP(B943,'Matter &amp; CI#'!$D$4:$E$595,2,FALSE)</f>
        <v>#N/A</v>
      </c>
      <c r="D943" s="476" t="s">
        <v>991</v>
      </c>
      <c r="E943" s="476" t="s">
        <v>8</v>
      </c>
      <c r="F943" s="476" t="s">
        <v>9</v>
      </c>
      <c r="G943" s="475" t="s">
        <v>2014</v>
      </c>
      <c r="H943" s="516"/>
      <c r="I943" s="477" t="s">
        <v>5</v>
      </c>
      <c r="J943" s="476" t="s">
        <v>6</v>
      </c>
      <c r="K943" s="476" t="s">
        <v>7</v>
      </c>
      <c r="L943" s="184">
        <v>40816</v>
      </c>
      <c r="M943" s="184">
        <v>41964</v>
      </c>
      <c r="N943" s="480">
        <v>385888.39</v>
      </c>
      <c r="O943" s="478" t="str">
        <f>IFERROR(VLOOKUP(A943,[1]Approval!A:C,3,FALSE),"")</f>
        <v>FIN Approval - Internal</v>
      </c>
      <c r="P943" s="184">
        <f>IFERROR(VLOOKUP(A943,[1]Approval!A:J,10,FALSE),"")</f>
        <v>41964</v>
      </c>
      <c r="R943" s="425">
        <f>2020-YEAR(Table227[[#This Row],[In-
Service
Date]])</f>
        <v>9</v>
      </c>
      <c r="S943" s="308">
        <f>+Table227[[#This Row],[Proj To Date
Actuals]]*1.02^R943</f>
        <v>461172.34720662807</v>
      </c>
    </row>
    <row r="944" spans="1:19" x14ac:dyDescent="0.25">
      <c r="A944" s="476" t="s">
        <v>57</v>
      </c>
      <c r="B944" s="475" t="s">
        <v>3961</v>
      </c>
      <c r="C944" s="422" t="e">
        <f>VLOOKUP(B944,'Matter &amp; CI#'!$D$4:$E$595,2,FALSE)</f>
        <v>#N/A</v>
      </c>
      <c r="D944" s="476" t="s">
        <v>58</v>
      </c>
      <c r="E944" s="476" t="s">
        <v>8</v>
      </c>
      <c r="F944" s="476" t="s">
        <v>9</v>
      </c>
      <c r="G944" s="475" t="s">
        <v>2014</v>
      </c>
      <c r="H944" s="516"/>
      <c r="I944" s="477" t="s">
        <v>5</v>
      </c>
      <c r="J944" s="476" t="s">
        <v>6</v>
      </c>
      <c r="K944" s="476" t="s">
        <v>7</v>
      </c>
      <c r="L944" s="184">
        <v>40897</v>
      </c>
      <c r="M944" s="184">
        <v>41852</v>
      </c>
      <c r="N944" s="480">
        <v>322491.57</v>
      </c>
      <c r="O944" s="478" t="str">
        <f>IFERROR(VLOOKUP(A944,[1]Approval!A:C,3,FALSE),"")</f>
        <v>FIN Approval - Internal</v>
      </c>
      <c r="P944" s="184">
        <f>IFERROR(VLOOKUP(A944,[1]Approval!A:J,10,FALSE),"")</f>
        <v>41859</v>
      </c>
      <c r="R944" s="425">
        <f>2020-YEAR(Table227[[#This Row],[In-
Service
Date]])</f>
        <v>9</v>
      </c>
      <c r="S944" s="308">
        <f>+Table227[[#This Row],[Proj To Date
Actuals]]*1.02^R944</f>
        <v>385407.27875034179</v>
      </c>
    </row>
    <row r="945" spans="1:19" x14ac:dyDescent="0.25">
      <c r="A945" s="476" t="s">
        <v>978</v>
      </c>
      <c r="B945" s="475" t="s">
        <v>3962</v>
      </c>
      <c r="C945" s="422" t="e">
        <f>VLOOKUP(B945,'Matter &amp; CI#'!$D$4:$E$595,2,FALSE)</f>
        <v>#N/A</v>
      </c>
      <c r="D945" s="476" t="s">
        <v>979</v>
      </c>
      <c r="E945" s="476" t="s">
        <v>8</v>
      </c>
      <c r="F945" s="476" t="s">
        <v>9</v>
      </c>
      <c r="G945" s="475" t="s">
        <v>2014</v>
      </c>
      <c r="H945" s="516"/>
      <c r="I945" s="477" t="s">
        <v>5</v>
      </c>
      <c r="J945" s="476" t="s">
        <v>6</v>
      </c>
      <c r="K945" s="476" t="s">
        <v>7</v>
      </c>
      <c r="L945" s="184">
        <v>40897</v>
      </c>
      <c r="M945" s="184">
        <v>41843</v>
      </c>
      <c r="N945" s="480">
        <v>376986.23</v>
      </c>
      <c r="O945" s="478" t="str">
        <f>IFERROR(VLOOKUP(A945,[1]Approval!A:C,3,FALSE),"")</f>
        <v>FIN Approval - Internal</v>
      </c>
      <c r="P945" s="184">
        <f>IFERROR(VLOOKUP(A945,[1]Approval!A:J,10,FALSE),"")</f>
        <v>41843</v>
      </c>
      <c r="R945" s="425">
        <f>2020-YEAR(Table227[[#This Row],[In-
Service
Date]])</f>
        <v>9</v>
      </c>
      <c r="S945" s="308">
        <f>+Table227[[#This Row],[Proj To Date
Actuals]]*1.02^R945</f>
        <v>450533.44194594125</v>
      </c>
    </row>
    <row r="946" spans="1:19" x14ac:dyDescent="0.25">
      <c r="A946" s="476" t="s">
        <v>265</v>
      </c>
      <c r="B946" s="475" t="s">
        <v>3965</v>
      </c>
      <c r="C946" s="422" t="e">
        <f>VLOOKUP(B946,'Matter &amp; CI#'!$D$4:$E$595,2,FALSE)</f>
        <v>#N/A</v>
      </c>
      <c r="D946" s="476" t="s">
        <v>266</v>
      </c>
      <c r="E946" s="476" t="s">
        <v>8</v>
      </c>
      <c r="F946" s="476" t="s">
        <v>9</v>
      </c>
      <c r="G946" s="475" t="s">
        <v>2014</v>
      </c>
      <c r="H946" s="516"/>
      <c r="I946" s="477" t="s">
        <v>5</v>
      </c>
      <c r="J946" s="476" t="s">
        <v>6</v>
      </c>
      <c r="K946" s="476" t="s">
        <v>7</v>
      </c>
      <c r="L946" s="184">
        <v>40897</v>
      </c>
      <c r="M946" s="184">
        <v>41831</v>
      </c>
      <c r="N946" s="480">
        <v>510439.85</v>
      </c>
      <c r="O946" s="478" t="str">
        <f>IFERROR(VLOOKUP(A946,[1]Approval!A:C,3,FALSE),"")</f>
        <v>zINVALID FIN Approval - Internal</v>
      </c>
      <c r="P946" s="184">
        <f>IFERROR(VLOOKUP(A946,[1]Approval!A:J,10,FALSE),"")</f>
        <v>41831</v>
      </c>
      <c r="R946" s="425">
        <f>2020-YEAR(Table227[[#This Row],[In-
Service
Date]])</f>
        <v>9</v>
      </c>
      <c r="S946" s="308">
        <f>+Table227[[#This Row],[Proj To Date
Actuals]]*1.02^R946</f>
        <v>610022.87146368704</v>
      </c>
    </row>
    <row r="947" spans="1:19" x14ac:dyDescent="0.25">
      <c r="A947" s="476" t="s">
        <v>53</v>
      </c>
      <c r="B947" s="475" t="s">
        <v>4001</v>
      </c>
      <c r="C947" s="422" t="e">
        <f>VLOOKUP(B947,'Matter &amp; CI#'!$D$4:$E$595,2,FALSE)</f>
        <v>#N/A</v>
      </c>
      <c r="D947" s="476" t="s">
        <v>54</v>
      </c>
      <c r="E947" s="476" t="s">
        <v>21</v>
      </c>
      <c r="F947" s="476" t="s">
        <v>9</v>
      </c>
      <c r="G947" s="475" t="s">
        <v>2014</v>
      </c>
      <c r="H947" s="516"/>
      <c r="I947" s="477" t="s">
        <v>5</v>
      </c>
      <c r="J947" s="476" t="s">
        <v>6</v>
      </c>
      <c r="K947" s="476" t="s">
        <v>7</v>
      </c>
      <c r="L947" s="184">
        <v>40897</v>
      </c>
      <c r="M947" s="184">
        <v>42490</v>
      </c>
      <c r="N947" s="480">
        <v>605670.18000000005</v>
      </c>
      <c r="O947" s="478" t="str">
        <f>IFERROR(VLOOKUP(A947,[1]Approval!A:C,3,FALSE),"")</f>
        <v>FIN Approval - Internal</v>
      </c>
      <c r="P947" s="184">
        <f>IFERROR(VLOOKUP(A947,[1]Approval!A:J,10,FALSE),"")</f>
        <v>42478</v>
      </c>
      <c r="R947" s="425">
        <f>2020-YEAR(Table227[[#This Row],[In-
Service
Date]])</f>
        <v>9</v>
      </c>
      <c r="S947" s="308">
        <f>+Table227[[#This Row],[Proj To Date
Actuals]]*1.02^R947</f>
        <v>723831.93115413736</v>
      </c>
    </row>
    <row r="948" spans="1:19" x14ac:dyDescent="0.25">
      <c r="A948" s="476" t="s">
        <v>1773</v>
      </c>
      <c r="B948" s="475" t="s">
        <v>4003</v>
      </c>
      <c r="C948" s="422" t="e">
        <f>VLOOKUP(B948,'Matter &amp; CI#'!$D$4:$E$595,2,FALSE)</f>
        <v>#N/A</v>
      </c>
      <c r="D948" s="476" t="s">
        <v>1774</v>
      </c>
      <c r="E948" s="476" t="s">
        <v>8</v>
      </c>
      <c r="F948" s="476" t="s">
        <v>9</v>
      </c>
      <c r="G948" s="475" t="s">
        <v>2014</v>
      </c>
      <c r="H948" s="516"/>
      <c r="I948" s="477" t="s">
        <v>5</v>
      </c>
      <c r="J948" s="476" t="s">
        <v>6</v>
      </c>
      <c r="K948" s="476" t="s">
        <v>7</v>
      </c>
      <c r="L948" s="184">
        <v>40897</v>
      </c>
      <c r="M948" s="184">
        <v>41964</v>
      </c>
      <c r="N948" s="480">
        <v>295344.88</v>
      </c>
      <c r="O948" s="478" t="str">
        <f>IFERROR(VLOOKUP(A948,[1]Approval!A:C,3,FALSE),"")</f>
        <v>FIN Approval - Internal</v>
      </c>
      <c r="P948" s="184">
        <f>IFERROR(VLOOKUP(A948,[1]Approval!A:J,10,FALSE),"")</f>
        <v>41964</v>
      </c>
      <c r="R948" s="425">
        <f>2020-YEAR(Table227[[#This Row],[In-
Service
Date]])</f>
        <v>9</v>
      </c>
      <c r="S948" s="308">
        <f>+Table227[[#This Row],[Proj To Date
Actuals]]*1.02^R948</f>
        <v>352964.47126864817</v>
      </c>
    </row>
    <row r="949" spans="1:19" x14ac:dyDescent="0.25">
      <c r="A949" s="476" t="s">
        <v>1252</v>
      </c>
      <c r="B949" s="475" t="s">
        <v>4111</v>
      </c>
      <c r="C949" s="422" t="e">
        <f>VLOOKUP(B949,'Matter &amp; CI#'!$D$4:$E$595,2,FALSE)</f>
        <v>#N/A</v>
      </c>
      <c r="D949" s="476" t="s">
        <v>1253</v>
      </c>
      <c r="E949" s="476" t="s">
        <v>8</v>
      </c>
      <c r="F949" s="476" t="s">
        <v>9</v>
      </c>
      <c r="G949" s="475" t="s">
        <v>2014</v>
      </c>
      <c r="H949" s="516"/>
      <c r="I949" s="477" t="s">
        <v>5</v>
      </c>
      <c r="J949" s="476" t="s">
        <v>131</v>
      </c>
      <c r="K949" s="476" t="s">
        <v>7</v>
      </c>
      <c r="L949" s="184">
        <v>40897</v>
      </c>
      <c r="M949" s="184">
        <v>41843</v>
      </c>
      <c r="N949" s="480">
        <v>34451.089999999997</v>
      </c>
      <c r="O949" s="478" t="str">
        <f>IFERROR(VLOOKUP(A949,[1]Approval!A:C,3,FALSE),"")</f>
        <v>zINVALID FIN Approval - Internal</v>
      </c>
      <c r="P949" s="184">
        <f>IFERROR(VLOOKUP(A949,[1]Approval!A:J,10,FALSE),"")</f>
        <v>41843</v>
      </c>
      <c r="R949" s="425">
        <f>2020-YEAR(Table227[[#This Row],[In-
Service
Date]])</f>
        <v>9</v>
      </c>
      <c r="S949" s="308">
        <f>+Table227[[#This Row],[Proj To Date
Actuals]]*1.02^R949</f>
        <v>41172.241639938402</v>
      </c>
    </row>
    <row r="950" spans="1:19" x14ac:dyDescent="0.25">
      <c r="A950" s="476" t="s">
        <v>1520</v>
      </c>
      <c r="B950" s="475" t="s">
        <v>4041</v>
      </c>
      <c r="C950" s="422" t="e">
        <f>VLOOKUP(B950,'Matter &amp; CI#'!$D$4:$E$595,2,FALSE)</f>
        <v>#N/A</v>
      </c>
      <c r="D950" s="476" t="s">
        <v>1521</v>
      </c>
      <c r="E950" s="476" t="s">
        <v>8</v>
      </c>
      <c r="F950" s="476" t="s">
        <v>9</v>
      </c>
      <c r="G950" s="475" t="s">
        <v>2014</v>
      </c>
      <c r="H950" s="516"/>
      <c r="I950" s="477" t="s">
        <v>5</v>
      </c>
      <c r="J950" s="476" t="s">
        <v>14</v>
      </c>
      <c r="K950" s="476" t="s">
        <v>7</v>
      </c>
      <c r="L950" s="184">
        <v>40908</v>
      </c>
      <c r="M950" s="184">
        <v>41213</v>
      </c>
      <c r="N950" s="480">
        <v>199876.66</v>
      </c>
      <c r="O950" s="478" t="str">
        <f>IFERROR(VLOOKUP(A950,[1]Approval!A:C,3,FALSE),"")</f>
        <v>zINVALID FIN Approval - External</v>
      </c>
      <c r="P950" s="184">
        <f>IFERROR(VLOOKUP(A950,[1]Approval!A:J,10,FALSE),"")</f>
        <v>41198</v>
      </c>
      <c r="R950" s="425">
        <f>2020-YEAR(Table227[[#This Row],[In-
Service
Date]])</f>
        <v>9</v>
      </c>
      <c r="S950" s="308">
        <f>+Table227[[#This Row],[Proj To Date
Actuals]]*1.02^R950</f>
        <v>238871.11100704828</v>
      </c>
    </row>
    <row r="951" spans="1:19" x14ac:dyDescent="0.25">
      <c r="A951" s="476" t="s">
        <v>532</v>
      </c>
      <c r="B951" s="475" t="s">
        <v>3915</v>
      </c>
      <c r="C951" s="422" t="e">
        <f>VLOOKUP(B951,'Matter &amp; CI#'!$D$4:$E$595,2,FALSE)</f>
        <v>#N/A</v>
      </c>
      <c r="D951" s="476" t="s">
        <v>533</v>
      </c>
      <c r="E951" s="476" t="s">
        <v>10</v>
      </c>
      <c r="F951" s="476" t="s">
        <v>9</v>
      </c>
      <c r="G951" s="475" t="s">
        <v>2014</v>
      </c>
      <c r="H951" s="516"/>
      <c r="I951" s="477" t="s">
        <v>5</v>
      </c>
      <c r="J951" s="476" t="s">
        <v>6</v>
      </c>
      <c r="K951" s="476" t="s">
        <v>7</v>
      </c>
      <c r="L951" s="184">
        <v>41060</v>
      </c>
      <c r="M951" s="184">
        <v>42400</v>
      </c>
      <c r="N951" s="480">
        <v>1660864.18</v>
      </c>
      <c r="O951" s="478" t="str">
        <f>IFERROR(VLOOKUP(A951,[1]Approval!A:C,3,FALSE),"")</f>
        <v>FIN Approval - Internal</v>
      </c>
      <c r="P951" s="184">
        <f>IFERROR(VLOOKUP(A951,[1]Approval!A:J,10,FALSE),"")</f>
        <v>42418</v>
      </c>
      <c r="R951" s="425">
        <f>2020-YEAR(Table227[[#This Row],[In-
Service
Date]])</f>
        <v>8</v>
      </c>
      <c r="S951" s="308">
        <f>+Table227[[#This Row],[Proj To Date
Actuals]]*1.02^R951</f>
        <v>1945967.0970676353</v>
      </c>
    </row>
    <row r="952" spans="1:19" x14ac:dyDescent="0.25">
      <c r="A952" s="476" t="s">
        <v>1787</v>
      </c>
      <c r="B952" s="475" t="s">
        <v>4045</v>
      </c>
      <c r="C952" s="422" t="e">
        <f>VLOOKUP(B952,'Matter &amp; CI#'!$D$4:$E$595,2,FALSE)</f>
        <v>#N/A</v>
      </c>
      <c r="D952" s="476" t="s">
        <v>1788</v>
      </c>
      <c r="E952" s="476" t="s">
        <v>8</v>
      </c>
      <c r="F952" s="476" t="s">
        <v>9</v>
      </c>
      <c r="G952" s="475" t="s">
        <v>2014</v>
      </c>
      <c r="H952" s="516"/>
      <c r="I952" s="477" t="s">
        <v>5</v>
      </c>
      <c r="J952" s="476" t="s">
        <v>6</v>
      </c>
      <c r="K952" s="476" t="s">
        <v>7</v>
      </c>
      <c r="L952" s="184">
        <v>41176</v>
      </c>
      <c r="M952" s="184">
        <v>41831</v>
      </c>
      <c r="N952" s="480">
        <v>217178.8</v>
      </c>
      <c r="O952" s="478" t="str">
        <f>IFERROR(VLOOKUP(A952,[1]Approval!A:C,3,FALSE),"")</f>
        <v>zINVALID FIN Approval - Internal</v>
      </c>
      <c r="P952" s="184">
        <f>IFERROR(VLOOKUP(A952,[1]Approval!A:J,10,FALSE),"")</f>
        <v>41831</v>
      </c>
      <c r="R952" s="425">
        <f>2020-YEAR(Table227[[#This Row],[In-
Service
Date]])</f>
        <v>8</v>
      </c>
      <c r="S952" s="308">
        <f>+Table227[[#This Row],[Proj To Date
Actuals]]*1.02^R952</f>
        <v>254459.5783748148</v>
      </c>
    </row>
    <row r="953" spans="1:19" x14ac:dyDescent="0.25">
      <c r="A953" s="476" t="s">
        <v>1534</v>
      </c>
      <c r="B953" s="475" t="s">
        <v>4049</v>
      </c>
      <c r="C953" s="422" t="e">
        <f>VLOOKUP(B953,'Matter &amp; CI#'!$D$4:$E$595,2,FALSE)</f>
        <v>#N/A</v>
      </c>
      <c r="D953" s="476" t="s">
        <v>1535</v>
      </c>
      <c r="E953" s="476" t="s">
        <v>8</v>
      </c>
      <c r="F953" s="476" t="s">
        <v>9</v>
      </c>
      <c r="G953" s="475" t="s">
        <v>2014</v>
      </c>
      <c r="H953" s="516"/>
      <c r="I953" s="477" t="s">
        <v>5</v>
      </c>
      <c r="J953" s="476" t="s">
        <v>6</v>
      </c>
      <c r="K953" s="476" t="s">
        <v>7</v>
      </c>
      <c r="L953" s="184">
        <v>41176</v>
      </c>
      <c r="M953" s="184">
        <v>41843</v>
      </c>
      <c r="N953" s="480">
        <v>263578.52</v>
      </c>
      <c r="O953" s="478" t="str">
        <f>IFERROR(VLOOKUP(A953,[1]Approval!A:C,3,FALSE),"")</f>
        <v>zINVALID FIN Approval - Internal</v>
      </c>
      <c r="P953" s="184">
        <f>IFERROR(VLOOKUP(A953,[1]Approval!A:J,10,FALSE),"")</f>
        <v>41843</v>
      </c>
      <c r="R953" s="425">
        <f>2020-YEAR(Table227[[#This Row],[In-
Service
Date]])</f>
        <v>8</v>
      </c>
      <c r="S953" s="308">
        <f>+Table227[[#This Row],[Proj To Date
Actuals]]*1.02^R953</f>
        <v>308824.2455886933</v>
      </c>
    </row>
    <row r="954" spans="1:19" x14ac:dyDescent="0.25">
      <c r="A954" s="476" t="s">
        <v>765</v>
      </c>
      <c r="B954" s="475" t="s">
        <v>4126</v>
      </c>
      <c r="C954" s="422" t="e">
        <f>VLOOKUP(B954,'Matter &amp; CI#'!$D$4:$E$595,2,FALSE)</f>
        <v>#N/A</v>
      </c>
      <c r="D954" s="476" t="s">
        <v>766</v>
      </c>
      <c r="E954" s="476" t="s">
        <v>8</v>
      </c>
      <c r="F954" s="476" t="s">
        <v>9</v>
      </c>
      <c r="G954" s="475" t="s">
        <v>2014</v>
      </c>
      <c r="H954" s="516"/>
      <c r="I954" s="477" t="s">
        <v>5</v>
      </c>
      <c r="J954" s="476" t="s">
        <v>14</v>
      </c>
      <c r="K954" s="476" t="s">
        <v>7</v>
      </c>
      <c r="L954" s="184">
        <v>41176</v>
      </c>
      <c r="M954" s="184">
        <v>41843</v>
      </c>
      <c r="N954" s="480">
        <v>116822.63</v>
      </c>
      <c r="O954" s="478" t="str">
        <f>IFERROR(VLOOKUP(A954,[1]Approval!A:C,3,FALSE),"")</f>
        <v>zINVALID FIN Approval - Internal</v>
      </c>
      <c r="P954" s="184">
        <f>IFERROR(VLOOKUP(A954,[1]Approval!A:J,10,FALSE),"")</f>
        <v>41843</v>
      </c>
      <c r="R954" s="425">
        <f>2020-YEAR(Table227[[#This Row],[In-
Service
Date]])</f>
        <v>8</v>
      </c>
      <c r="S954" s="308">
        <f>+Table227[[#This Row],[Proj To Date
Actuals]]*1.02^R954</f>
        <v>136876.33035285669</v>
      </c>
    </row>
    <row r="955" spans="1:19" x14ac:dyDescent="0.25">
      <c r="A955" s="476" t="s">
        <v>530</v>
      </c>
      <c r="B955" s="475" t="s">
        <v>4129</v>
      </c>
      <c r="C955" s="422" t="e">
        <f>VLOOKUP(B955,'Matter &amp; CI#'!$D$4:$E$595,2,FALSE)</f>
        <v>#N/A</v>
      </c>
      <c r="D955" s="476" t="s">
        <v>531</v>
      </c>
      <c r="E955" s="476" t="s">
        <v>8</v>
      </c>
      <c r="F955" s="476" t="s">
        <v>9</v>
      </c>
      <c r="G955" s="475" t="s">
        <v>2014</v>
      </c>
      <c r="H955" s="516"/>
      <c r="I955" s="477" t="s">
        <v>5</v>
      </c>
      <c r="J955" s="476" t="s">
        <v>12</v>
      </c>
      <c r="K955" s="476" t="s">
        <v>7</v>
      </c>
      <c r="L955" s="184">
        <v>41176</v>
      </c>
      <c r="M955" s="184">
        <v>41852</v>
      </c>
      <c r="N955" s="480">
        <v>87863.73</v>
      </c>
      <c r="O955" s="478" t="str">
        <f>IFERROR(VLOOKUP(A955,[1]Approval!A:C,3,FALSE),"")</f>
        <v>zINVALID FIN Approval - Internal</v>
      </c>
      <c r="P955" s="184">
        <f>IFERROR(VLOOKUP(A955,[1]Approval!A:J,10,FALSE),"")</f>
        <v>41859</v>
      </c>
      <c r="R955" s="425">
        <f>2020-YEAR(Table227[[#This Row],[In-
Service
Date]])</f>
        <v>8</v>
      </c>
      <c r="S955" s="308">
        <f>+Table227[[#This Row],[Proj To Date
Actuals]]*1.02^R955</f>
        <v>102946.36350435019</v>
      </c>
    </row>
    <row r="956" spans="1:19" x14ac:dyDescent="0.25">
      <c r="A956" s="476" t="s">
        <v>1028</v>
      </c>
      <c r="B956" s="475" t="s">
        <v>4147</v>
      </c>
      <c r="C956" s="422" t="e">
        <f>VLOOKUP(B956,'Matter &amp; CI#'!$D$4:$E$595,2,FALSE)</f>
        <v>#N/A</v>
      </c>
      <c r="D956" s="476" t="s">
        <v>1029</v>
      </c>
      <c r="E956" s="476" t="s">
        <v>8</v>
      </c>
      <c r="F956" s="476" t="s">
        <v>9</v>
      </c>
      <c r="G956" s="475" t="s">
        <v>2014</v>
      </c>
      <c r="H956" s="516"/>
      <c r="I956" s="477" t="s">
        <v>5</v>
      </c>
      <c r="J956" s="476" t="s">
        <v>12</v>
      </c>
      <c r="K956" s="476" t="s">
        <v>7</v>
      </c>
      <c r="L956" s="184">
        <v>41176</v>
      </c>
      <c r="M956" s="184">
        <v>41831</v>
      </c>
      <c r="N956" s="480">
        <v>295324.56</v>
      </c>
      <c r="O956" s="478" t="str">
        <f>IFERROR(VLOOKUP(A956,[1]Approval!A:C,3,FALSE),"")</f>
        <v>zINVALID FIN Approval - Internal</v>
      </c>
      <c r="P956" s="184">
        <f>IFERROR(VLOOKUP(A956,[1]Approval!A:J,10,FALSE),"")</f>
        <v>41831</v>
      </c>
      <c r="R956" s="425">
        <f>2020-YEAR(Table227[[#This Row],[In-
Service
Date]])</f>
        <v>8</v>
      </c>
      <c r="S956" s="308">
        <f>+Table227[[#This Row],[Proj To Date
Actuals]]*1.02^R956</f>
        <v>346019.79116436641</v>
      </c>
    </row>
    <row r="957" spans="1:19" x14ac:dyDescent="0.25">
      <c r="A957" s="476" t="s">
        <v>761</v>
      </c>
      <c r="B957" s="475" t="s">
        <v>4117</v>
      </c>
      <c r="C957" s="422" t="e">
        <f>VLOOKUP(B957,'Matter &amp; CI#'!$D$4:$E$595,2,FALSE)</f>
        <v>#N/A</v>
      </c>
      <c r="D957" s="476" t="s">
        <v>762</v>
      </c>
      <c r="E957" s="476" t="s">
        <v>8</v>
      </c>
      <c r="F957" s="476" t="s">
        <v>9</v>
      </c>
      <c r="G957" s="475" t="s">
        <v>2014</v>
      </c>
      <c r="H957" s="516"/>
      <c r="I957" s="477" t="s">
        <v>5</v>
      </c>
      <c r="J957" s="476" t="s">
        <v>12</v>
      </c>
      <c r="K957" s="476" t="s">
        <v>7</v>
      </c>
      <c r="L957" s="184">
        <v>41182</v>
      </c>
      <c r="M957" s="184">
        <v>41831</v>
      </c>
      <c r="N957" s="480">
        <v>54732.480000000003</v>
      </c>
      <c r="O957" s="478" t="str">
        <f>IFERROR(VLOOKUP(A957,[1]Approval!A:C,3,FALSE),"")</f>
        <v>zINVALID FIN Approval - Internal</v>
      </c>
      <c r="P957" s="184">
        <f>IFERROR(VLOOKUP(A957,[1]Approval!A:J,10,FALSE),"")</f>
        <v>41831</v>
      </c>
      <c r="R957" s="425">
        <f>2020-YEAR(Table227[[#This Row],[In-
Service
Date]])</f>
        <v>8</v>
      </c>
      <c r="S957" s="308">
        <f>+Table227[[#This Row],[Proj To Date
Actuals]]*1.02^R957</f>
        <v>64127.823637518879</v>
      </c>
    </row>
    <row r="958" spans="1:19" x14ac:dyDescent="0.25">
      <c r="A958" s="476" t="s">
        <v>1036</v>
      </c>
      <c r="B958" s="475" t="s">
        <v>4005</v>
      </c>
      <c r="C958" s="422" t="e">
        <f>VLOOKUP(B958,'Matter &amp; CI#'!$D$4:$E$595,2,FALSE)</f>
        <v>#N/A</v>
      </c>
      <c r="D958" s="476" t="s">
        <v>1037</v>
      </c>
      <c r="E958" s="476" t="s">
        <v>8</v>
      </c>
      <c r="F958" s="476" t="s">
        <v>9</v>
      </c>
      <c r="G958" s="475" t="s">
        <v>2014</v>
      </c>
      <c r="H958" s="516"/>
      <c r="I958" s="477" t="s">
        <v>5</v>
      </c>
      <c r="J958" s="476" t="s">
        <v>6</v>
      </c>
      <c r="K958" s="476" t="s">
        <v>7</v>
      </c>
      <c r="L958" s="184">
        <v>41262</v>
      </c>
      <c r="M958" s="184">
        <v>41831</v>
      </c>
      <c r="N958" s="480">
        <v>309017.43</v>
      </c>
      <c r="O958" s="478" t="str">
        <f>IFERROR(VLOOKUP(A958,[1]Approval!A:C,3,FALSE),"")</f>
        <v>zINVALID FIN Approval - Internal</v>
      </c>
      <c r="P958" s="184">
        <f>IFERROR(VLOOKUP(A958,[1]Approval!A:J,10,FALSE),"")</f>
        <v>41831</v>
      </c>
      <c r="R958" s="425">
        <f>2020-YEAR(Table227[[#This Row],[In-
Service
Date]])</f>
        <v>8</v>
      </c>
      <c r="S958" s="308">
        <f>+Table227[[#This Row],[Proj To Date
Actuals]]*1.02^R958</f>
        <v>362063.1707527109</v>
      </c>
    </row>
    <row r="959" spans="1:19" x14ac:dyDescent="0.25">
      <c r="A959" s="476" t="s">
        <v>1268</v>
      </c>
      <c r="B959" s="475" t="s">
        <v>4071</v>
      </c>
      <c r="C959" s="422" t="e">
        <f>VLOOKUP(B959,'Matter &amp; CI#'!$D$4:$E$595,2,FALSE)</f>
        <v>#N/A</v>
      </c>
      <c r="D959" s="476" t="s">
        <v>1269</v>
      </c>
      <c r="E959" s="476" t="s">
        <v>21</v>
      </c>
      <c r="F959" s="476" t="s">
        <v>9</v>
      </c>
      <c r="G959" s="475" t="s">
        <v>2014</v>
      </c>
      <c r="H959" s="516"/>
      <c r="I959" s="477" t="s">
        <v>5</v>
      </c>
      <c r="J959" s="476" t="s">
        <v>6</v>
      </c>
      <c r="K959" s="476" t="s">
        <v>7</v>
      </c>
      <c r="L959" s="184">
        <v>41262</v>
      </c>
      <c r="M959" s="184">
        <v>42400</v>
      </c>
      <c r="N959" s="480">
        <v>402306.41</v>
      </c>
      <c r="O959" s="478" t="str">
        <f>IFERROR(VLOOKUP(A959,[1]Approval!A:C,3,FALSE),"")</f>
        <v>FIN Approval - Internal</v>
      </c>
      <c r="P959" s="184">
        <f>IFERROR(VLOOKUP(A959,[1]Approval!A:J,10,FALSE),"")</f>
        <v>42418</v>
      </c>
      <c r="R959" s="425">
        <f>2020-YEAR(Table227[[#This Row],[In-
Service
Date]])</f>
        <v>8</v>
      </c>
      <c r="S959" s="308">
        <f>+Table227[[#This Row],[Proj To Date
Actuals]]*1.02^R959</f>
        <v>471366.07931384363</v>
      </c>
    </row>
    <row r="960" spans="1:19" x14ac:dyDescent="0.25">
      <c r="A960" s="476" t="s">
        <v>548</v>
      </c>
      <c r="B960" s="475" t="s">
        <v>4073</v>
      </c>
      <c r="C960" s="422" t="e">
        <f>VLOOKUP(B960,'Matter &amp; CI#'!$D$4:$E$595,2,FALSE)</f>
        <v>#N/A</v>
      </c>
      <c r="D960" s="476" t="s">
        <v>549</v>
      </c>
      <c r="E960" s="476" t="s">
        <v>8</v>
      </c>
      <c r="F960" s="476" t="s">
        <v>9</v>
      </c>
      <c r="G960" s="475" t="s">
        <v>2014</v>
      </c>
      <c r="H960" s="516"/>
      <c r="I960" s="477" t="s">
        <v>5</v>
      </c>
      <c r="J960" s="476" t="s">
        <v>6</v>
      </c>
      <c r="K960" s="476" t="s">
        <v>7</v>
      </c>
      <c r="L960" s="184">
        <v>41262</v>
      </c>
      <c r="M960" s="184">
        <v>41831</v>
      </c>
      <c r="N960" s="480">
        <v>103938.97</v>
      </c>
      <c r="O960" s="478" t="str">
        <f>IFERROR(VLOOKUP(A960,[1]Approval!A:C,3,FALSE),"")</f>
        <v>zINVALID FIN Approval - Internal</v>
      </c>
      <c r="P960" s="184">
        <f>IFERROR(VLOOKUP(A960,[1]Approval!A:J,10,FALSE),"")</f>
        <v>41831</v>
      </c>
      <c r="R960" s="425">
        <f>2020-YEAR(Table227[[#This Row],[In-
Service
Date]])</f>
        <v>8</v>
      </c>
      <c r="S960" s="308">
        <f>+Table227[[#This Row],[Proj To Date
Actuals]]*1.02^R960</f>
        <v>121781.06925221304</v>
      </c>
    </row>
    <row r="961" spans="1:19" x14ac:dyDescent="0.25">
      <c r="A961" s="476" t="s">
        <v>307</v>
      </c>
      <c r="B961" s="475" t="s">
        <v>4103</v>
      </c>
      <c r="C961" s="422" t="e">
        <f>VLOOKUP(B961,'Matter &amp; CI#'!$D$4:$E$595,2,FALSE)</f>
        <v>#N/A</v>
      </c>
      <c r="D961" s="476" t="s">
        <v>308</v>
      </c>
      <c r="E961" s="476" t="s">
        <v>10</v>
      </c>
      <c r="F961" s="476" t="s">
        <v>9</v>
      </c>
      <c r="G961" s="475" t="s">
        <v>2014</v>
      </c>
      <c r="H961" s="516"/>
      <c r="I961" s="477" t="s">
        <v>5</v>
      </c>
      <c r="J961" s="476" t="s">
        <v>6</v>
      </c>
      <c r="K961" s="476" t="s">
        <v>7</v>
      </c>
      <c r="L961" s="184">
        <v>41324</v>
      </c>
      <c r="M961" s="184">
        <v>42909</v>
      </c>
      <c r="N961" s="480">
        <v>1244665.72</v>
      </c>
      <c r="O961" s="478" t="str">
        <f>IFERROR(VLOOKUP(A961,[1]Approval!A:C,3,FALSE),"")</f>
        <v>FIN Approval - Internal</v>
      </c>
      <c r="P961" s="184">
        <f>IFERROR(VLOOKUP(A961,[1]Approval!A:J,10,FALSE),"")</f>
        <v>42909</v>
      </c>
      <c r="R961" s="425">
        <f>2020-YEAR(Table227[[#This Row],[In-
Service
Date]])</f>
        <v>7</v>
      </c>
      <c r="S961" s="308">
        <f>+Table227[[#This Row],[Proj To Date
Actuals]]*1.02^R961</f>
        <v>1429729.6735783715</v>
      </c>
    </row>
    <row r="962" spans="1:19" x14ac:dyDescent="0.25">
      <c r="A962" s="476" t="s">
        <v>1048</v>
      </c>
      <c r="B962" s="475" t="s">
        <v>4226</v>
      </c>
      <c r="C962" s="422" t="e">
        <f>VLOOKUP(B962,'Matter &amp; CI#'!$D$4:$E$595,2,FALSE)</f>
        <v>#N/A</v>
      </c>
      <c r="D962" s="476" t="s">
        <v>1049</v>
      </c>
      <c r="E962" s="476" t="s">
        <v>8</v>
      </c>
      <c r="F962" s="476" t="s">
        <v>9</v>
      </c>
      <c r="G962" s="475" t="s">
        <v>2014</v>
      </c>
      <c r="H962" s="516"/>
      <c r="I962" s="477" t="s">
        <v>5</v>
      </c>
      <c r="J962" s="476" t="s">
        <v>12</v>
      </c>
      <c r="K962" s="476" t="s">
        <v>7</v>
      </c>
      <c r="L962" s="184">
        <v>41416</v>
      </c>
      <c r="M962" s="184">
        <v>41852</v>
      </c>
      <c r="N962" s="480">
        <v>110980.58</v>
      </c>
      <c r="O962" s="478" t="str">
        <f>IFERROR(VLOOKUP(A962,[1]Approval!A:C,3,FALSE),"")</f>
        <v>FIN Approval - Internal</v>
      </c>
      <c r="P962" s="184">
        <f>IFERROR(VLOOKUP(A962,[1]Approval!A:J,10,FALSE),"")</f>
        <v>41859</v>
      </c>
      <c r="R962" s="425">
        <f>2020-YEAR(Table227[[#This Row],[In-
Service
Date]])</f>
        <v>7</v>
      </c>
      <c r="S962" s="308">
        <f>+Table227[[#This Row],[Proj To Date
Actuals]]*1.02^R962</f>
        <v>127481.80163340431</v>
      </c>
    </row>
    <row r="963" spans="1:19" x14ac:dyDescent="0.25">
      <c r="A963" s="476" t="s">
        <v>775</v>
      </c>
      <c r="B963" s="475" t="s">
        <v>4144</v>
      </c>
      <c r="C963" s="422" t="e">
        <f>VLOOKUP(B963,'Matter &amp; CI#'!$D$4:$E$595,2,FALSE)</f>
        <v>#N/A</v>
      </c>
      <c r="D963" s="476" t="s">
        <v>776</v>
      </c>
      <c r="E963" s="476" t="s">
        <v>10</v>
      </c>
      <c r="F963" s="476" t="s">
        <v>9</v>
      </c>
      <c r="G963" s="475" t="s">
        <v>2014</v>
      </c>
      <c r="H963" s="516"/>
      <c r="I963" s="477" t="s">
        <v>5</v>
      </c>
      <c r="J963" s="476" t="s">
        <v>14</v>
      </c>
      <c r="K963" s="476" t="s">
        <v>7</v>
      </c>
      <c r="L963" s="184">
        <v>41443</v>
      </c>
      <c r="M963" s="184">
        <v>42400</v>
      </c>
      <c r="N963" s="480">
        <v>256953.11</v>
      </c>
      <c r="O963" s="478" t="str">
        <f>IFERROR(VLOOKUP(A963,[1]Approval!A:C,3,FALSE),"")</f>
        <v>FIN Approval - Internal</v>
      </c>
      <c r="P963" s="184">
        <f>IFERROR(VLOOKUP(A963,[1]Approval!A:J,10,FALSE),"")</f>
        <v>42418</v>
      </c>
      <c r="R963" s="425">
        <f>2020-YEAR(Table227[[#This Row],[In-
Service
Date]])</f>
        <v>7</v>
      </c>
      <c r="S963" s="308">
        <f>+Table227[[#This Row],[Proj To Date
Actuals]]*1.02^R963</f>
        <v>295158.35471490881</v>
      </c>
    </row>
    <row r="964" spans="1:19" x14ac:dyDescent="0.25">
      <c r="A964" s="476" t="s">
        <v>90</v>
      </c>
      <c r="B964" s="475" t="s">
        <v>4234</v>
      </c>
      <c r="C964" s="422" t="e">
        <f>VLOOKUP(B964,'Matter &amp; CI#'!$D$4:$E$595,2,FALSE)</f>
        <v>#N/A</v>
      </c>
      <c r="D964" s="476" t="s">
        <v>91</v>
      </c>
      <c r="E964" s="476" t="s">
        <v>21</v>
      </c>
      <c r="F964" s="476" t="s">
        <v>9</v>
      </c>
      <c r="G964" s="475" t="s">
        <v>2014</v>
      </c>
      <c r="H964" s="516"/>
      <c r="I964" s="477" t="s">
        <v>5</v>
      </c>
      <c r="J964" s="476" t="s">
        <v>14</v>
      </c>
      <c r="K964" s="476" t="s">
        <v>7</v>
      </c>
      <c r="L964" s="184">
        <v>41443</v>
      </c>
      <c r="M964" s="184">
        <v>42400</v>
      </c>
      <c r="N964" s="480">
        <v>253874.62</v>
      </c>
      <c r="O964" s="478" t="str">
        <f>IFERROR(VLOOKUP(A964,[1]Approval!A:C,3,FALSE),"")</f>
        <v>FIN Approval - Internal</v>
      </c>
      <c r="P964" s="184">
        <f>IFERROR(VLOOKUP(A964,[1]Approval!A:J,10,FALSE),"")</f>
        <v>42418</v>
      </c>
      <c r="R964" s="425">
        <f>2020-YEAR(Table227[[#This Row],[In-
Service
Date]])</f>
        <v>7</v>
      </c>
      <c r="S964" s="308">
        <f>+Table227[[#This Row],[Proj To Date
Actuals]]*1.02^R964</f>
        <v>291622.1373739072</v>
      </c>
    </row>
    <row r="965" spans="1:19" x14ac:dyDescent="0.25">
      <c r="A965" s="476" t="s">
        <v>1560</v>
      </c>
      <c r="B965" s="475" t="s">
        <v>4237</v>
      </c>
      <c r="C965" s="422" t="e">
        <f>VLOOKUP(B965,'Matter &amp; CI#'!$D$4:$E$595,2,FALSE)</f>
        <v>#N/A</v>
      </c>
      <c r="D965" s="476" t="s">
        <v>1561</v>
      </c>
      <c r="E965" s="476" t="s">
        <v>8</v>
      </c>
      <c r="F965" s="476" t="s">
        <v>9</v>
      </c>
      <c r="G965" s="475" t="s">
        <v>2014</v>
      </c>
      <c r="H965" s="516"/>
      <c r="I965" s="477" t="s">
        <v>5</v>
      </c>
      <c r="J965" s="476" t="s">
        <v>12</v>
      </c>
      <c r="K965" s="476" t="s">
        <v>7</v>
      </c>
      <c r="L965" s="184">
        <v>41443</v>
      </c>
      <c r="M965" s="184">
        <v>41831</v>
      </c>
      <c r="N965" s="480">
        <v>119568.8</v>
      </c>
      <c r="O965" s="478" t="str">
        <f>IFERROR(VLOOKUP(A965,[1]Approval!A:C,3,FALSE),"")</f>
        <v>FIN Approval - Internal</v>
      </c>
      <c r="P965" s="184">
        <f>IFERROR(VLOOKUP(A965,[1]Approval!A:J,10,FALSE),"")</f>
        <v>41830</v>
      </c>
      <c r="R965" s="425">
        <f>2020-YEAR(Table227[[#This Row],[In-
Service
Date]])</f>
        <v>7</v>
      </c>
      <c r="S965" s="308">
        <f>+Table227[[#This Row],[Proj To Date
Actuals]]*1.02^R965</f>
        <v>137346.96685802322</v>
      </c>
    </row>
    <row r="966" spans="1:19" x14ac:dyDescent="0.25">
      <c r="A966" s="476" t="s">
        <v>1562</v>
      </c>
      <c r="B966" s="475" t="s">
        <v>4243</v>
      </c>
      <c r="C966" s="422" t="e">
        <f>VLOOKUP(B966,'Matter &amp; CI#'!$D$4:$E$595,2,FALSE)</f>
        <v>#N/A</v>
      </c>
      <c r="D966" s="476" t="s">
        <v>1563</v>
      </c>
      <c r="E966" s="476" t="s">
        <v>21</v>
      </c>
      <c r="F966" s="476" t="s">
        <v>9</v>
      </c>
      <c r="G966" s="475" t="s">
        <v>2014</v>
      </c>
      <c r="H966" s="516"/>
      <c r="I966" s="477" t="s">
        <v>5</v>
      </c>
      <c r="J966" s="476" t="s">
        <v>14</v>
      </c>
      <c r="K966" s="476" t="s">
        <v>7</v>
      </c>
      <c r="L966" s="184">
        <v>41517</v>
      </c>
      <c r="M966" s="184">
        <v>42490</v>
      </c>
      <c r="N966" s="480">
        <v>41316.410000000003</v>
      </c>
      <c r="O966" s="478" t="str">
        <f>IFERROR(VLOOKUP(A966,[1]Approval!A:C,3,FALSE),"")</f>
        <v>FIN Approval - Internal</v>
      </c>
      <c r="P966" s="184">
        <f>IFERROR(VLOOKUP(A966,[1]Approval!A:J,10,FALSE),"")</f>
        <v>42478</v>
      </c>
      <c r="R966" s="425">
        <f>2020-YEAR(Table227[[#This Row],[In-
Service
Date]])</f>
        <v>7</v>
      </c>
      <c r="S966" s="308">
        <f>+Table227[[#This Row],[Proj To Date
Actuals]]*1.02^R966</f>
        <v>47459.568005721383</v>
      </c>
    </row>
    <row r="967" spans="1:19" x14ac:dyDescent="0.25">
      <c r="A967" s="476" t="s">
        <v>805</v>
      </c>
      <c r="B967" s="475" t="s">
        <v>4211</v>
      </c>
      <c r="C967" s="422" t="e">
        <f>VLOOKUP(B967,'Matter &amp; CI#'!$D$4:$E$595,2,FALSE)</f>
        <v>#N/A</v>
      </c>
      <c r="D967" s="476" t="s">
        <v>806</v>
      </c>
      <c r="E967" s="476" t="s">
        <v>21</v>
      </c>
      <c r="F967" s="476" t="s">
        <v>9</v>
      </c>
      <c r="G967" s="475" t="s">
        <v>2014</v>
      </c>
      <c r="H967" s="516"/>
      <c r="I967" s="477" t="s">
        <v>5</v>
      </c>
      <c r="J967" s="476" t="s">
        <v>6</v>
      </c>
      <c r="K967" s="476" t="s">
        <v>7</v>
      </c>
      <c r="L967" s="184">
        <v>41542</v>
      </c>
      <c r="M967" s="184">
        <v>42400</v>
      </c>
      <c r="N967" s="480">
        <v>527623.93000000005</v>
      </c>
      <c r="O967" s="478" t="str">
        <f>IFERROR(VLOOKUP(A967,[1]Approval!A:C,3,FALSE),"")</f>
        <v>FIN Approval - Internal</v>
      </c>
      <c r="P967" s="184">
        <f>IFERROR(VLOOKUP(A967,[1]Approval!A:J,10,FALSE),"")</f>
        <v>42418</v>
      </c>
      <c r="R967" s="425">
        <f>2020-YEAR(Table227[[#This Row],[In-
Service
Date]])</f>
        <v>7</v>
      </c>
      <c r="S967" s="308">
        <f>+Table227[[#This Row],[Proj To Date
Actuals]]*1.02^R967</f>
        <v>606074.04629978689</v>
      </c>
    </row>
    <row r="968" spans="1:19" x14ac:dyDescent="0.25">
      <c r="A968" s="476" t="s">
        <v>803</v>
      </c>
      <c r="B968" s="475" t="s">
        <v>4254</v>
      </c>
      <c r="C968" s="422" t="e">
        <f>VLOOKUP(B968,'Matter &amp; CI#'!$D$4:$E$595,2,FALSE)</f>
        <v>#N/A</v>
      </c>
      <c r="D968" s="476" t="s">
        <v>804</v>
      </c>
      <c r="E968" s="476" t="s">
        <v>10</v>
      </c>
      <c r="F968" s="476" t="s">
        <v>9</v>
      </c>
      <c r="G968" s="475" t="s">
        <v>2014</v>
      </c>
      <c r="H968" s="516"/>
      <c r="I968" s="477" t="s">
        <v>5</v>
      </c>
      <c r="J968" s="476" t="s">
        <v>12</v>
      </c>
      <c r="K968" s="476" t="s">
        <v>7</v>
      </c>
      <c r="L968" s="184">
        <v>41542</v>
      </c>
      <c r="M968" s="184">
        <v>41843</v>
      </c>
      <c r="N968" s="480">
        <v>55677.51</v>
      </c>
      <c r="O968" s="478" t="str">
        <f>IFERROR(VLOOKUP(A968,[1]Approval!A:C,3,FALSE),"")</f>
        <v>FIN Approval - Internal</v>
      </c>
      <c r="P968" s="184">
        <f>IFERROR(VLOOKUP(A968,[1]Approval!A:J,10,FALSE),"")</f>
        <v>41843</v>
      </c>
      <c r="R968" s="425">
        <f>2020-YEAR(Table227[[#This Row],[In-
Service
Date]])</f>
        <v>7</v>
      </c>
      <c r="S968" s="308">
        <f>+Table227[[#This Row],[Proj To Date
Actuals]]*1.02^R968</f>
        <v>63955.957747399458</v>
      </c>
    </row>
    <row r="969" spans="1:19" x14ac:dyDescent="0.25">
      <c r="A969" s="476" t="s">
        <v>1564</v>
      </c>
      <c r="B969" s="475" t="s">
        <v>4257</v>
      </c>
      <c r="C969" s="422" t="e">
        <f>VLOOKUP(B969,'Matter &amp; CI#'!$D$4:$E$595,2,FALSE)</f>
        <v>#N/A</v>
      </c>
      <c r="D969" s="476" t="s">
        <v>1565</v>
      </c>
      <c r="E969" s="476" t="s">
        <v>27</v>
      </c>
      <c r="F969" s="476" t="s">
        <v>9</v>
      </c>
      <c r="G969" s="475" t="s">
        <v>2014</v>
      </c>
      <c r="H969" s="516"/>
      <c r="I969" s="477" t="s">
        <v>5</v>
      </c>
      <c r="J969" s="476" t="s">
        <v>12</v>
      </c>
      <c r="K969" s="476" t="s">
        <v>7</v>
      </c>
      <c r="L969" s="184">
        <v>41542</v>
      </c>
      <c r="M969" s="184">
        <v>42400</v>
      </c>
      <c r="N969" s="480">
        <v>62046.93</v>
      </c>
      <c r="O969" s="478" t="str">
        <f>IFERROR(VLOOKUP(A969,[1]Approval!A:C,3,FALSE),"")</f>
        <v>FIN Approval - Internal</v>
      </c>
      <c r="P969" s="184">
        <f>IFERROR(VLOOKUP(A969,[1]Approval!A:J,10,FALSE),"")</f>
        <v>42418</v>
      </c>
      <c r="R969" s="425">
        <f>2020-YEAR(Table227[[#This Row],[In-
Service
Date]])</f>
        <v>7</v>
      </c>
      <c r="S969" s="308">
        <f>+Table227[[#This Row],[Proj To Date
Actuals]]*1.02^R969</f>
        <v>71272.419212638124</v>
      </c>
    </row>
    <row r="970" spans="1:19" x14ac:dyDescent="0.25">
      <c r="A970" s="476" t="s">
        <v>1819</v>
      </c>
      <c r="B970" s="475" t="s">
        <v>4227</v>
      </c>
      <c r="C970" s="422" t="e">
        <f>VLOOKUP(B970,'Matter &amp; CI#'!$D$4:$E$595,2,FALSE)</f>
        <v>#N/A</v>
      </c>
      <c r="D970" s="476" t="s">
        <v>1820</v>
      </c>
      <c r="E970" s="476" t="s">
        <v>27</v>
      </c>
      <c r="F970" s="476" t="s">
        <v>9</v>
      </c>
      <c r="G970" s="475" t="s">
        <v>2014</v>
      </c>
      <c r="H970" s="516"/>
      <c r="I970" s="477" t="s">
        <v>5</v>
      </c>
      <c r="J970" s="476" t="s">
        <v>12</v>
      </c>
      <c r="K970" s="476" t="s">
        <v>7</v>
      </c>
      <c r="L970" s="184">
        <v>41575</v>
      </c>
      <c r="M970" s="184">
        <v>42612</v>
      </c>
      <c r="N970" s="480">
        <v>27228.05</v>
      </c>
      <c r="O970" s="478" t="str">
        <f>IFERROR(VLOOKUP(A970,[1]Approval!A:C,3,FALSE),"")</f>
        <v>FIN Approval - Internal</v>
      </c>
      <c r="P970" s="184">
        <f>IFERROR(VLOOKUP(A970,[1]Approval!A:J,10,FALSE),"")</f>
        <v>42625</v>
      </c>
      <c r="R970" s="425">
        <f>2020-YEAR(Table227[[#This Row],[In-
Service
Date]])</f>
        <v>7</v>
      </c>
      <c r="S970" s="308">
        <f>+Table227[[#This Row],[Proj To Date
Actuals]]*1.02^R970</f>
        <v>31276.470793037974</v>
      </c>
    </row>
    <row r="971" spans="1:19" x14ac:dyDescent="0.25">
      <c r="A971" s="476" t="s">
        <v>333</v>
      </c>
      <c r="B971" s="475" t="s">
        <v>4175</v>
      </c>
      <c r="C971" s="422" t="e">
        <f>VLOOKUP(B971,'Matter &amp; CI#'!$D$4:$E$595,2,FALSE)</f>
        <v>#N/A</v>
      </c>
      <c r="D971" s="476" t="s">
        <v>334</v>
      </c>
      <c r="E971" s="476" t="s">
        <v>21</v>
      </c>
      <c r="F971" s="476" t="s">
        <v>9</v>
      </c>
      <c r="G971" s="475" t="s">
        <v>2014</v>
      </c>
      <c r="H971" s="516"/>
      <c r="I971" s="477" t="s">
        <v>5</v>
      </c>
      <c r="J971" s="476" t="s">
        <v>6</v>
      </c>
      <c r="K971" s="476" t="s">
        <v>7</v>
      </c>
      <c r="L971" s="184">
        <v>41698</v>
      </c>
      <c r="M971" s="184">
        <v>42400</v>
      </c>
      <c r="N971" s="480">
        <v>362525</v>
      </c>
      <c r="O971" s="478" t="str">
        <f>IFERROR(VLOOKUP(A971,[1]Approval!A:C,3,FALSE),"")</f>
        <v>FIN Approval - Internal</v>
      </c>
      <c r="P971" s="184">
        <f>IFERROR(VLOOKUP(A971,[1]Approval!A:J,10,FALSE),"")</f>
        <v>42418</v>
      </c>
      <c r="R971" s="425">
        <f>2020-YEAR(Table227[[#This Row],[In-
Service
Date]])</f>
        <v>6</v>
      </c>
      <c r="S971" s="308">
        <f>+Table227[[#This Row],[Proj To Date
Actuals]]*1.02^R971</f>
        <v>408262.03104368161</v>
      </c>
    </row>
    <row r="972" spans="1:19" x14ac:dyDescent="0.25">
      <c r="A972" s="476" t="s">
        <v>823</v>
      </c>
      <c r="B972" s="475" t="s">
        <v>4324</v>
      </c>
      <c r="C972" s="422" t="e">
        <f>VLOOKUP(B972,'Matter &amp; CI#'!$D$4:$E$595,2,FALSE)</f>
        <v>#N/A</v>
      </c>
      <c r="D972" s="476" t="s">
        <v>824</v>
      </c>
      <c r="E972" s="476" t="s">
        <v>21</v>
      </c>
      <c r="F972" s="476" t="s">
        <v>9</v>
      </c>
      <c r="G972" s="475" t="s">
        <v>2014</v>
      </c>
      <c r="H972" s="516"/>
      <c r="I972" s="477" t="s">
        <v>5</v>
      </c>
      <c r="J972" s="476" t="s">
        <v>12</v>
      </c>
      <c r="K972" s="476" t="s">
        <v>7</v>
      </c>
      <c r="L972" s="184">
        <v>41851</v>
      </c>
      <c r="M972" s="184">
        <v>42400</v>
      </c>
      <c r="N972" s="480">
        <v>91656.77</v>
      </c>
      <c r="O972" s="478" t="str">
        <f>IFERROR(VLOOKUP(A972,[1]Approval!A:C,3,FALSE),"")</f>
        <v>FIN Approval - Internal</v>
      </c>
      <c r="P972" s="184">
        <f>IFERROR(VLOOKUP(A972,[1]Approval!A:J,10,FALSE),"")</f>
        <v>42418</v>
      </c>
      <c r="R972" s="425">
        <f>2020-YEAR(Table227[[#This Row],[In-
Service
Date]])</f>
        <v>6</v>
      </c>
      <c r="S972" s="308">
        <f>+Table227[[#This Row],[Proj To Date
Actuals]]*1.02^R972</f>
        <v>103220.40984512403</v>
      </c>
    </row>
    <row r="973" spans="1:19" x14ac:dyDescent="0.25">
      <c r="A973" s="476" t="s">
        <v>1312</v>
      </c>
      <c r="B973" s="475" t="s">
        <v>4282</v>
      </c>
      <c r="C973" s="422" t="e">
        <f>VLOOKUP(B973,'Matter &amp; CI#'!$D$4:$E$595,2,FALSE)</f>
        <v>#N/A</v>
      </c>
      <c r="D973" s="476" t="s">
        <v>1313</v>
      </c>
      <c r="E973" s="476" t="s">
        <v>21</v>
      </c>
      <c r="F973" s="476" t="s">
        <v>9</v>
      </c>
      <c r="G973" s="475" t="s">
        <v>2014</v>
      </c>
      <c r="H973" s="516"/>
      <c r="I973" s="477" t="s">
        <v>5</v>
      </c>
      <c r="J973" s="476" t="s">
        <v>6</v>
      </c>
      <c r="K973" s="476" t="s">
        <v>7</v>
      </c>
      <c r="L973" s="184">
        <v>41882</v>
      </c>
      <c r="M973" s="184">
        <v>42400</v>
      </c>
      <c r="N973" s="480">
        <v>239312.61</v>
      </c>
      <c r="O973" s="478" t="str">
        <f>IFERROR(VLOOKUP(A973,[1]Approval!A:C,3,FALSE),"")</f>
        <v>FIN Approval - Internal</v>
      </c>
      <c r="P973" s="184">
        <f>IFERROR(VLOOKUP(A973,[1]Approval!A:J,10,FALSE),"")</f>
        <v>42418</v>
      </c>
      <c r="R973" s="425">
        <f>2020-YEAR(Table227[[#This Row],[In-
Service
Date]])</f>
        <v>6</v>
      </c>
      <c r="S973" s="308">
        <f>+Table227[[#This Row],[Proj To Date
Actuals]]*1.02^R973</f>
        <v>269504.86783798214</v>
      </c>
    </row>
    <row r="974" spans="1:19" x14ac:dyDescent="0.25">
      <c r="A974" s="476" t="s">
        <v>566</v>
      </c>
      <c r="B974" s="475" t="s">
        <v>4263</v>
      </c>
      <c r="C974" s="422" t="e">
        <f>VLOOKUP(B974,'Matter &amp; CI#'!$D$4:$E$595,2,FALSE)</f>
        <v>#N/A</v>
      </c>
      <c r="D974" s="476" t="s">
        <v>567</v>
      </c>
      <c r="E974" s="476" t="s">
        <v>21</v>
      </c>
      <c r="F974" s="476" t="s">
        <v>9</v>
      </c>
      <c r="G974" s="475" t="s">
        <v>2014</v>
      </c>
      <c r="H974" s="516"/>
      <c r="I974" s="477" t="s">
        <v>5</v>
      </c>
      <c r="J974" s="476" t="s">
        <v>6</v>
      </c>
      <c r="K974" s="476" t="s">
        <v>7</v>
      </c>
      <c r="L974" s="184">
        <v>41941</v>
      </c>
      <c r="M974" s="184">
        <v>42400</v>
      </c>
      <c r="N974" s="480">
        <v>247352.48</v>
      </c>
      <c r="O974" s="478" t="str">
        <f>IFERROR(VLOOKUP(A974,[1]Approval!A:C,3,FALSE),"")</f>
        <v>FIN Approval - Internal</v>
      </c>
      <c r="P974" s="184">
        <f>IFERROR(VLOOKUP(A974,[1]Approval!A:J,10,FALSE),"")</f>
        <v>42418</v>
      </c>
      <c r="R974" s="425">
        <f>2020-YEAR(Table227[[#This Row],[In-
Service
Date]])</f>
        <v>6</v>
      </c>
      <c r="S974" s="308">
        <f>+Table227[[#This Row],[Proj To Date
Actuals]]*1.02^R974</f>
        <v>278559.06728775019</v>
      </c>
    </row>
    <row r="975" spans="1:19" x14ac:dyDescent="0.25">
      <c r="A975" s="476" t="s">
        <v>349</v>
      </c>
      <c r="B975" s="475" t="s">
        <v>4328</v>
      </c>
      <c r="C975" s="422" t="e">
        <f>VLOOKUP(B975,'Matter &amp; CI#'!$D$4:$E$595,2,FALSE)</f>
        <v>#N/A</v>
      </c>
      <c r="D975" s="476" t="s">
        <v>350</v>
      </c>
      <c r="E975" s="476" t="s">
        <v>21</v>
      </c>
      <c r="F975" s="476" t="s">
        <v>9</v>
      </c>
      <c r="G975" s="475" t="s">
        <v>2014</v>
      </c>
      <c r="H975" s="516"/>
      <c r="I975" s="477" t="s">
        <v>5</v>
      </c>
      <c r="J975" s="476" t="s">
        <v>14</v>
      </c>
      <c r="K975" s="476" t="s">
        <v>7</v>
      </c>
      <c r="L975" s="184">
        <v>41967</v>
      </c>
      <c r="M975" s="184">
        <v>42400</v>
      </c>
      <c r="N975" s="480">
        <v>293849.53999999998</v>
      </c>
      <c r="O975" s="478" t="str">
        <f>IFERROR(VLOOKUP(A975,[1]Approval!A:C,3,FALSE),"")</f>
        <v>FIN Approval - Internal</v>
      </c>
      <c r="P975" s="184">
        <f>IFERROR(VLOOKUP(A975,[1]Approval!A:J,10,FALSE),"")</f>
        <v>42418</v>
      </c>
      <c r="R975" s="425">
        <f>2020-YEAR(Table227[[#This Row],[In-
Service
Date]])</f>
        <v>6</v>
      </c>
      <c r="S975" s="308">
        <f>+Table227[[#This Row],[Proj To Date
Actuals]]*1.02^R975</f>
        <v>330922.30886601354</v>
      </c>
    </row>
    <row r="976" spans="1:19" x14ac:dyDescent="0.25">
      <c r="A976" s="476" t="s">
        <v>580</v>
      </c>
      <c r="B976" s="475" t="s">
        <v>4305</v>
      </c>
      <c r="C976" s="422" t="e">
        <f>VLOOKUP(B976,'Matter &amp; CI#'!$D$4:$E$595,2,FALSE)</f>
        <v>#N/A</v>
      </c>
      <c r="D976" s="476" t="s">
        <v>581</v>
      </c>
      <c r="E976" s="476" t="s">
        <v>10</v>
      </c>
      <c r="F976" s="476" t="s">
        <v>9</v>
      </c>
      <c r="G976" s="475" t="s">
        <v>2014</v>
      </c>
      <c r="H976" s="516"/>
      <c r="I976" s="477" t="s">
        <v>5</v>
      </c>
      <c r="J976" s="476" t="s">
        <v>14</v>
      </c>
      <c r="K976" s="476" t="s">
        <v>7</v>
      </c>
      <c r="L976" s="184">
        <v>42002</v>
      </c>
      <c r="M976" s="184">
        <v>42909</v>
      </c>
      <c r="N976" s="480">
        <v>21753.53</v>
      </c>
      <c r="O976" s="478" t="str">
        <f>IFERROR(VLOOKUP(A976,[1]Approval!A:C,3,FALSE),"")</f>
        <v>FIN Approval - Internal</v>
      </c>
      <c r="P976" s="184">
        <f>IFERROR(VLOOKUP(A976,[1]Approval!A:J,10,FALSE),"")</f>
        <v>42909</v>
      </c>
      <c r="R976" s="425">
        <f>2020-YEAR(Table227[[#This Row],[In-
Service
Date]])</f>
        <v>6</v>
      </c>
      <c r="S976" s="308">
        <f>+Table227[[#This Row],[Proj To Date
Actuals]]*1.02^R976</f>
        <v>24498.007972332001</v>
      </c>
    </row>
    <row r="977" spans="1:19" x14ac:dyDescent="0.25">
      <c r="A977" s="476" t="s">
        <v>1306</v>
      </c>
      <c r="B977" s="475" t="s">
        <v>4298</v>
      </c>
      <c r="C977" s="422" t="e">
        <f>VLOOKUP(B977,'Matter &amp; CI#'!$D$4:$E$595,2,FALSE)</f>
        <v>#N/A</v>
      </c>
      <c r="D977" s="476" t="s">
        <v>1307</v>
      </c>
      <c r="E977" s="476" t="s">
        <v>10</v>
      </c>
      <c r="F977" s="476" t="s">
        <v>9</v>
      </c>
      <c r="G977" s="475" t="s">
        <v>2014</v>
      </c>
      <c r="H977" s="516"/>
      <c r="I977" s="477" t="s">
        <v>5</v>
      </c>
      <c r="J977" s="476" t="s">
        <v>12</v>
      </c>
      <c r="K977" s="476" t="s">
        <v>7</v>
      </c>
      <c r="L977" s="184">
        <v>42004</v>
      </c>
      <c r="M977" s="184">
        <v>42909</v>
      </c>
      <c r="N977" s="480">
        <v>52594.52</v>
      </c>
      <c r="O977" s="478" t="str">
        <f>IFERROR(VLOOKUP(A977,[1]Approval!A:C,3,FALSE),"")</f>
        <v>FIN Approval - Internal</v>
      </c>
      <c r="P977" s="184">
        <f>IFERROR(VLOOKUP(A977,[1]Approval!A:J,10,FALSE),"")</f>
        <v>42909</v>
      </c>
      <c r="R977" s="425">
        <f>2020-YEAR(Table227[[#This Row],[In-
Service
Date]])</f>
        <v>6</v>
      </c>
      <c r="S977" s="308">
        <f>+Table227[[#This Row],[Proj To Date
Actuals]]*1.02^R977</f>
        <v>59229.971883228834</v>
      </c>
    </row>
    <row r="978" spans="1:19" x14ac:dyDescent="0.25">
      <c r="A978" s="476" t="s">
        <v>1584</v>
      </c>
      <c r="B978" s="475" t="s">
        <v>4301</v>
      </c>
      <c r="C978" s="422" t="e">
        <f>VLOOKUP(B978,'Matter &amp; CI#'!$D$4:$E$595,2,FALSE)</f>
        <v>#N/A</v>
      </c>
      <c r="D978" s="476" t="s">
        <v>1585</v>
      </c>
      <c r="E978" s="476" t="s">
        <v>21</v>
      </c>
      <c r="F978" s="476" t="s">
        <v>9</v>
      </c>
      <c r="G978" s="475" t="s">
        <v>2014</v>
      </c>
      <c r="H978" s="516"/>
      <c r="I978" s="477" t="s">
        <v>5</v>
      </c>
      <c r="J978" s="476" t="s">
        <v>14</v>
      </c>
      <c r="K978" s="476" t="s">
        <v>7</v>
      </c>
      <c r="L978" s="184">
        <v>42004</v>
      </c>
      <c r="M978" s="184">
        <v>42400</v>
      </c>
      <c r="N978" s="480">
        <v>104582.36</v>
      </c>
      <c r="O978" s="478" t="str">
        <f>IFERROR(VLOOKUP(A978,[1]Approval!A:C,3,FALSE),"")</f>
        <v>FIN Approval - Internal</v>
      </c>
      <c r="P978" s="184">
        <f>IFERROR(VLOOKUP(A978,[1]Approval!A:J,10,FALSE),"")</f>
        <v>42418</v>
      </c>
      <c r="R978" s="425">
        <f>2020-YEAR(Table227[[#This Row],[In-
Service
Date]])</f>
        <v>6</v>
      </c>
      <c r="S978" s="308">
        <f>+Table227[[#This Row],[Proj To Date
Actuals]]*1.02^R978</f>
        <v>117776.72354993859</v>
      </c>
    </row>
    <row r="979" spans="1:19" x14ac:dyDescent="0.25">
      <c r="A979" s="476" t="s">
        <v>1859</v>
      </c>
      <c r="B979" s="475" t="s">
        <v>4335</v>
      </c>
      <c r="C979" s="422" t="e">
        <f>VLOOKUP(B979,'Matter &amp; CI#'!$D$4:$E$595,2,FALSE)</f>
        <v>#N/A</v>
      </c>
      <c r="D979" s="476" t="s">
        <v>1860</v>
      </c>
      <c r="E979" s="476" t="s">
        <v>21</v>
      </c>
      <c r="F979" s="476" t="s">
        <v>9</v>
      </c>
      <c r="G979" s="475" t="s">
        <v>2014</v>
      </c>
      <c r="H979" s="516"/>
      <c r="I979" s="477" t="s">
        <v>5</v>
      </c>
      <c r="J979" s="476" t="s">
        <v>14</v>
      </c>
      <c r="K979" s="476" t="s">
        <v>7</v>
      </c>
      <c r="L979" s="184">
        <v>42004</v>
      </c>
      <c r="M979" s="184">
        <v>42400</v>
      </c>
      <c r="N979" s="480">
        <v>23075.26</v>
      </c>
      <c r="O979" s="478" t="str">
        <f>IFERROR(VLOOKUP(A979,[1]Approval!A:C,3,FALSE),"")</f>
        <v>FIN Approval - Internal</v>
      </c>
      <c r="P979" s="184">
        <f>IFERROR(VLOOKUP(A979,[1]Approval!A:J,10,FALSE),"")</f>
        <v>42418</v>
      </c>
      <c r="R979" s="425">
        <f>2020-YEAR(Table227[[#This Row],[In-
Service
Date]])</f>
        <v>6</v>
      </c>
      <c r="S979" s="308">
        <f>+Table227[[#This Row],[Proj To Date
Actuals]]*1.02^R979</f>
        <v>25986.49062674581</v>
      </c>
    </row>
    <row r="980" spans="1:19" x14ac:dyDescent="0.25">
      <c r="A980" s="476" t="s">
        <v>351</v>
      </c>
      <c r="B980" s="475" t="s">
        <v>4333</v>
      </c>
      <c r="C980" s="422" t="e">
        <f>VLOOKUP(B980,'Matter &amp; CI#'!$D$4:$E$595,2,FALSE)</f>
        <v>#N/A</v>
      </c>
      <c r="D980" s="476" t="s">
        <v>352</v>
      </c>
      <c r="E980" s="476" t="s">
        <v>10</v>
      </c>
      <c r="F980" s="476" t="s">
        <v>9</v>
      </c>
      <c r="G980" s="475" t="s">
        <v>2014</v>
      </c>
      <c r="H980" s="516"/>
      <c r="I980" s="477" t="s">
        <v>5</v>
      </c>
      <c r="J980" s="476" t="s">
        <v>12</v>
      </c>
      <c r="K980" s="476" t="s">
        <v>7</v>
      </c>
      <c r="L980" s="184">
        <v>42124</v>
      </c>
      <c r="M980" s="184">
        <v>42909</v>
      </c>
      <c r="N980" s="480">
        <v>77740.31</v>
      </c>
      <c r="O980" s="478" t="str">
        <f>IFERROR(VLOOKUP(A980,[1]Approval!A:C,3,FALSE),"")</f>
        <v>FIN Approval - Internal</v>
      </c>
      <c r="P980" s="184">
        <f>IFERROR(VLOOKUP(A980,[1]Approval!A:J,10,FALSE),"")</f>
        <v>42909</v>
      </c>
      <c r="R980" s="425">
        <f>2020-YEAR(Table227[[#This Row],[In-
Service
Date]])</f>
        <v>5</v>
      </c>
      <c r="S980" s="308">
        <f>+Table227[[#This Row],[Proj To Date
Actuals]]*1.02^R980</f>
        <v>85831.583905816995</v>
      </c>
    </row>
    <row r="981" spans="1:19" x14ac:dyDescent="0.25">
      <c r="A981" s="476" t="s">
        <v>835</v>
      </c>
      <c r="B981" s="475" t="s">
        <v>4392</v>
      </c>
      <c r="C981" s="422" t="e">
        <f>VLOOKUP(B981,'Matter &amp; CI#'!$D$4:$E$595,2,FALSE)</f>
        <v>#N/A</v>
      </c>
      <c r="D981" s="476" t="s">
        <v>836</v>
      </c>
      <c r="E981" s="476" t="s">
        <v>10</v>
      </c>
      <c r="F981" s="476" t="s">
        <v>9</v>
      </c>
      <c r="G981" s="475" t="s">
        <v>2014</v>
      </c>
      <c r="H981" s="516"/>
      <c r="I981" s="477" t="s">
        <v>5</v>
      </c>
      <c r="J981" s="476" t="s">
        <v>14</v>
      </c>
      <c r="K981" s="476" t="s">
        <v>7</v>
      </c>
      <c r="L981" s="184">
        <v>42155</v>
      </c>
      <c r="M981" s="184">
        <v>42612</v>
      </c>
      <c r="N981" s="480">
        <v>174608.87</v>
      </c>
      <c r="O981" s="478" t="str">
        <f>IFERROR(VLOOKUP(A981,[1]Approval!A:C,3,FALSE),"")</f>
        <v>FIN Approval - Internal</v>
      </c>
      <c r="P981" s="184">
        <f>IFERROR(VLOOKUP(A981,[1]Approval!A:J,10,FALSE),"")</f>
        <v>42625</v>
      </c>
      <c r="R981" s="425">
        <f>2020-YEAR(Table227[[#This Row],[In-
Service
Date]])</f>
        <v>5</v>
      </c>
      <c r="S981" s="308">
        <f>+Table227[[#This Row],[Proj To Date
Actuals]]*1.02^R981</f>
        <v>192782.30143544439</v>
      </c>
    </row>
    <row r="982" spans="1:19" x14ac:dyDescent="0.25">
      <c r="A982" s="476" t="s">
        <v>1088</v>
      </c>
      <c r="B982" s="475" t="s">
        <v>4393</v>
      </c>
      <c r="C982" s="422" t="e">
        <f>VLOOKUP(B982,'Matter &amp; CI#'!$D$4:$E$595,2,FALSE)</f>
        <v>#N/A</v>
      </c>
      <c r="D982" s="476" t="s">
        <v>1089</v>
      </c>
      <c r="E982" s="476" t="s">
        <v>10</v>
      </c>
      <c r="F982" s="476" t="s">
        <v>9</v>
      </c>
      <c r="G982" s="475" t="s">
        <v>2014</v>
      </c>
      <c r="H982" s="516"/>
      <c r="I982" s="477" t="s">
        <v>5</v>
      </c>
      <c r="J982" s="476" t="s">
        <v>14</v>
      </c>
      <c r="K982" s="476" t="s">
        <v>7</v>
      </c>
      <c r="L982" s="184">
        <v>42155</v>
      </c>
      <c r="M982" s="184">
        <v>42937</v>
      </c>
      <c r="N982" s="480">
        <v>76336.3</v>
      </c>
      <c r="O982" s="478" t="str">
        <f>IFERROR(VLOOKUP(A982,[1]Approval!A:C,3,FALSE),"")</f>
        <v>FIN Approval - Internal</v>
      </c>
      <c r="P982" s="184">
        <f>IFERROR(VLOOKUP(A982,[1]Approval!A:J,10,FALSE),"")</f>
        <v>42937</v>
      </c>
      <c r="R982" s="425">
        <f>2020-YEAR(Table227[[#This Row],[In-
Service
Date]])</f>
        <v>5</v>
      </c>
      <c r="S982" s="308">
        <f>+Table227[[#This Row],[Proj To Date
Actuals]]*1.02^R982</f>
        <v>84281.443417316172</v>
      </c>
    </row>
    <row r="983" spans="1:19" x14ac:dyDescent="0.25">
      <c r="A983" s="476" t="s">
        <v>839</v>
      </c>
      <c r="B983" s="475" t="s">
        <v>4399</v>
      </c>
      <c r="C983" s="422" t="e">
        <f>VLOOKUP(B983,'Matter &amp; CI#'!$D$4:$E$595,2,FALSE)</f>
        <v>#N/A</v>
      </c>
      <c r="D983" s="476" t="s">
        <v>840</v>
      </c>
      <c r="E983" s="476" t="s">
        <v>10</v>
      </c>
      <c r="F983" s="476" t="s">
        <v>9</v>
      </c>
      <c r="G983" s="475" t="s">
        <v>2014</v>
      </c>
      <c r="H983" s="516"/>
      <c r="I983" s="477" t="s">
        <v>5</v>
      </c>
      <c r="J983" s="476" t="s">
        <v>131</v>
      </c>
      <c r="K983" s="476" t="s">
        <v>7</v>
      </c>
      <c r="L983" s="184">
        <v>42155</v>
      </c>
      <c r="M983" s="184">
        <v>42909</v>
      </c>
      <c r="N983" s="480">
        <v>25175.45</v>
      </c>
      <c r="O983" s="478" t="str">
        <f>IFERROR(VLOOKUP(A983,[1]Approval!A:C,3,FALSE),"")</f>
        <v>FIN Approval - Internal</v>
      </c>
      <c r="P983" s="184">
        <f>IFERROR(VLOOKUP(A983,[1]Approval!A:J,10,FALSE),"")</f>
        <v>42909</v>
      </c>
      <c r="R983" s="425">
        <f>2020-YEAR(Table227[[#This Row],[In-
Service
Date]])</f>
        <v>5</v>
      </c>
      <c r="S983" s="308">
        <f>+Table227[[#This Row],[Proj To Date
Actuals]]*1.02^R983</f>
        <v>27795.731056921442</v>
      </c>
    </row>
    <row r="984" spans="1:19" x14ac:dyDescent="0.25">
      <c r="A984" s="476" t="s">
        <v>1861</v>
      </c>
      <c r="B984" s="475" t="s">
        <v>4281</v>
      </c>
      <c r="C984" s="422" t="e">
        <f>VLOOKUP(B984,'Matter &amp; CI#'!$D$4:$E$595,2,FALSE)</f>
        <v>#N/A</v>
      </c>
      <c r="D984" s="476" t="s">
        <v>1862</v>
      </c>
      <c r="E984" s="476" t="s">
        <v>10</v>
      </c>
      <c r="F984" s="476" t="s">
        <v>9</v>
      </c>
      <c r="G984" s="475" t="s">
        <v>2014</v>
      </c>
      <c r="H984" s="516"/>
      <c r="I984" s="477" t="s">
        <v>5</v>
      </c>
      <c r="J984" s="476" t="s">
        <v>6</v>
      </c>
      <c r="K984" s="476" t="s">
        <v>7</v>
      </c>
      <c r="L984" s="184">
        <v>42185</v>
      </c>
      <c r="M984" s="184">
        <v>43524</v>
      </c>
      <c r="N984" s="480">
        <v>160982.78</v>
      </c>
      <c r="O984" s="478" t="str">
        <f>IFERROR(VLOOKUP(A984,[1]Approval!A:C,3,FALSE),"")</f>
        <v>FIN Approval - Internal</v>
      </c>
      <c r="P984" s="184">
        <f>IFERROR(VLOOKUP(A984,[1]Approval!A:J,10,FALSE),"")</f>
        <v>43432</v>
      </c>
      <c r="R984" s="425">
        <f>2020-YEAR(Table227[[#This Row],[In-
Service
Date]])</f>
        <v>5</v>
      </c>
      <c r="S984" s="308">
        <f>+Table227[[#This Row],[Proj To Date
Actuals]]*1.02^R984</f>
        <v>177737.9970437689</v>
      </c>
    </row>
    <row r="985" spans="1:19" x14ac:dyDescent="0.25">
      <c r="A985" s="476" t="s">
        <v>594</v>
      </c>
      <c r="B985" s="475" t="s">
        <v>4426</v>
      </c>
      <c r="C985" s="422" t="e">
        <f>VLOOKUP(B985,'Matter &amp; CI#'!$D$4:$E$595,2,FALSE)</f>
        <v>#N/A</v>
      </c>
      <c r="D985" s="476" t="s">
        <v>595</v>
      </c>
      <c r="E985" s="476" t="s">
        <v>10</v>
      </c>
      <c r="F985" s="476" t="s">
        <v>9</v>
      </c>
      <c r="G985" s="475" t="s">
        <v>2014</v>
      </c>
      <c r="H985" s="516"/>
      <c r="I985" s="477" t="s">
        <v>5</v>
      </c>
      <c r="J985" s="476" t="s">
        <v>12</v>
      </c>
      <c r="K985" s="476" t="s">
        <v>7</v>
      </c>
      <c r="L985" s="184">
        <v>42185</v>
      </c>
      <c r="M985" s="184">
        <v>43524</v>
      </c>
      <c r="N985" s="480">
        <v>321443.23</v>
      </c>
      <c r="O985" s="478" t="str">
        <f>IFERROR(VLOOKUP(A985,[1]Approval!A:C,3,FALSE),"")</f>
        <v>FIN Approval - Internal</v>
      </c>
      <c r="P985" s="184">
        <f>IFERROR(VLOOKUP(A985,[1]Approval!A:J,10,FALSE),"")</f>
        <v>43374</v>
      </c>
      <c r="R985" s="425">
        <f>2020-YEAR(Table227[[#This Row],[In-
Service
Date]])</f>
        <v>5</v>
      </c>
      <c r="S985" s="308">
        <f>+Table227[[#This Row],[Proj To Date
Actuals]]*1.02^R985</f>
        <v>354899.2995616023</v>
      </c>
    </row>
    <row r="986" spans="1:19" x14ac:dyDescent="0.25">
      <c r="A986" s="476" t="s">
        <v>1070</v>
      </c>
      <c r="B986" s="475" t="s">
        <v>4319</v>
      </c>
      <c r="C986" s="422" t="e">
        <f>VLOOKUP(B986,'Matter &amp; CI#'!$D$4:$E$595,2,FALSE)</f>
        <v>#N/A</v>
      </c>
      <c r="D986" s="476" t="s">
        <v>1071</v>
      </c>
      <c r="E986" s="476" t="s">
        <v>27</v>
      </c>
      <c r="F986" s="476" t="s">
        <v>9</v>
      </c>
      <c r="G986" s="475" t="s">
        <v>2014</v>
      </c>
      <c r="H986" s="516"/>
      <c r="I986" s="477" t="s">
        <v>5</v>
      </c>
      <c r="J986" s="476" t="s">
        <v>12</v>
      </c>
      <c r="K986" s="476" t="s">
        <v>7</v>
      </c>
      <c r="L986" s="184">
        <v>42247</v>
      </c>
      <c r="M986" s="184">
        <v>42612</v>
      </c>
      <c r="N986" s="480">
        <v>116609.11</v>
      </c>
      <c r="O986" s="478" t="str">
        <f>IFERROR(VLOOKUP(A986,[1]Approval!A:C,3,FALSE),"")</f>
        <v>FIN Approval - Internal</v>
      </c>
      <c r="P986" s="184">
        <f>IFERROR(VLOOKUP(A986,[1]Approval!A:J,10,FALSE),"")</f>
        <v>42625</v>
      </c>
      <c r="R986" s="425">
        <f>2020-YEAR(Table227[[#This Row],[In-
Service
Date]])</f>
        <v>5</v>
      </c>
      <c r="S986" s="308">
        <f>+Table227[[#This Row],[Proj To Date
Actuals]]*1.02^R986</f>
        <v>128745.87982923715</v>
      </c>
    </row>
    <row r="987" spans="1:19" x14ac:dyDescent="0.25">
      <c r="A987" s="476" t="s">
        <v>582</v>
      </c>
      <c r="B987" s="475" t="s">
        <v>4337</v>
      </c>
      <c r="C987" s="422" t="e">
        <f>VLOOKUP(B987,'Matter &amp; CI#'!$D$4:$E$595,2,FALSE)</f>
        <v>#N/A</v>
      </c>
      <c r="D987" s="476" t="s">
        <v>583</v>
      </c>
      <c r="E987" s="476" t="s">
        <v>10</v>
      </c>
      <c r="F987" s="476" t="s">
        <v>9</v>
      </c>
      <c r="G987" s="475" t="s">
        <v>2014</v>
      </c>
      <c r="H987" s="516"/>
      <c r="I987" s="477" t="s">
        <v>5</v>
      </c>
      <c r="J987" s="476" t="s">
        <v>6</v>
      </c>
      <c r="K987" s="476" t="s">
        <v>7</v>
      </c>
      <c r="L987" s="184">
        <v>42277</v>
      </c>
      <c r="M987" s="184">
        <v>43524</v>
      </c>
      <c r="N987" s="480">
        <v>173688.59</v>
      </c>
      <c r="O987" s="478" t="str">
        <f>IFERROR(VLOOKUP(A987,[1]Approval!A:C,3,FALSE),"")</f>
        <v>FIN Approval - Internal</v>
      </c>
      <c r="P987" s="184">
        <f>IFERROR(VLOOKUP(A987,[1]Approval!A:J,10,FALSE),"")</f>
        <v>43432</v>
      </c>
      <c r="R987" s="425">
        <f>2020-YEAR(Table227[[#This Row],[In-
Service
Date]])</f>
        <v>5</v>
      </c>
      <c r="S987" s="308">
        <f>+Table227[[#This Row],[Proj To Date
Actuals]]*1.02^R987</f>
        <v>191766.23795387548</v>
      </c>
    </row>
    <row r="988" spans="1:19" x14ac:dyDescent="0.25">
      <c r="A988" s="476" t="s">
        <v>1865</v>
      </c>
      <c r="B988" s="475" t="s">
        <v>4339</v>
      </c>
      <c r="C988" s="422" t="e">
        <f>VLOOKUP(B988,'Matter &amp; CI#'!$D$4:$E$595,2,FALSE)</f>
        <v>#N/A</v>
      </c>
      <c r="D988" s="476" t="s">
        <v>1866</v>
      </c>
      <c r="E988" s="476" t="s">
        <v>10</v>
      </c>
      <c r="F988" s="476" t="s">
        <v>9</v>
      </c>
      <c r="G988" s="475" t="s">
        <v>2014</v>
      </c>
      <c r="H988" s="516"/>
      <c r="I988" s="477" t="s">
        <v>5</v>
      </c>
      <c r="J988" s="476" t="s">
        <v>14</v>
      </c>
      <c r="K988" s="476" t="s">
        <v>7</v>
      </c>
      <c r="L988" s="184">
        <v>42277</v>
      </c>
      <c r="M988" s="184">
        <v>42937</v>
      </c>
      <c r="N988" s="480">
        <v>233351.13</v>
      </c>
      <c r="O988" s="478" t="str">
        <f>IFERROR(VLOOKUP(A988,[1]Approval!A:C,3,FALSE),"")</f>
        <v>FIN Approval - Internal</v>
      </c>
      <c r="P988" s="184">
        <f>IFERROR(VLOOKUP(A988,[1]Approval!A:J,10,FALSE),"")</f>
        <v>42937</v>
      </c>
      <c r="R988" s="425">
        <f>2020-YEAR(Table227[[#This Row],[In-
Service
Date]])</f>
        <v>5</v>
      </c>
      <c r="S988" s="308">
        <f>+Table227[[#This Row],[Proj To Date
Actuals]]*1.02^R988</f>
        <v>257638.50303802761</v>
      </c>
    </row>
    <row r="989" spans="1:19" x14ac:dyDescent="0.25">
      <c r="A989" s="476" t="s">
        <v>369</v>
      </c>
      <c r="B989" s="475" t="s">
        <v>4380</v>
      </c>
      <c r="C989" s="422" t="e">
        <f>VLOOKUP(B989,'Matter &amp; CI#'!$D$4:$E$595,2,FALSE)</f>
        <v>#N/A</v>
      </c>
      <c r="D989" s="476" t="s">
        <v>370</v>
      </c>
      <c r="E989" s="476" t="s">
        <v>10</v>
      </c>
      <c r="F989" s="476" t="s">
        <v>9</v>
      </c>
      <c r="G989" s="475" t="s">
        <v>2014</v>
      </c>
      <c r="H989" s="516"/>
      <c r="I989" s="477" t="s">
        <v>5</v>
      </c>
      <c r="J989" s="476" t="s">
        <v>12</v>
      </c>
      <c r="K989" s="476" t="s">
        <v>7</v>
      </c>
      <c r="L989" s="184">
        <v>42277</v>
      </c>
      <c r="M989" s="184">
        <v>42612</v>
      </c>
      <c r="N989" s="480">
        <v>197352.3</v>
      </c>
      <c r="O989" s="478" t="str">
        <f>IFERROR(VLOOKUP(A989,[1]Approval!A:C,3,FALSE),"")</f>
        <v>FIN Approval - Internal</v>
      </c>
      <c r="P989" s="184">
        <f>IFERROR(VLOOKUP(A989,[1]Approval!A:J,10,FALSE),"")</f>
        <v>42625</v>
      </c>
      <c r="R989" s="425">
        <f>2020-YEAR(Table227[[#This Row],[In-
Service
Date]])</f>
        <v>5</v>
      </c>
      <c r="S989" s="308">
        <f>+Table227[[#This Row],[Proj To Date
Actuals]]*1.02^R989</f>
        <v>217892.88589736735</v>
      </c>
    </row>
    <row r="990" spans="1:19" x14ac:dyDescent="0.25">
      <c r="A990" s="476" t="s">
        <v>1875</v>
      </c>
      <c r="B990" s="475" t="s">
        <v>4400</v>
      </c>
      <c r="C990" s="422" t="e">
        <f>VLOOKUP(B990,'Matter &amp; CI#'!$D$4:$E$595,2,FALSE)</f>
        <v>#N/A</v>
      </c>
      <c r="D990" s="476" t="s">
        <v>1876</v>
      </c>
      <c r="E990" s="476" t="s">
        <v>10</v>
      </c>
      <c r="F990" s="476" t="s">
        <v>9</v>
      </c>
      <c r="G990" s="475" t="s">
        <v>2014</v>
      </c>
      <c r="H990" s="516"/>
      <c r="I990" s="477" t="s">
        <v>5</v>
      </c>
      <c r="J990" s="476" t="s">
        <v>14</v>
      </c>
      <c r="K990" s="476" t="s">
        <v>7</v>
      </c>
      <c r="L990" s="184">
        <v>42277</v>
      </c>
      <c r="M990" s="184">
        <v>42937</v>
      </c>
      <c r="N990" s="480">
        <v>184837.95</v>
      </c>
      <c r="O990" s="478" t="str">
        <f>IFERROR(VLOOKUP(A990,[1]Approval!A:C,3,FALSE),"")</f>
        <v>FIN Approval - Internal</v>
      </c>
      <c r="P990" s="184">
        <f>IFERROR(VLOOKUP(A990,[1]Approval!A:J,10,FALSE),"")</f>
        <v>42937</v>
      </c>
      <c r="R990" s="425">
        <f>2020-YEAR(Table227[[#This Row],[In-
Service
Date]])</f>
        <v>5</v>
      </c>
      <c r="S990" s="308">
        <f>+Table227[[#This Row],[Proj To Date
Actuals]]*1.02^R990</f>
        <v>204076.03229784145</v>
      </c>
    </row>
    <row r="991" spans="1:19" x14ac:dyDescent="0.25">
      <c r="A991" s="476" t="s">
        <v>1877</v>
      </c>
      <c r="B991" s="475" t="s">
        <v>4421</v>
      </c>
      <c r="C991" s="422" t="e">
        <f>VLOOKUP(B991,'Matter &amp; CI#'!$D$4:$E$595,2,FALSE)</f>
        <v>#N/A</v>
      </c>
      <c r="D991" s="476" t="s">
        <v>1878</v>
      </c>
      <c r="E991" s="476" t="s">
        <v>10</v>
      </c>
      <c r="F991" s="476" t="s">
        <v>9</v>
      </c>
      <c r="G991" s="475" t="s">
        <v>2014</v>
      </c>
      <c r="H991" s="516"/>
      <c r="I991" s="477" t="s">
        <v>5</v>
      </c>
      <c r="J991" s="476" t="s">
        <v>131</v>
      </c>
      <c r="K991" s="476" t="s">
        <v>7</v>
      </c>
      <c r="L991" s="184">
        <v>42277</v>
      </c>
      <c r="M991" s="184">
        <v>42937</v>
      </c>
      <c r="N991" s="480">
        <v>34157.1</v>
      </c>
      <c r="O991" s="478" t="str">
        <f>IFERROR(VLOOKUP(A991,[1]Approval!A:C,3,FALSE),"")</f>
        <v>FIN Approval - Internal</v>
      </c>
      <c r="P991" s="184">
        <f>IFERROR(VLOOKUP(A991,[1]Approval!A:J,10,FALSE),"")</f>
        <v>42937</v>
      </c>
      <c r="R991" s="425">
        <f>2020-YEAR(Table227[[#This Row],[In-
Service
Date]])</f>
        <v>5</v>
      </c>
      <c r="S991" s="308">
        <f>+Table227[[#This Row],[Proj To Date
Actuals]]*1.02^R991</f>
        <v>37712.198402982722</v>
      </c>
    </row>
    <row r="992" spans="1:19" x14ac:dyDescent="0.25">
      <c r="A992" s="476" t="s">
        <v>602</v>
      </c>
      <c r="B992" s="475" t="s">
        <v>4427</v>
      </c>
      <c r="C992" s="422" t="e">
        <f>VLOOKUP(B992,'Matter &amp; CI#'!$D$4:$E$595,2,FALSE)</f>
        <v>#N/A</v>
      </c>
      <c r="D992" s="476" t="s">
        <v>603</v>
      </c>
      <c r="E992" s="476" t="s">
        <v>10</v>
      </c>
      <c r="F992" s="476" t="s">
        <v>9</v>
      </c>
      <c r="G992" s="475" t="s">
        <v>2014</v>
      </c>
      <c r="H992" s="516"/>
      <c r="I992" s="477" t="s">
        <v>5</v>
      </c>
      <c r="J992" s="476" t="s">
        <v>14</v>
      </c>
      <c r="K992" s="476" t="s">
        <v>7</v>
      </c>
      <c r="L992" s="184">
        <v>42277</v>
      </c>
      <c r="M992" s="184">
        <v>42937</v>
      </c>
      <c r="N992" s="480">
        <v>196215.56</v>
      </c>
      <c r="O992" s="478" t="str">
        <f>IFERROR(VLOOKUP(A992,[1]Approval!A:C,3,FALSE),"")</f>
        <v>FIN Approval - Internal</v>
      </c>
      <c r="P992" s="184">
        <f>IFERROR(VLOOKUP(A992,[1]Approval!A:J,10,FALSE),"")</f>
        <v>42937</v>
      </c>
      <c r="R992" s="425">
        <f>2020-YEAR(Table227[[#This Row],[In-
Service
Date]])</f>
        <v>5</v>
      </c>
      <c r="S992" s="308">
        <f>+Table227[[#This Row],[Proj To Date
Actuals]]*1.02^R992</f>
        <v>216637.8330851378</v>
      </c>
    </row>
    <row r="993" spans="1:19" x14ac:dyDescent="0.25">
      <c r="A993" s="476" t="s">
        <v>1885</v>
      </c>
      <c r="B993" s="475" t="s">
        <v>4432</v>
      </c>
      <c r="C993" s="422" t="e">
        <f>VLOOKUP(B993,'Matter &amp; CI#'!$D$4:$E$595,2,FALSE)</f>
        <v>#N/A</v>
      </c>
      <c r="D993" s="476" t="s">
        <v>1886</v>
      </c>
      <c r="E993" s="476" t="s">
        <v>10</v>
      </c>
      <c r="F993" s="476" t="s">
        <v>9</v>
      </c>
      <c r="G993" s="475" t="s">
        <v>2014</v>
      </c>
      <c r="H993" s="516"/>
      <c r="I993" s="477" t="s">
        <v>5</v>
      </c>
      <c r="J993" s="476" t="s">
        <v>14</v>
      </c>
      <c r="K993" s="476" t="s">
        <v>7</v>
      </c>
      <c r="L993" s="184">
        <v>42277</v>
      </c>
      <c r="M993" s="184">
        <v>42937</v>
      </c>
      <c r="N993" s="480">
        <v>240767.27</v>
      </c>
      <c r="O993" s="478" t="str">
        <f>IFERROR(VLOOKUP(A993,[1]Approval!A:C,3,FALSE),"")</f>
        <v>FIN Approval - Internal</v>
      </c>
      <c r="P993" s="184">
        <f>IFERROR(VLOOKUP(A993,[1]Approval!A:J,10,FALSE),"")</f>
        <v>42937</v>
      </c>
      <c r="R993" s="425">
        <f>2020-YEAR(Table227[[#This Row],[In-
Service
Date]])</f>
        <v>5</v>
      </c>
      <c r="S993" s="308">
        <f>+Table227[[#This Row],[Proj To Date
Actuals]]*1.02^R993</f>
        <v>265826.52084587124</v>
      </c>
    </row>
    <row r="994" spans="1:19" x14ac:dyDescent="0.25">
      <c r="A994" s="476" t="s">
        <v>841</v>
      </c>
      <c r="B994" s="475" t="s">
        <v>4434</v>
      </c>
      <c r="C994" s="422" t="e">
        <f>VLOOKUP(B994,'Matter &amp; CI#'!$D$4:$E$595,2,FALSE)</f>
        <v>#N/A</v>
      </c>
      <c r="D994" s="476" t="s">
        <v>842</v>
      </c>
      <c r="E994" s="476" t="s">
        <v>10</v>
      </c>
      <c r="F994" s="476" t="s">
        <v>9</v>
      </c>
      <c r="G994" s="475" t="s">
        <v>2014</v>
      </c>
      <c r="H994" s="516"/>
      <c r="I994" s="477" t="s">
        <v>5</v>
      </c>
      <c r="J994" s="476" t="s">
        <v>14</v>
      </c>
      <c r="K994" s="476" t="s">
        <v>7</v>
      </c>
      <c r="L994" s="184">
        <v>42277</v>
      </c>
      <c r="M994" s="184">
        <v>42937</v>
      </c>
      <c r="N994" s="480">
        <v>356577.56</v>
      </c>
      <c r="O994" s="478" t="str">
        <f>IFERROR(VLOOKUP(A994,[1]Approval!A:C,3,FALSE),"")</f>
        <v>FIN Approval - Internal</v>
      </c>
      <c r="P994" s="184">
        <f>IFERROR(VLOOKUP(A994,[1]Approval!A:J,10,FALSE),"")</f>
        <v>42937</v>
      </c>
      <c r="R994" s="425">
        <f>2020-YEAR(Table227[[#This Row],[In-
Service
Date]])</f>
        <v>5</v>
      </c>
      <c r="S994" s="308">
        <f>+Table227[[#This Row],[Proj To Date
Actuals]]*1.02^R994</f>
        <v>393690.43884789618</v>
      </c>
    </row>
    <row r="995" spans="1:19" x14ac:dyDescent="0.25">
      <c r="A995" s="476" t="s">
        <v>1332</v>
      </c>
      <c r="B995" s="475" t="s">
        <v>4363</v>
      </c>
      <c r="C995" s="422" t="e">
        <f>VLOOKUP(B995,'Matter &amp; CI#'!$D$4:$E$595,2,FALSE)</f>
        <v>#N/A</v>
      </c>
      <c r="D995" s="476" t="s">
        <v>1333</v>
      </c>
      <c r="E995" s="476" t="s">
        <v>10</v>
      </c>
      <c r="F995" s="476" t="s">
        <v>9</v>
      </c>
      <c r="G995" s="475" t="s">
        <v>2014</v>
      </c>
      <c r="H995" s="516"/>
      <c r="I995" s="477" t="s">
        <v>5</v>
      </c>
      <c r="J995" s="476" t="s">
        <v>6</v>
      </c>
      <c r="K995" s="476" t="s">
        <v>7</v>
      </c>
      <c r="L995" s="184">
        <v>42308</v>
      </c>
      <c r="M995" s="184">
        <v>42937</v>
      </c>
      <c r="N995" s="480">
        <v>575570.69999999995</v>
      </c>
      <c r="O995" s="478" t="str">
        <f>IFERROR(VLOOKUP(A995,[1]Approval!A:C,3,FALSE),"")</f>
        <v>FIN Approval - Internal</v>
      </c>
      <c r="P995" s="184">
        <f>IFERROR(VLOOKUP(A995,[1]Approval!A:J,10,FALSE),"")</f>
        <v>42937</v>
      </c>
      <c r="R995" s="425">
        <f>2020-YEAR(Table227[[#This Row],[In-
Service
Date]])</f>
        <v>5</v>
      </c>
      <c r="S995" s="308">
        <f>+Table227[[#This Row],[Proj To Date
Actuals]]*1.02^R995</f>
        <v>635476.56075438624</v>
      </c>
    </row>
    <row r="996" spans="1:19" x14ac:dyDescent="0.25">
      <c r="A996" s="476" t="s">
        <v>1094</v>
      </c>
      <c r="B996" s="475" t="s">
        <v>4422</v>
      </c>
      <c r="C996" s="422" t="e">
        <f>VLOOKUP(B996,'Matter &amp; CI#'!$D$4:$E$595,2,FALSE)</f>
        <v>#N/A</v>
      </c>
      <c r="D996" s="476" t="s">
        <v>1095</v>
      </c>
      <c r="E996" s="476" t="s">
        <v>10</v>
      </c>
      <c r="F996" s="476" t="s">
        <v>9</v>
      </c>
      <c r="G996" s="475" t="s">
        <v>2014</v>
      </c>
      <c r="H996" s="516"/>
      <c r="I996" s="477" t="s">
        <v>5</v>
      </c>
      <c r="J996" s="476" t="s">
        <v>131</v>
      </c>
      <c r="K996" s="476" t="s">
        <v>7</v>
      </c>
      <c r="L996" s="184">
        <v>42308</v>
      </c>
      <c r="M996" s="184">
        <v>42909</v>
      </c>
      <c r="N996" s="480">
        <v>186981.66</v>
      </c>
      <c r="O996" s="478" t="str">
        <f>IFERROR(VLOOKUP(A996,[1]Approval!A:C,3,FALSE),"")</f>
        <v>FIN Approval - Internal</v>
      </c>
      <c r="P996" s="184">
        <f>IFERROR(VLOOKUP(A996,[1]Approval!A:J,10,FALSE),"")</f>
        <v>42909</v>
      </c>
      <c r="R996" s="425">
        <f>2020-YEAR(Table227[[#This Row],[In-
Service
Date]])</f>
        <v>5</v>
      </c>
      <c r="S996" s="308">
        <f>+Table227[[#This Row],[Proj To Date
Actuals]]*1.02^R996</f>
        <v>206442.86135646931</v>
      </c>
    </row>
    <row r="997" spans="1:19" x14ac:dyDescent="0.25">
      <c r="A997" s="476" t="s">
        <v>123</v>
      </c>
      <c r="B997" s="475" t="s">
        <v>4264</v>
      </c>
      <c r="C997" s="422" t="e">
        <f>VLOOKUP(B997,'Matter &amp; CI#'!$D$4:$E$595,2,FALSE)</f>
        <v>#N/A</v>
      </c>
      <c r="D997" s="476" t="s">
        <v>124</v>
      </c>
      <c r="E997" s="476" t="s">
        <v>10</v>
      </c>
      <c r="F997" s="476" t="s">
        <v>9</v>
      </c>
      <c r="G997" s="475" t="s">
        <v>2014</v>
      </c>
      <c r="H997" s="516"/>
      <c r="I997" s="477" t="s">
        <v>5</v>
      </c>
      <c r="J997" s="476" t="s">
        <v>6</v>
      </c>
      <c r="K997" s="476" t="s">
        <v>7</v>
      </c>
      <c r="L997" s="184">
        <v>42338</v>
      </c>
      <c r="M997" s="184">
        <v>42937</v>
      </c>
      <c r="N997" s="480">
        <v>397976.41</v>
      </c>
      <c r="O997" s="478" t="str">
        <f>IFERROR(VLOOKUP(A997,[1]Approval!A:C,3,FALSE),"")</f>
        <v>FIN Approval - Internal</v>
      </c>
      <c r="P997" s="184">
        <f>IFERROR(VLOOKUP(A997,[1]Approval!A:J,10,FALSE),"")</f>
        <v>42937</v>
      </c>
      <c r="R997" s="425">
        <f>2020-YEAR(Table227[[#This Row],[In-
Service
Date]])</f>
        <v>5</v>
      </c>
      <c r="S997" s="308">
        <f>+Table227[[#This Row],[Proj To Date
Actuals]]*1.02^R997</f>
        <v>439398.11440745246</v>
      </c>
    </row>
    <row r="998" spans="1:19" x14ac:dyDescent="0.25">
      <c r="A998" s="476" t="s">
        <v>837</v>
      </c>
      <c r="B998" s="475" t="s">
        <v>4369</v>
      </c>
      <c r="C998" s="422" t="e">
        <f>VLOOKUP(B998,'Matter &amp; CI#'!$D$4:$E$595,2,FALSE)</f>
        <v>#N/A</v>
      </c>
      <c r="D998" s="476" t="s">
        <v>838</v>
      </c>
      <c r="E998" s="476" t="s">
        <v>10</v>
      </c>
      <c r="F998" s="476" t="s">
        <v>9</v>
      </c>
      <c r="G998" s="475" t="s">
        <v>2014</v>
      </c>
      <c r="H998" s="516"/>
      <c r="I998" s="477" t="s">
        <v>5</v>
      </c>
      <c r="J998" s="476" t="s">
        <v>6</v>
      </c>
      <c r="K998" s="476" t="s">
        <v>7</v>
      </c>
      <c r="L998" s="184">
        <v>42338</v>
      </c>
      <c r="M998" s="184">
        <v>43556</v>
      </c>
      <c r="N998" s="480">
        <v>119004.36</v>
      </c>
      <c r="O998" s="478" t="str">
        <f>IFERROR(VLOOKUP(A998,[1]Approval!A:C,3,FALSE),"")</f>
        <v>FIN Approval - Internal</v>
      </c>
      <c r="P998" s="184">
        <f>IFERROR(VLOOKUP(A998,[1]Approval!A:J,10,FALSE),"")</f>
        <v>43374</v>
      </c>
      <c r="R998" s="425">
        <f>2020-YEAR(Table227[[#This Row],[In-
Service
Date]])</f>
        <v>5</v>
      </c>
      <c r="S998" s="308">
        <f>+Table227[[#This Row],[Proj To Date
Actuals]]*1.02^R998</f>
        <v>131390.42937310194</v>
      </c>
    </row>
    <row r="999" spans="1:19" x14ac:dyDescent="0.25">
      <c r="A999" s="476" t="s">
        <v>1594</v>
      </c>
      <c r="B999" s="475" t="s">
        <v>4387</v>
      </c>
      <c r="C999" s="422" t="e">
        <f>VLOOKUP(B999,'Matter &amp; CI#'!$D$4:$E$595,2,FALSE)</f>
        <v>#N/A</v>
      </c>
      <c r="D999" s="476" t="s">
        <v>1595</v>
      </c>
      <c r="E999" s="476" t="s">
        <v>10</v>
      </c>
      <c r="F999" s="476" t="s">
        <v>9</v>
      </c>
      <c r="G999" s="475" t="s">
        <v>2014</v>
      </c>
      <c r="H999" s="516"/>
      <c r="I999" s="477" t="s">
        <v>5</v>
      </c>
      <c r="J999" s="476" t="s">
        <v>12</v>
      </c>
      <c r="K999" s="476" t="s">
        <v>7</v>
      </c>
      <c r="L999" s="184">
        <v>42338</v>
      </c>
      <c r="M999" s="184">
        <v>42937</v>
      </c>
      <c r="N999" s="480">
        <v>45134.22</v>
      </c>
      <c r="O999" s="478" t="str">
        <f>IFERROR(VLOOKUP(A999,[1]Approval!A:C,3,FALSE),"")</f>
        <v>FIN Approval - Internal</v>
      </c>
      <c r="P999" s="184">
        <f>IFERROR(VLOOKUP(A999,[1]Approval!A:J,10,FALSE),"")</f>
        <v>42937</v>
      </c>
      <c r="R999" s="425">
        <f>2020-YEAR(Table227[[#This Row],[In-
Service
Date]])</f>
        <v>5</v>
      </c>
      <c r="S999" s="308">
        <f>+Table227[[#This Row],[Proj To Date
Actuals]]*1.02^R999</f>
        <v>49831.825869405504</v>
      </c>
    </row>
    <row r="1000" spans="1:19" x14ac:dyDescent="0.25">
      <c r="A1000" s="476" t="s">
        <v>1338</v>
      </c>
      <c r="B1000" s="475" t="s">
        <v>4419</v>
      </c>
      <c r="C1000" s="422" t="e">
        <f>VLOOKUP(B1000,'Matter &amp; CI#'!$D$4:$E$595,2,FALSE)</f>
        <v>#N/A</v>
      </c>
      <c r="D1000" s="476" t="s">
        <v>1339</v>
      </c>
      <c r="E1000" s="476" t="s">
        <v>10</v>
      </c>
      <c r="F1000" s="476" t="s">
        <v>9</v>
      </c>
      <c r="G1000" s="475" t="s">
        <v>2014</v>
      </c>
      <c r="H1000" s="516"/>
      <c r="I1000" s="477" t="s">
        <v>5</v>
      </c>
      <c r="J1000" s="476" t="s">
        <v>12</v>
      </c>
      <c r="K1000" s="476" t="s">
        <v>7</v>
      </c>
      <c r="L1000" s="184">
        <v>42338</v>
      </c>
      <c r="M1000" s="184">
        <v>43524</v>
      </c>
      <c r="N1000" s="480">
        <v>127311.66</v>
      </c>
      <c r="O1000" s="478" t="str">
        <f>IFERROR(VLOOKUP(A1000,[1]Approval!A:C,3,FALSE),"")</f>
        <v>FIN Approval - Internal</v>
      </c>
      <c r="P1000" s="184">
        <f>IFERROR(VLOOKUP(A1000,[1]Approval!A:J,10,FALSE),"")</f>
        <v>43432</v>
      </c>
      <c r="R1000" s="425">
        <f>2020-YEAR(Table227[[#This Row],[In-
Service
Date]])</f>
        <v>5</v>
      </c>
      <c r="S1000" s="308">
        <f>+Table227[[#This Row],[Proj To Date
Actuals]]*1.02^R1000</f>
        <v>140562.35982952532</v>
      </c>
    </row>
    <row r="1001" spans="1:19" x14ac:dyDescent="0.25">
      <c r="A1001" s="476" t="s">
        <v>152</v>
      </c>
      <c r="B1001" s="475" t="s">
        <v>4435</v>
      </c>
      <c r="C1001" s="422" t="e">
        <f>VLOOKUP(B1001,'Matter &amp; CI#'!$D$4:$E$595,2,FALSE)</f>
        <v>#N/A</v>
      </c>
      <c r="D1001" s="476" t="s">
        <v>153</v>
      </c>
      <c r="E1001" s="476" t="s">
        <v>10</v>
      </c>
      <c r="F1001" s="476" t="s">
        <v>9</v>
      </c>
      <c r="G1001" s="475" t="s">
        <v>2014</v>
      </c>
      <c r="H1001" s="516"/>
      <c r="I1001" s="477" t="s">
        <v>5</v>
      </c>
      <c r="J1001" s="476" t="s">
        <v>6</v>
      </c>
      <c r="K1001" s="476" t="s">
        <v>7</v>
      </c>
      <c r="L1001" s="184">
        <v>42338</v>
      </c>
      <c r="M1001" s="184">
        <v>42937</v>
      </c>
      <c r="N1001" s="480">
        <v>413940.82</v>
      </c>
      <c r="O1001" s="478" t="str">
        <f>IFERROR(VLOOKUP(A1001,[1]Approval!A:C,3,FALSE),"")</f>
        <v>FIN Approval - Internal</v>
      </c>
      <c r="P1001" s="184">
        <f>IFERROR(VLOOKUP(A1001,[1]Approval!A:J,10,FALSE),"")</f>
        <v>42937</v>
      </c>
      <c r="R1001" s="425">
        <f>2020-YEAR(Table227[[#This Row],[In-
Service
Date]])</f>
        <v>5</v>
      </c>
      <c r="S1001" s="308">
        <f>+Table227[[#This Row],[Proj To Date
Actuals]]*1.02^R1001</f>
        <v>457024.11302286666</v>
      </c>
    </row>
    <row r="1002" spans="1:19" x14ac:dyDescent="0.25">
      <c r="A1002" s="476" t="s">
        <v>819</v>
      </c>
      <c r="B1002" s="475" t="s">
        <v>4156</v>
      </c>
      <c r="C1002" s="422" t="e">
        <f>VLOOKUP(B1002,'Matter &amp; CI#'!$D$4:$E$595,2,FALSE)</f>
        <v>#N/A</v>
      </c>
      <c r="D1002" s="476" t="s">
        <v>820</v>
      </c>
      <c r="E1002" s="476" t="s">
        <v>10</v>
      </c>
      <c r="F1002" s="476" t="s">
        <v>9</v>
      </c>
      <c r="G1002" s="475" t="s">
        <v>2014</v>
      </c>
      <c r="H1002" s="516"/>
      <c r="I1002" s="477" t="s">
        <v>5</v>
      </c>
      <c r="J1002" s="476" t="s">
        <v>6</v>
      </c>
      <c r="K1002" s="476" t="s">
        <v>28</v>
      </c>
      <c r="L1002" s="184">
        <v>42400</v>
      </c>
      <c r="N1002" s="480">
        <v>572007.71</v>
      </c>
      <c r="O1002" s="478" t="str">
        <f>IFERROR(VLOOKUP(A1002,[1]Approval!A:C,3,FALSE),"")</f>
        <v>FIN Approval - Internal</v>
      </c>
      <c r="P1002" s="184">
        <f>IFERROR(VLOOKUP(A1002,[1]Approval!A:J,10,FALSE),"")</f>
        <v>44126</v>
      </c>
      <c r="R1002" s="425">
        <f>2020-YEAR(Table227[[#This Row],[In-
Service
Date]])</f>
        <v>4</v>
      </c>
      <c r="S1002" s="308">
        <f>+Table227[[#This Row],[Proj To Date
Actuals]]*1.02^R1002</f>
        <v>619159.5410719536</v>
      </c>
    </row>
    <row r="1003" spans="1:19" x14ac:dyDescent="0.25">
      <c r="A1003" s="476" t="s">
        <v>1340</v>
      </c>
      <c r="B1003" s="475" t="s">
        <v>4342</v>
      </c>
      <c r="C1003" s="422" t="e">
        <f>VLOOKUP(B1003,'Matter &amp; CI#'!$D$4:$E$595,2,FALSE)</f>
        <v>#N/A</v>
      </c>
      <c r="D1003" s="476" t="s">
        <v>1341</v>
      </c>
      <c r="E1003" s="476" t="s">
        <v>10</v>
      </c>
      <c r="F1003" s="476" t="s">
        <v>9</v>
      </c>
      <c r="G1003" s="475" t="s">
        <v>2014</v>
      </c>
      <c r="H1003" s="516"/>
      <c r="I1003" s="477" t="s">
        <v>5</v>
      </c>
      <c r="J1003" s="476" t="s">
        <v>6</v>
      </c>
      <c r="K1003" s="476" t="s">
        <v>7</v>
      </c>
      <c r="L1003" s="184">
        <v>42400</v>
      </c>
      <c r="M1003" s="184">
        <v>43524</v>
      </c>
      <c r="N1003" s="480">
        <v>515499.91</v>
      </c>
      <c r="O1003" s="478" t="str">
        <f>IFERROR(VLOOKUP(A1003,[1]Approval!A:C,3,FALSE),"")</f>
        <v>FIN Approval - Internal</v>
      </c>
      <c r="P1003" s="184">
        <f>IFERROR(VLOOKUP(A1003,[1]Approval!A:J,10,FALSE),"")</f>
        <v>43432</v>
      </c>
      <c r="R1003" s="425">
        <f>2020-YEAR(Table227[[#This Row],[In-
Service
Date]])</f>
        <v>4</v>
      </c>
      <c r="S1003" s="308">
        <f>+Table227[[#This Row],[Proj To Date
Actuals]]*1.02^R1003</f>
        <v>557993.68106110557</v>
      </c>
    </row>
    <row r="1004" spans="1:19" x14ac:dyDescent="0.25">
      <c r="A1004" s="476" t="s">
        <v>1606</v>
      </c>
      <c r="B1004" s="475" t="s">
        <v>4344</v>
      </c>
      <c r="C1004" s="422" t="e">
        <f>VLOOKUP(B1004,'Matter &amp; CI#'!$D$4:$E$595,2,FALSE)</f>
        <v>#N/A</v>
      </c>
      <c r="D1004" s="476" t="s">
        <v>1607</v>
      </c>
      <c r="E1004" s="476" t="s">
        <v>10</v>
      </c>
      <c r="F1004" s="476" t="s">
        <v>9</v>
      </c>
      <c r="G1004" s="475" t="s">
        <v>2014</v>
      </c>
      <c r="H1004" s="516"/>
      <c r="I1004" s="477" t="s">
        <v>5</v>
      </c>
      <c r="J1004" s="476" t="s">
        <v>6</v>
      </c>
      <c r="K1004" s="476" t="s">
        <v>7</v>
      </c>
      <c r="L1004" s="184">
        <v>42400</v>
      </c>
      <c r="M1004" s="184">
        <v>43524</v>
      </c>
      <c r="N1004" s="480">
        <v>632921.43999999994</v>
      </c>
      <c r="O1004" s="478" t="str">
        <f>IFERROR(VLOOKUP(A1004,[1]Approval!A:C,3,FALSE),"")</f>
        <v>FIN Approval - Internal</v>
      </c>
      <c r="P1004" s="184">
        <f>IFERROR(VLOOKUP(A1004,[1]Approval!A:J,10,FALSE),"")</f>
        <v>43432</v>
      </c>
      <c r="R1004" s="425">
        <f>2020-YEAR(Table227[[#This Row],[In-
Service
Date]])</f>
        <v>4</v>
      </c>
      <c r="S1004" s="308">
        <f>+Table227[[#This Row],[Proj To Date
Actuals]]*1.02^R1004</f>
        <v>685094.52140951029</v>
      </c>
    </row>
    <row r="1005" spans="1:19" x14ac:dyDescent="0.25">
      <c r="A1005" s="476" t="s">
        <v>584</v>
      </c>
      <c r="B1005" s="475" t="s">
        <v>4364</v>
      </c>
      <c r="C1005" s="422" t="e">
        <f>VLOOKUP(B1005,'Matter &amp; CI#'!$D$4:$E$595,2,FALSE)</f>
        <v>#N/A</v>
      </c>
      <c r="D1005" s="476" t="s">
        <v>585</v>
      </c>
      <c r="E1005" s="476" t="s">
        <v>10</v>
      </c>
      <c r="F1005" s="476" t="s">
        <v>9</v>
      </c>
      <c r="G1005" s="475" t="s">
        <v>2014</v>
      </c>
      <c r="H1005" s="516"/>
      <c r="I1005" s="477" t="s">
        <v>5</v>
      </c>
      <c r="J1005" s="476" t="s">
        <v>6</v>
      </c>
      <c r="K1005" s="476" t="s">
        <v>7</v>
      </c>
      <c r="L1005" s="184">
        <v>42400</v>
      </c>
      <c r="M1005" s="184">
        <v>43524</v>
      </c>
      <c r="N1005" s="480">
        <v>791829.61</v>
      </c>
      <c r="O1005" s="478" t="str">
        <f>IFERROR(VLOOKUP(A1005,[1]Approval!A:C,3,FALSE),"")</f>
        <v>FIN Approval - Internal</v>
      </c>
      <c r="P1005" s="184">
        <f>IFERROR(VLOOKUP(A1005,[1]Approval!A:J,10,FALSE),"")</f>
        <v>43452</v>
      </c>
      <c r="R1005" s="425">
        <f>2020-YEAR(Table227[[#This Row],[In-
Service
Date]])</f>
        <v>4</v>
      </c>
      <c r="S1005" s="308">
        <f>+Table227[[#This Row],[Proj To Date
Actuals]]*1.02^R1005</f>
        <v>857101.83510425757</v>
      </c>
    </row>
    <row r="1006" spans="1:19" x14ac:dyDescent="0.25">
      <c r="A1006" s="476" t="s">
        <v>1034</v>
      </c>
      <c r="B1006" s="475" t="s">
        <v>4055</v>
      </c>
      <c r="C1006" s="422" t="e">
        <f>VLOOKUP(B1006,'Matter &amp; CI#'!$D$4:$E$595,2,FALSE)</f>
        <v>#N/A</v>
      </c>
      <c r="D1006" s="476" t="s">
        <v>1035</v>
      </c>
      <c r="E1006" s="476" t="s">
        <v>10</v>
      </c>
      <c r="F1006" s="476" t="s">
        <v>9</v>
      </c>
      <c r="G1006" s="475" t="s">
        <v>2014</v>
      </c>
      <c r="H1006" s="516"/>
      <c r="I1006" s="477" t="s">
        <v>5</v>
      </c>
      <c r="J1006" s="476" t="s">
        <v>6</v>
      </c>
      <c r="K1006" s="476" t="s">
        <v>7</v>
      </c>
      <c r="L1006" s="184">
        <v>42429</v>
      </c>
      <c r="M1006" s="184">
        <v>43586</v>
      </c>
      <c r="N1006" s="480">
        <v>373801.96</v>
      </c>
      <c r="O1006" s="478" t="str">
        <f>IFERROR(VLOOKUP(A1006,[1]Approval!A:C,3,FALSE),"")</f>
        <v>FIN Approval - Internal</v>
      </c>
      <c r="P1006" s="184">
        <f>IFERROR(VLOOKUP(A1006,[1]Approval!A:J,10,FALSE),"")</f>
        <v>43507</v>
      </c>
      <c r="R1006" s="425">
        <f>2020-YEAR(Table227[[#This Row],[In-
Service
Date]])</f>
        <v>4</v>
      </c>
      <c r="S1006" s="308">
        <f>+Table227[[#This Row],[Proj To Date
Actuals]]*1.02^R1006</f>
        <v>404615.26297503361</v>
      </c>
    </row>
    <row r="1007" spans="1:19" x14ac:dyDescent="0.25">
      <c r="A1007" s="476" t="s">
        <v>1350</v>
      </c>
      <c r="B1007" s="475" t="s">
        <v>4457</v>
      </c>
      <c r="C1007" s="422" t="e">
        <f>VLOOKUP(B1007,'Matter &amp; CI#'!$D$4:$E$595,2,FALSE)</f>
        <v>#N/A</v>
      </c>
      <c r="D1007" s="476" t="s">
        <v>1351</v>
      </c>
      <c r="E1007" s="476" t="s">
        <v>10</v>
      </c>
      <c r="F1007" s="476" t="s">
        <v>9</v>
      </c>
      <c r="G1007" s="475" t="s">
        <v>2014</v>
      </c>
      <c r="H1007" s="516"/>
      <c r="I1007" s="477" t="s">
        <v>5</v>
      </c>
      <c r="J1007" s="476" t="s">
        <v>12</v>
      </c>
      <c r="K1007" s="476" t="s">
        <v>7</v>
      </c>
      <c r="L1007" s="184">
        <v>42429</v>
      </c>
      <c r="M1007" s="184">
        <v>42937</v>
      </c>
      <c r="N1007" s="480">
        <v>537992.59</v>
      </c>
      <c r="O1007" s="478" t="str">
        <f>IFERROR(VLOOKUP(A1007,[1]Approval!A:C,3,FALSE),"")</f>
        <v>FIN Approval - Internal</v>
      </c>
      <c r="P1007" s="184">
        <f>IFERROR(VLOOKUP(A1007,[1]Approval!A:J,10,FALSE),"")</f>
        <v>42937</v>
      </c>
      <c r="R1007" s="425">
        <f>2020-YEAR(Table227[[#This Row],[In-
Service
Date]])</f>
        <v>4</v>
      </c>
      <c r="S1007" s="308">
        <f>+Table227[[#This Row],[Proj To Date
Actuals]]*1.02^R1007</f>
        <v>582340.48125769431</v>
      </c>
    </row>
    <row r="1008" spans="1:19" x14ac:dyDescent="0.25">
      <c r="A1008" s="476" t="s">
        <v>1624</v>
      </c>
      <c r="B1008" s="475" t="s">
        <v>4493</v>
      </c>
      <c r="C1008" s="422" t="e">
        <f>VLOOKUP(B1008,'Matter &amp; CI#'!$D$4:$E$595,2,FALSE)</f>
        <v>#N/A</v>
      </c>
      <c r="D1008" s="476" t="s">
        <v>1625</v>
      </c>
      <c r="E1008" s="476" t="s">
        <v>10</v>
      </c>
      <c r="F1008" s="476" t="s">
        <v>9</v>
      </c>
      <c r="G1008" s="475" t="s">
        <v>2014</v>
      </c>
      <c r="H1008" s="516"/>
      <c r="I1008" s="477" t="s">
        <v>5</v>
      </c>
      <c r="J1008" s="476" t="s">
        <v>12</v>
      </c>
      <c r="K1008" s="476" t="s">
        <v>7</v>
      </c>
      <c r="L1008" s="184">
        <v>42429</v>
      </c>
      <c r="M1008" s="184">
        <v>42937</v>
      </c>
      <c r="N1008" s="480">
        <v>44165.69</v>
      </c>
      <c r="O1008" s="478" t="str">
        <f>IFERROR(VLOOKUP(A1008,[1]Approval!A:C,3,FALSE),"")</f>
        <v>FIN Approval - Internal</v>
      </c>
      <c r="P1008" s="184">
        <f>IFERROR(VLOOKUP(A1008,[1]Approval!A:J,10,FALSE),"")</f>
        <v>42937</v>
      </c>
      <c r="R1008" s="425">
        <f>2020-YEAR(Table227[[#This Row],[In-
Service
Date]])</f>
        <v>4</v>
      </c>
      <c r="S1008" s="308">
        <f>+Table227[[#This Row],[Proj To Date
Actuals]]*1.02^R1008</f>
        <v>47806.363224590401</v>
      </c>
    </row>
    <row r="1009" spans="1:19" x14ac:dyDescent="0.25">
      <c r="A1009" s="476" t="s">
        <v>1358</v>
      </c>
      <c r="B1009" s="475" t="s">
        <v>4497</v>
      </c>
      <c r="C1009" s="422" t="e">
        <f>VLOOKUP(B1009,'Matter &amp; CI#'!$D$4:$E$595,2,FALSE)</f>
        <v>#N/A</v>
      </c>
      <c r="D1009" s="476" t="s">
        <v>1359</v>
      </c>
      <c r="E1009" s="476" t="s">
        <v>21</v>
      </c>
      <c r="F1009" s="476" t="s">
        <v>9</v>
      </c>
      <c r="G1009" s="475" t="s">
        <v>2014</v>
      </c>
      <c r="H1009" s="516"/>
      <c r="I1009" s="477" t="s">
        <v>5</v>
      </c>
      <c r="J1009" s="476" t="s">
        <v>14</v>
      </c>
      <c r="K1009" s="476" t="s">
        <v>7</v>
      </c>
      <c r="L1009" s="184">
        <v>42429</v>
      </c>
      <c r="M1009" s="184">
        <v>42937</v>
      </c>
      <c r="N1009" s="480">
        <v>31102.76</v>
      </c>
      <c r="O1009" s="478" t="str">
        <f>IFERROR(VLOOKUP(A1009,[1]Approval!A:C,3,FALSE),"")</f>
        <v>FIN Approval - Internal</v>
      </c>
      <c r="P1009" s="184">
        <f>IFERROR(VLOOKUP(A1009,[1]Approval!A:J,10,FALSE),"")</f>
        <v>42937</v>
      </c>
      <c r="R1009" s="425">
        <f>2020-YEAR(Table227[[#This Row],[In-
Service
Date]])</f>
        <v>4</v>
      </c>
      <c r="S1009" s="308">
        <f>+Table227[[#This Row],[Proj To Date
Actuals]]*1.02^R1009</f>
        <v>33666.627688761597</v>
      </c>
    </row>
    <row r="1010" spans="1:19" x14ac:dyDescent="0.25">
      <c r="A1010" s="476" t="s">
        <v>1622</v>
      </c>
      <c r="B1010" s="475" t="s">
        <v>4514</v>
      </c>
      <c r="C1010" s="422" t="e">
        <f>VLOOKUP(B1010,'Matter &amp; CI#'!$D$4:$E$595,2,FALSE)</f>
        <v>#N/A</v>
      </c>
      <c r="D1010" s="476" t="s">
        <v>1623</v>
      </c>
      <c r="E1010" s="476" t="s">
        <v>10</v>
      </c>
      <c r="F1010" s="476" t="s">
        <v>9</v>
      </c>
      <c r="G1010" s="475" t="s">
        <v>2014</v>
      </c>
      <c r="H1010" s="516"/>
      <c r="I1010" s="477" t="s">
        <v>5</v>
      </c>
      <c r="J1010" s="476" t="s">
        <v>12</v>
      </c>
      <c r="K1010" s="476" t="s">
        <v>7</v>
      </c>
      <c r="L1010" s="184">
        <v>42429</v>
      </c>
      <c r="M1010" s="184">
        <v>42909</v>
      </c>
      <c r="N1010" s="480">
        <v>25833.15</v>
      </c>
      <c r="O1010" s="478" t="str">
        <f>IFERROR(VLOOKUP(A1010,[1]Approval!A:C,3,FALSE),"")</f>
        <v>FIN Approval - Internal</v>
      </c>
      <c r="P1010" s="184">
        <f>IFERROR(VLOOKUP(A1010,[1]Approval!A:J,10,FALSE),"")</f>
        <v>42909</v>
      </c>
      <c r="R1010" s="425">
        <f>2020-YEAR(Table227[[#This Row],[In-
Service
Date]])</f>
        <v>4</v>
      </c>
      <c r="S1010" s="308">
        <f>+Table227[[#This Row],[Proj To Date
Actuals]]*1.02^R1010</f>
        <v>27962.632354104</v>
      </c>
    </row>
    <row r="1011" spans="1:19" x14ac:dyDescent="0.25">
      <c r="A1011" s="476" t="s">
        <v>1863</v>
      </c>
      <c r="B1011" s="475" t="s">
        <v>4359</v>
      </c>
      <c r="C1011" s="422" t="e">
        <f>VLOOKUP(B1011,'Matter &amp; CI#'!$D$4:$E$595,2,FALSE)</f>
        <v>#N/A</v>
      </c>
      <c r="D1011" s="476" t="s">
        <v>1864</v>
      </c>
      <c r="E1011" s="476" t="s">
        <v>10</v>
      </c>
      <c r="F1011" s="476" t="s">
        <v>9</v>
      </c>
      <c r="G1011" s="475" t="s">
        <v>2014</v>
      </c>
      <c r="H1011" s="516"/>
      <c r="I1011" s="477" t="s">
        <v>5</v>
      </c>
      <c r="J1011" s="476" t="s">
        <v>6</v>
      </c>
      <c r="K1011" s="476" t="s">
        <v>7</v>
      </c>
      <c r="L1011" s="184">
        <v>42460</v>
      </c>
      <c r="M1011" s="184">
        <v>43677</v>
      </c>
      <c r="N1011" s="480">
        <v>607212.26</v>
      </c>
      <c r="O1011" s="478" t="str">
        <f>IFERROR(VLOOKUP(A1011,[1]Approval!A:C,3,FALSE),"")</f>
        <v>FIN Approval - Internal</v>
      </c>
      <c r="P1011" s="184">
        <f>IFERROR(VLOOKUP(A1011,[1]Approval!A:J,10,FALSE),"")</f>
        <v>43584</v>
      </c>
      <c r="R1011" s="425">
        <f>2020-YEAR(Table227[[#This Row],[In-
Service
Date]])</f>
        <v>4</v>
      </c>
      <c r="S1011" s="308">
        <f>+Table227[[#This Row],[Proj To Date
Actuals]]*1.02^R1011</f>
        <v>657266.0781702816</v>
      </c>
    </row>
    <row r="1012" spans="1:19" x14ac:dyDescent="0.25">
      <c r="A1012" s="476" t="s">
        <v>395</v>
      </c>
      <c r="B1012" s="475" t="s">
        <v>4375</v>
      </c>
      <c r="C1012" s="422" t="e">
        <f>VLOOKUP(B1012,'Matter &amp; CI#'!$D$4:$E$595,2,FALSE)</f>
        <v>#N/A</v>
      </c>
      <c r="D1012" s="476" t="s">
        <v>396</v>
      </c>
      <c r="E1012" s="476" t="s">
        <v>10</v>
      </c>
      <c r="F1012" s="476" t="s">
        <v>9</v>
      </c>
      <c r="G1012" s="475" t="s">
        <v>2014</v>
      </c>
      <c r="H1012" s="516"/>
      <c r="I1012" s="477" t="s">
        <v>5</v>
      </c>
      <c r="J1012" s="476" t="s">
        <v>6</v>
      </c>
      <c r="K1012" s="476" t="s">
        <v>7</v>
      </c>
      <c r="L1012" s="184">
        <v>42460</v>
      </c>
      <c r="M1012" s="184">
        <v>42909</v>
      </c>
      <c r="N1012" s="480">
        <v>617195.65</v>
      </c>
      <c r="O1012" s="478" t="str">
        <f>IFERROR(VLOOKUP(A1012,[1]Approval!A:C,3,FALSE),"")</f>
        <v>FIN Approval - Internal</v>
      </c>
      <c r="P1012" s="184">
        <f>IFERROR(VLOOKUP(A1012,[1]Approval!A:J,10,FALSE),"")</f>
        <v>42909</v>
      </c>
      <c r="R1012" s="425">
        <f>2020-YEAR(Table227[[#This Row],[In-
Service
Date]])</f>
        <v>4</v>
      </c>
      <c r="S1012" s="308">
        <f>+Table227[[#This Row],[Proj To Date
Actuals]]*1.02^R1012</f>
        <v>668072.42057210405</v>
      </c>
    </row>
    <row r="1013" spans="1:19" x14ac:dyDescent="0.25">
      <c r="A1013" s="476" t="s">
        <v>1620</v>
      </c>
      <c r="B1013" s="475" t="s">
        <v>4382</v>
      </c>
      <c r="C1013" s="422" t="e">
        <f>VLOOKUP(B1013,'Matter &amp; CI#'!$D$4:$E$595,2,FALSE)</f>
        <v>#N/A</v>
      </c>
      <c r="D1013" s="476" t="s">
        <v>1621</v>
      </c>
      <c r="E1013" s="476" t="s">
        <v>10</v>
      </c>
      <c r="F1013" s="476" t="s">
        <v>9</v>
      </c>
      <c r="G1013" s="475" t="s">
        <v>2014</v>
      </c>
      <c r="H1013" s="516"/>
      <c r="I1013" s="477" t="s">
        <v>5</v>
      </c>
      <c r="J1013" s="476" t="s">
        <v>6</v>
      </c>
      <c r="K1013" s="476" t="s">
        <v>7</v>
      </c>
      <c r="L1013" s="184">
        <v>42460</v>
      </c>
      <c r="M1013" s="184">
        <v>43586</v>
      </c>
      <c r="N1013" s="480">
        <v>703659.01</v>
      </c>
      <c r="O1013" s="478" t="str">
        <f>IFERROR(VLOOKUP(A1013,[1]Approval!A:C,3,FALSE),"")</f>
        <v>FIN Approval - Internal</v>
      </c>
      <c r="P1013" s="184">
        <f>IFERROR(VLOOKUP(A1013,[1]Approval!A:J,10,FALSE),"")</f>
        <v>43553</v>
      </c>
      <c r="R1013" s="425">
        <f>2020-YEAR(Table227[[#This Row],[In-
Service
Date]])</f>
        <v>4</v>
      </c>
      <c r="S1013" s="308">
        <f>+Table227[[#This Row],[Proj To Date
Actuals]]*1.02^R1013</f>
        <v>761663.14209776162</v>
      </c>
    </row>
    <row r="1014" spans="1:19" x14ac:dyDescent="0.25">
      <c r="A1014" s="476" t="s">
        <v>1360</v>
      </c>
      <c r="B1014" s="475" t="s">
        <v>4420</v>
      </c>
      <c r="C1014" s="422" t="e">
        <f>VLOOKUP(B1014,'Matter &amp; CI#'!$D$4:$E$595,2,FALSE)</f>
        <v>#N/A</v>
      </c>
      <c r="D1014" s="476" t="s">
        <v>1361</v>
      </c>
      <c r="E1014" s="476" t="s">
        <v>10</v>
      </c>
      <c r="F1014" s="476" t="s">
        <v>9</v>
      </c>
      <c r="G1014" s="475" t="s">
        <v>2014</v>
      </c>
      <c r="H1014" s="516"/>
      <c r="I1014" s="477" t="s">
        <v>5</v>
      </c>
      <c r="J1014" s="476" t="s">
        <v>14</v>
      </c>
      <c r="K1014" s="476" t="s">
        <v>28</v>
      </c>
      <c r="L1014" s="184">
        <v>42490</v>
      </c>
      <c r="N1014" s="480">
        <v>301847.05</v>
      </c>
      <c r="O1014" s="478" t="str">
        <f>IFERROR(VLOOKUP(A1014,[1]Approval!A:C,3,FALSE),"")</f>
        <v>FIN Approval - Internal</v>
      </c>
      <c r="P1014" s="184">
        <f>IFERROR(VLOOKUP(A1014,[1]Approval!A:J,10,FALSE),"")</f>
        <v>43374</v>
      </c>
      <c r="R1014" s="425">
        <f>2020-YEAR(Table227[[#This Row],[In-
Service
Date]])</f>
        <v>4</v>
      </c>
      <c r="S1014" s="308">
        <f>+Table227[[#This Row],[Proj To Date
Actuals]]*1.02^R1014</f>
        <v>326728.95432112797</v>
      </c>
    </row>
    <row r="1015" spans="1:19" x14ac:dyDescent="0.25">
      <c r="A1015" s="476" t="s">
        <v>415</v>
      </c>
      <c r="B1015" s="475" t="s">
        <v>4489</v>
      </c>
      <c r="C1015" s="422" t="e">
        <f>VLOOKUP(B1015,'Matter &amp; CI#'!$D$4:$E$595,2,FALSE)</f>
        <v>#N/A</v>
      </c>
      <c r="D1015" s="476" t="s">
        <v>416</v>
      </c>
      <c r="E1015" s="476" t="s">
        <v>10</v>
      </c>
      <c r="F1015" s="476" t="s">
        <v>9</v>
      </c>
      <c r="G1015" s="475" t="s">
        <v>2014</v>
      </c>
      <c r="H1015" s="516"/>
      <c r="I1015" s="477" t="s">
        <v>5</v>
      </c>
      <c r="J1015" s="476" t="s">
        <v>6</v>
      </c>
      <c r="K1015" s="476" t="s">
        <v>28</v>
      </c>
      <c r="L1015" s="184">
        <v>42490</v>
      </c>
      <c r="N1015" s="480">
        <v>468583.67999999999</v>
      </c>
      <c r="O1015" s="478" t="str">
        <f>IFERROR(VLOOKUP(A1015,[1]Approval!A:C,3,FALSE),"")</f>
        <v/>
      </c>
      <c r="P1015" s="184" t="str">
        <f>IFERROR(VLOOKUP(A1015,[1]Approval!A:J,10,FALSE),"")</f>
        <v/>
      </c>
      <c r="R1015" s="425">
        <f>2020-YEAR(Table227[[#This Row],[In-
Service
Date]])</f>
        <v>4</v>
      </c>
      <c r="S1015" s="308">
        <f>+Table227[[#This Row],[Proj To Date
Actuals]]*1.02^R1015</f>
        <v>507210.0448831488</v>
      </c>
    </row>
    <row r="1016" spans="1:19" x14ac:dyDescent="0.25">
      <c r="A1016" s="476" t="s">
        <v>853</v>
      </c>
      <c r="B1016" s="475" t="s">
        <v>4518</v>
      </c>
      <c r="C1016" s="422" t="e">
        <f>VLOOKUP(B1016,'Matter &amp; CI#'!$D$4:$E$595,2,FALSE)</f>
        <v>#N/A</v>
      </c>
      <c r="D1016" s="476" t="s">
        <v>854</v>
      </c>
      <c r="E1016" s="476" t="s">
        <v>10</v>
      </c>
      <c r="F1016" s="476" t="s">
        <v>9</v>
      </c>
      <c r="G1016" s="475" t="s">
        <v>2014</v>
      </c>
      <c r="H1016" s="516"/>
      <c r="I1016" s="477" t="s">
        <v>5</v>
      </c>
      <c r="J1016" s="476" t="s">
        <v>14</v>
      </c>
      <c r="K1016" s="476" t="s">
        <v>28</v>
      </c>
      <c r="L1016" s="184">
        <v>42490</v>
      </c>
      <c r="N1016" s="480">
        <v>96925.46</v>
      </c>
      <c r="O1016" s="478" t="str">
        <f>IFERROR(VLOOKUP(A1016,[1]Approval!A:C,3,FALSE),"")</f>
        <v>FIN Approval - Internal</v>
      </c>
      <c r="P1016" s="184">
        <f>IFERROR(VLOOKUP(A1016,[1]Approval!A:J,10,FALSE),"")</f>
        <v>43374</v>
      </c>
      <c r="R1016" s="425">
        <f>2020-YEAR(Table227[[#This Row],[In-
Service
Date]])</f>
        <v>4</v>
      </c>
      <c r="S1016" s="308">
        <f>+Table227[[#This Row],[Proj To Date
Actuals]]*1.02^R1016</f>
        <v>104915.2350267936</v>
      </c>
    </row>
    <row r="1017" spans="1:19" x14ac:dyDescent="0.25">
      <c r="A1017" s="476" t="s">
        <v>1907</v>
      </c>
      <c r="B1017" s="475" t="s">
        <v>4515</v>
      </c>
      <c r="C1017" s="422" t="e">
        <f>VLOOKUP(B1017,'Matter &amp; CI#'!$D$4:$E$595,2,FALSE)</f>
        <v>#N/A</v>
      </c>
      <c r="D1017" s="476" t="s">
        <v>1908</v>
      </c>
      <c r="E1017" s="476" t="s">
        <v>10</v>
      </c>
      <c r="F1017" s="476" t="s">
        <v>9</v>
      </c>
      <c r="G1017" s="475" t="s">
        <v>2014</v>
      </c>
      <c r="H1017" s="516"/>
      <c r="I1017" s="477" t="s">
        <v>5</v>
      </c>
      <c r="J1017" s="476" t="s">
        <v>12</v>
      </c>
      <c r="K1017" s="476" t="s">
        <v>7</v>
      </c>
      <c r="L1017" s="184">
        <v>42520</v>
      </c>
      <c r="M1017" s="184">
        <v>42937</v>
      </c>
      <c r="N1017" s="480">
        <v>24945.34</v>
      </c>
      <c r="O1017" s="478" t="str">
        <f>IFERROR(VLOOKUP(A1017,[1]Approval!A:C,3,FALSE),"")</f>
        <v>FIN Approval - Internal</v>
      </c>
      <c r="P1017" s="184">
        <f>IFERROR(VLOOKUP(A1017,[1]Approval!A:J,10,FALSE),"")</f>
        <v>42937</v>
      </c>
      <c r="R1017" s="425">
        <f>2020-YEAR(Table227[[#This Row],[In-
Service
Date]])</f>
        <v>4</v>
      </c>
      <c r="S1017" s="308">
        <f>+Table227[[#This Row],[Proj To Date
Actuals]]*1.02^R1017</f>
        <v>27001.638258134401</v>
      </c>
    </row>
    <row r="1018" spans="1:19" x14ac:dyDescent="0.25">
      <c r="A1018" s="476" t="s">
        <v>1901</v>
      </c>
      <c r="B1018" s="475" t="s">
        <v>4524</v>
      </c>
      <c r="C1018" s="422" t="e">
        <f>VLOOKUP(B1018,'Matter &amp; CI#'!$D$4:$E$595,2,FALSE)</f>
        <v>#N/A</v>
      </c>
      <c r="D1018" s="476" t="s">
        <v>1902</v>
      </c>
      <c r="E1018" s="476" t="s">
        <v>10</v>
      </c>
      <c r="F1018" s="476" t="s">
        <v>9</v>
      </c>
      <c r="G1018" s="475" t="s">
        <v>2014</v>
      </c>
      <c r="H1018" s="516"/>
      <c r="I1018" s="477" t="s">
        <v>5</v>
      </c>
      <c r="J1018" s="476" t="s">
        <v>14</v>
      </c>
      <c r="K1018" s="476" t="s">
        <v>7</v>
      </c>
      <c r="L1018" s="184">
        <v>42520</v>
      </c>
      <c r="M1018" s="184">
        <v>42909</v>
      </c>
      <c r="N1018" s="480">
        <v>50424.38</v>
      </c>
      <c r="O1018" s="478" t="str">
        <f>IFERROR(VLOOKUP(A1018,[1]Approval!A:C,3,FALSE),"")</f>
        <v>FIN Approval - Internal</v>
      </c>
      <c r="P1018" s="184">
        <f>IFERROR(VLOOKUP(A1018,[1]Approval!A:J,10,FALSE),"")</f>
        <v>42909</v>
      </c>
      <c r="R1018" s="425">
        <f>2020-YEAR(Table227[[#This Row],[In-
Service
Date]])</f>
        <v>4</v>
      </c>
      <c r="S1018" s="308">
        <f>+Table227[[#This Row],[Proj To Date
Actuals]]*1.02^R1018</f>
        <v>54580.970560060799</v>
      </c>
    </row>
    <row r="1019" spans="1:19" x14ac:dyDescent="0.25">
      <c r="A1019" s="476" t="s">
        <v>403</v>
      </c>
      <c r="B1019" s="475" t="s">
        <v>4377</v>
      </c>
      <c r="C1019" s="422" t="e">
        <f>VLOOKUP(B1019,'Matter &amp; CI#'!$D$4:$E$595,2,FALSE)</f>
        <v>#N/A</v>
      </c>
      <c r="D1019" s="476" t="s">
        <v>404</v>
      </c>
      <c r="E1019" s="476" t="s">
        <v>10</v>
      </c>
      <c r="F1019" s="476" t="s">
        <v>9</v>
      </c>
      <c r="G1019" s="475" t="s">
        <v>2014</v>
      </c>
      <c r="H1019" s="516"/>
      <c r="I1019" s="477" t="s">
        <v>5</v>
      </c>
      <c r="J1019" s="476" t="s">
        <v>12</v>
      </c>
      <c r="K1019" s="476" t="s">
        <v>7</v>
      </c>
      <c r="L1019" s="184">
        <v>42551</v>
      </c>
      <c r="M1019" s="184">
        <v>42909</v>
      </c>
      <c r="N1019" s="480">
        <v>24679</v>
      </c>
      <c r="O1019" s="478" t="str">
        <f>IFERROR(VLOOKUP(A1019,[1]Approval!A:C,3,FALSE),"")</f>
        <v>FIN Approval - Internal</v>
      </c>
      <c r="P1019" s="184">
        <f>IFERROR(VLOOKUP(A1019,[1]Approval!A:J,10,FALSE),"")</f>
        <v>42909</v>
      </c>
      <c r="R1019" s="425">
        <f>2020-YEAR(Table227[[#This Row],[In-
Service
Date]])</f>
        <v>4</v>
      </c>
      <c r="S1019" s="308">
        <f>+Table227[[#This Row],[Proj To Date
Actuals]]*1.02^R1019</f>
        <v>26713.34327664</v>
      </c>
    </row>
    <row r="1020" spans="1:19" x14ac:dyDescent="0.25">
      <c r="A1020" s="476" t="s">
        <v>1614</v>
      </c>
      <c r="B1020" s="475" t="s">
        <v>4430</v>
      </c>
      <c r="C1020" s="422" t="e">
        <f>VLOOKUP(B1020,'Matter &amp; CI#'!$D$4:$E$595,2,FALSE)</f>
        <v>#N/A</v>
      </c>
      <c r="D1020" s="476" t="s">
        <v>1615</v>
      </c>
      <c r="E1020" s="476" t="s">
        <v>10</v>
      </c>
      <c r="F1020" s="476" t="s">
        <v>9</v>
      </c>
      <c r="G1020" s="475" t="s">
        <v>2014</v>
      </c>
      <c r="H1020" s="516"/>
      <c r="I1020" s="477" t="s">
        <v>5</v>
      </c>
      <c r="J1020" s="476" t="s">
        <v>6</v>
      </c>
      <c r="K1020" s="476" t="s">
        <v>7</v>
      </c>
      <c r="L1020" s="184">
        <v>42551</v>
      </c>
      <c r="M1020" s="184">
        <v>43524</v>
      </c>
      <c r="N1020" s="480">
        <v>731035.15</v>
      </c>
      <c r="O1020" s="478" t="str">
        <f>IFERROR(VLOOKUP(A1020,[1]Approval!A:C,3,FALSE),"")</f>
        <v>FIN Approval - Internal</v>
      </c>
      <c r="P1020" s="184">
        <f>IFERROR(VLOOKUP(A1020,[1]Approval!A:J,10,FALSE),"")</f>
        <v>43432</v>
      </c>
      <c r="R1020" s="425">
        <f>2020-YEAR(Table227[[#This Row],[In-
Service
Date]])</f>
        <v>4</v>
      </c>
      <c r="S1020" s="308">
        <f>+Table227[[#This Row],[Proj To Date
Actuals]]*1.02^R1020</f>
        <v>791295.95645042404</v>
      </c>
    </row>
    <row r="1021" spans="1:19" x14ac:dyDescent="0.25">
      <c r="A1021" s="476" t="s">
        <v>1893</v>
      </c>
      <c r="B1021" s="475" t="s">
        <v>4440</v>
      </c>
      <c r="C1021" s="422" t="e">
        <f>VLOOKUP(B1021,'Matter &amp; CI#'!$D$4:$E$595,2,FALSE)</f>
        <v>#N/A</v>
      </c>
      <c r="D1021" s="476" t="s">
        <v>1894</v>
      </c>
      <c r="E1021" s="476" t="s">
        <v>10</v>
      </c>
      <c r="F1021" s="476" t="s">
        <v>9</v>
      </c>
      <c r="G1021" s="475" t="s">
        <v>2014</v>
      </c>
      <c r="H1021" s="516"/>
      <c r="I1021" s="477" t="s">
        <v>5</v>
      </c>
      <c r="J1021" s="476" t="s">
        <v>6</v>
      </c>
      <c r="K1021" s="476" t="s">
        <v>7</v>
      </c>
      <c r="L1021" s="184">
        <v>42551</v>
      </c>
      <c r="M1021" s="184">
        <v>43952</v>
      </c>
      <c r="N1021" s="480">
        <v>1336079.83</v>
      </c>
      <c r="O1021" s="478" t="str">
        <f>IFERROR(VLOOKUP(A1021,[1]Approval!A:C,3,FALSE),"")</f>
        <v>FIN Approval - Internal</v>
      </c>
      <c r="P1021" s="184">
        <f>IFERROR(VLOOKUP(A1021,[1]Approval!A:J,10,FALSE),"")</f>
        <v>43915</v>
      </c>
      <c r="R1021" s="425">
        <f>2020-YEAR(Table227[[#This Row],[In-
Service
Date]])</f>
        <v>4</v>
      </c>
      <c r="S1021" s="308">
        <f>+Table227[[#This Row],[Proj To Date
Actuals]]*1.02^R1021</f>
        <v>1446215.7763193329</v>
      </c>
    </row>
    <row r="1022" spans="1:19" x14ac:dyDescent="0.25">
      <c r="A1022" s="476" t="s">
        <v>861</v>
      </c>
      <c r="B1022" s="475" t="s">
        <v>4441</v>
      </c>
      <c r="C1022" s="422" t="e">
        <f>VLOOKUP(B1022,'Matter &amp; CI#'!$D$4:$E$595,2,FALSE)</f>
        <v>#N/A</v>
      </c>
      <c r="D1022" s="476" t="s">
        <v>862</v>
      </c>
      <c r="E1022" s="476" t="s">
        <v>10</v>
      </c>
      <c r="F1022" s="476" t="s">
        <v>9</v>
      </c>
      <c r="G1022" s="475" t="s">
        <v>2014</v>
      </c>
      <c r="H1022" s="516"/>
      <c r="I1022" s="477" t="s">
        <v>5</v>
      </c>
      <c r="J1022" s="476" t="s">
        <v>6</v>
      </c>
      <c r="K1022" s="476" t="s">
        <v>7</v>
      </c>
      <c r="L1022" s="184">
        <v>42551</v>
      </c>
      <c r="M1022" s="184">
        <v>43343</v>
      </c>
      <c r="N1022" s="480">
        <v>203211.29</v>
      </c>
      <c r="O1022" s="478" t="str">
        <f>IFERROR(VLOOKUP(A1022,[1]Approval!A:C,3,FALSE),"")</f>
        <v>FIN Approval - Internal</v>
      </c>
      <c r="P1022" s="184">
        <f>IFERROR(VLOOKUP(A1022,[1]Approval!A:J,10,FALSE),"")</f>
        <v>43280</v>
      </c>
      <c r="R1022" s="425">
        <f>2020-YEAR(Table227[[#This Row],[In-
Service
Date]])</f>
        <v>4</v>
      </c>
      <c r="S1022" s="308">
        <f>+Table227[[#This Row],[Proj To Date
Actuals]]*1.02^R1022</f>
        <v>219962.43557108642</v>
      </c>
    </row>
    <row r="1023" spans="1:19" x14ac:dyDescent="0.25">
      <c r="A1023" s="476" t="s">
        <v>1114</v>
      </c>
      <c r="B1023" s="475" t="s">
        <v>4452</v>
      </c>
      <c r="C1023" s="422" t="e">
        <f>VLOOKUP(B1023,'Matter &amp; CI#'!$D$4:$E$595,2,FALSE)</f>
        <v>#N/A</v>
      </c>
      <c r="D1023" s="476" t="s">
        <v>1115</v>
      </c>
      <c r="E1023" s="476" t="s">
        <v>10</v>
      </c>
      <c r="F1023" s="476" t="s">
        <v>9</v>
      </c>
      <c r="G1023" s="475" t="s">
        <v>2014</v>
      </c>
      <c r="H1023" s="516"/>
      <c r="I1023" s="477" t="s">
        <v>5</v>
      </c>
      <c r="J1023" s="476" t="s">
        <v>6</v>
      </c>
      <c r="K1023" s="476" t="s">
        <v>7</v>
      </c>
      <c r="L1023" s="184">
        <v>42582</v>
      </c>
      <c r="M1023" s="184">
        <v>43524</v>
      </c>
      <c r="N1023" s="480">
        <v>128988.56</v>
      </c>
      <c r="O1023" s="478" t="str">
        <f>IFERROR(VLOOKUP(A1023,[1]Approval!A:C,3,FALSE),"")</f>
        <v>FIN Approval - Internal</v>
      </c>
      <c r="P1023" s="184">
        <f>IFERROR(VLOOKUP(A1023,[1]Approval!A:J,10,FALSE),"")</f>
        <v>43432</v>
      </c>
      <c r="R1023" s="425">
        <f>2020-YEAR(Table227[[#This Row],[In-
Service
Date]])</f>
        <v>4</v>
      </c>
      <c r="S1023" s="308">
        <f>+Table227[[#This Row],[Proj To Date
Actuals]]*1.02^R1023</f>
        <v>139621.36561608961</v>
      </c>
    </row>
    <row r="1024" spans="1:19" x14ac:dyDescent="0.25">
      <c r="A1024" s="476" t="s">
        <v>1871</v>
      </c>
      <c r="B1024" s="475" t="s">
        <v>4398</v>
      </c>
      <c r="C1024" s="422" t="e">
        <f>VLOOKUP(B1024,'Matter &amp; CI#'!$D$4:$E$595,2,FALSE)</f>
        <v>#N/A</v>
      </c>
      <c r="D1024" s="476" t="s">
        <v>1872</v>
      </c>
      <c r="E1024" s="476" t="s">
        <v>10</v>
      </c>
      <c r="F1024" s="476" t="s">
        <v>9</v>
      </c>
      <c r="G1024" s="475" t="s">
        <v>2014</v>
      </c>
      <c r="H1024" s="516"/>
      <c r="I1024" s="477" t="s">
        <v>5</v>
      </c>
      <c r="J1024" s="476" t="s">
        <v>12</v>
      </c>
      <c r="K1024" s="476" t="s">
        <v>7</v>
      </c>
      <c r="L1024" s="184">
        <v>42643</v>
      </c>
      <c r="M1024" s="184">
        <v>43556</v>
      </c>
      <c r="N1024" s="480">
        <v>146219.44</v>
      </c>
      <c r="O1024" s="478" t="str">
        <f>IFERROR(VLOOKUP(A1024,[1]Approval!A:C,3,FALSE),"")</f>
        <v>FIN Approval - Internal</v>
      </c>
      <c r="P1024" s="184">
        <f>IFERROR(VLOOKUP(A1024,[1]Approval!A:J,10,FALSE),"")</f>
        <v>43468</v>
      </c>
      <c r="R1024" s="425">
        <f>2020-YEAR(Table227[[#This Row],[In-
Service
Date]])</f>
        <v>4</v>
      </c>
      <c r="S1024" s="308">
        <f>+Table227[[#This Row],[Proj To Date
Actuals]]*1.02^R1024</f>
        <v>158272.62427319039</v>
      </c>
    </row>
    <row r="1025" spans="1:19" x14ac:dyDescent="0.25">
      <c r="A1025" s="476" t="s">
        <v>618</v>
      </c>
      <c r="B1025" s="475" t="s">
        <v>4439</v>
      </c>
      <c r="C1025" s="422" t="e">
        <f>VLOOKUP(B1025,'Matter &amp; CI#'!$D$4:$E$595,2,FALSE)</f>
        <v>#N/A</v>
      </c>
      <c r="D1025" s="476" t="s">
        <v>619</v>
      </c>
      <c r="E1025" s="476" t="s">
        <v>10</v>
      </c>
      <c r="F1025" s="476" t="s">
        <v>9</v>
      </c>
      <c r="G1025" s="475" t="s">
        <v>2014</v>
      </c>
      <c r="H1025" s="516"/>
      <c r="I1025" s="477" t="s">
        <v>5</v>
      </c>
      <c r="J1025" s="476" t="s">
        <v>6</v>
      </c>
      <c r="K1025" s="476" t="s">
        <v>7</v>
      </c>
      <c r="L1025" s="184">
        <v>42674</v>
      </c>
      <c r="M1025" s="184">
        <v>43586</v>
      </c>
      <c r="N1025" s="480">
        <v>816087.58</v>
      </c>
      <c r="O1025" s="478" t="str">
        <f>IFERROR(VLOOKUP(A1025,[1]Approval!A:C,3,FALSE),"")</f>
        <v>FIN Approval - Internal</v>
      </c>
      <c r="P1025" s="184">
        <f>IFERROR(VLOOKUP(A1025,[1]Approval!A:J,10,FALSE),"")</f>
        <v>43769</v>
      </c>
      <c r="R1025" s="425">
        <f>2020-YEAR(Table227[[#This Row],[In-
Service
Date]])</f>
        <v>4</v>
      </c>
      <c r="S1025" s="308">
        <f>+Table227[[#This Row],[Proj To Date
Actuals]]*1.02^R1025</f>
        <v>883359.44196857279</v>
      </c>
    </row>
    <row r="1026" spans="1:19" x14ac:dyDescent="0.25">
      <c r="A1026" s="476" t="s">
        <v>620</v>
      </c>
      <c r="B1026" s="475" t="s">
        <v>4442</v>
      </c>
      <c r="C1026" s="422" t="e">
        <f>VLOOKUP(B1026,'Matter &amp; CI#'!$D$4:$E$595,2,FALSE)</f>
        <v>#N/A</v>
      </c>
      <c r="D1026" s="476" t="s">
        <v>621</v>
      </c>
      <c r="E1026" s="476" t="s">
        <v>10</v>
      </c>
      <c r="F1026" s="476" t="s">
        <v>9</v>
      </c>
      <c r="G1026" s="475" t="s">
        <v>2014</v>
      </c>
      <c r="H1026" s="516"/>
      <c r="I1026" s="477" t="s">
        <v>5</v>
      </c>
      <c r="J1026" s="476" t="s">
        <v>6</v>
      </c>
      <c r="K1026" s="476" t="s">
        <v>7</v>
      </c>
      <c r="L1026" s="184">
        <v>42765</v>
      </c>
      <c r="M1026" s="184">
        <v>43677</v>
      </c>
      <c r="N1026" s="480">
        <v>287678.08000000002</v>
      </c>
      <c r="O1026" s="478" t="str">
        <f>IFERROR(VLOOKUP(A1026,[1]Approval!A:C,3,FALSE),"")</f>
        <v>FIN Approval - Internal</v>
      </c>
      <c r="P1026" s="184">
        <f>IFERROR(VLOOKUP(A1026,[1]Approval!A:J,10,FALSE),"")</f>
        <v>43584</v>
      </c>
      <c r="R1026" s="425">
        <f>2020-YEAR(Table227[[#This Row],[In-
Service
Date]])</f>
        <v>3</v>
      </c>
      <c r="S1026" s="308">
        <f>+Table227[[#This Row],[Proj To Date
Actuals]]*1.02^R1026</f>
        <v>305286.27992063999</v>
      </c>
    </row>
    <row r="1027" spans="1:19" x14ac:dyDescent="0.25">
      <c r="A1027" s="476" t="s">
        <v>1927</v>
      </c>
      <c r="B1027" s="475" t="s">
        <v>3921</v>
      </c>
      <c r="C1027" s="422" t="e">
        <f>VLOOKUP(B1027,'Matter &amp; CI#'!$D$4:$E$595,2,FALSE)</f>
        <v>#N/A</v>
      </c>
      <c r="D1027" s="476" t="s">
        <v>1928</v>
      </c>
      <c r="E1027" s="476" t="s">
        <v>10</v>
      </c>
      <c r="F1027" s="476" t="s">
        <v>9</v>
      </c>
      <c r="G1027" s="475" t="s">
        <v>2014</v>
      </c>
      <c r="H1027" s="516"/>
      <c r="I1027" s="477" t="s">
        <v>5</v>
      </c>
      <c r="J1027" s="476" t="s">
        <v>6</v>
      </c>
      <c r="K1027" s="476" t="s">
        <v>7</v>
      </c>
      <c r="L1027" s="184">
        <v>42794</v>
      </c>
      <c r="M1027" s="184">
        <v>42909</v>
      </c>
      <c r="N1027" s="480">
        <v>970648.06</v>
      </c>
      <c r="O1027" s="478" t="str">
        <f>IFERROR(VLOOKUP(A1027,[1]Approval!A:C,3,FALSE),"")</f>
        <v>FIN Approval - Internal</v>
      </c>
      <c r="P1027" s="184">
        <f>IFERROR(VLOOKUP(A1027,[1]Approval!A:J,10,FALSE),"")</f>
        <v>42909</v>
      </c>
      <c r="R1027" s="425">
        <f>2020-YEAR(Table227[[#This Row],[In-
Service
Date]])</f>
        <v>3</v>
      </c>
      <c r="S1027" s="308">
        <f>+Table227[[#This Row],[Proj To Date
Actuals]]*1.02^R1027</f>
        <v>1030059.48645648</v>
      </c>
    </row>
    <row r="1028" spans="1:19" x14ac:dyDescent="0.25">
      <c r="A1028" s="476" t="s">
        <v>1130</v>
      </c>
      <c r="B1028" s="475" t="s">
        <v>4448</v>
      </c>
      <c r="C1028" s="422" t="e">
        <f>VLOOKUP(B1028,'Matter &amp; CI#'!$D$4:$E$595,2,FALSE)</f>
        <v>#N/A</v>
      </c>
      <c r="D1028" s="476" t="s">
        <v>1131</v>
      </c>
      <c r="E1028" s="476" t="s">
        <v>10</v>
      </c>
      <c r="F1028" s="476" t="s">
        <v>9</v>
      </c>
      <c r="G1028" s="475" t="s">
        <v>2014</v>
      </c>
      <c r="H1028" s="516"/>
      <c r="I1028" s="477" t="s">
        <v>5</v>
      </c>
      <c r="J1028" s="476" t="s">
        <v>6</v>
      </c>
      <c r="K1028" s="476" t="s">
        <v>7</v>
      </c>
      <c r="L1028" s="184">
        <v>42825</v>
      </c>
      <c r="M1028" s="184">
        <v>43862</v>
      </c>
      <c r="N1028" s="480">
        <v>134002.4</v>
      </c>
      <c r="O1028" s="478" t="str">
        <f>IFERROR(VLOOKUP(A1028,[1]Approval!A:C,3,FALSE),"")</f>
        <v>FIN Approval - Internal</v>
      </c>
      <c r="P1028" s="184">
        <f>IFERROR(VLOOKUP(A1028,[1]Approval!A:J,10,FALSE),"")</f>
        <v>43817</v>
      </c>
      <c r="R1028" s="425">
        <f>2020-YEAR(Table227[[#This Row],[In-
Service
Date]])</f>
        <v>3</v>
      </c>
      <c r="S1028" s="308">
        <f>+Table227[[#This Row],[Proj To Date
Actuals]]*1.02^R1028</f>
        <v>142204.41889919998</v>
      </c>
    </row>
    <row r="1029" spans="1:19" x14ac:dyDescent="0.25">
      <c r="A1029" s="476" t="s">
        <v>1911</v>
      </c>
      <c r="B1029" s="475" t="s">
        <v>4449</v>
      </c>
      <c r="C1029" s="422" t="e">
        <f>VLOOKUP(B1029,'Matter &amp; CI#'!$D$4:$E$595,2,FALSE)</f>
        <v>#N/A</v>
      </c>
      <c r="D1029" s="476" t="s">
        <v>1912</v>
      </c>
      <c r="E1029" s="476" t="s">
        <v>10</v>
      </c>
      <c r="F1029" s="476" t="s">
        <v>9</v>
      </c>
      <c r="G1029" s="475" t="s">
        <v>2014</v>
      </c>
      <c r="H1029" s="516"/>
      <c r="I1029" s="477" t="s">
        <v>5</v>
      </c>
      <c r="J1029" s="476" t="s">
        <v>6</v>
      </c>
      <c r="K1029" s="476" t="s">
        <v>7</v>
      </c>
      <c r="L1029" s="184">
        <v>42825</v>
      </c>
      <c r="M1029" s="184">
        <v>43738</v>
      </c>
      <c r="N1029" s="480">
        <v>1625298.63</v>
      </c>
      <c r="O1029" s="478" t="str">
        <f>IFERROR(VLOOKUP(A1029,[1]Approval!A:C,3,FALSE),"")</f>
        <v>FIN Approval - Internal</v>
      </c>
      <c r="P1029" s="184">
        <f>IFERROR(VLOOKUP(A1029,[1]Approval!A:J,10,FALSE),"")</f>
        <v>43769</v>
      </c>
      <c r="R1029" s="425">
        <f>2020-YEAR(Table227[[#This Row],[In-
Service
Date]])</f>
        <v>3</v>
      </c>
      <c r="S1029" s="308">
        <f>+Table227[[#This Row],[Proj To Date
Actuals]]*1.02^R1029</f>
        <v>1724779.9085450398</v>
      </c>
    </row>
    <row r="1030" spans="1:19" x14ac:dyDescent="0.25">
      <c r="A1030" s="476" t="s">
        <v>409</v>
      </c>
      <c r="B1030" s="475" t="s">
        <v>4513</v>
      </c>
      <c r="C1030" s="422" t="e">
        <f>VLOOKUP(B1030,'Matter &amp; CI#'!$D$4:$E$595,2,FALSE)</f>
        <v>#N/A</v>
      </c>
      <c r="D1030" s="476" t="s">
        <v>410</v>
      </c>
      <c r="E1030" s="476" t="s">
        <v>10</v>
      </c>
      <c r="F1030" s="476" t="s">
        <v>9</v>
      </c>
      <c r="G1030" s="475" t="s">
        <v>2014</v>
      </c>
      <c r="H1030" s="516"/>
      <c r="I1030" s="477" t="s">
        <v>5</v>
      </c>
      <c r="J1030" s="476" t="s">
        <v>6</v>
      </c>
      <c r="K1030" s="476" t="s">
        <v>7</v>
      </c>
      <c r="L1030" s="184">
        <v>42825</v>
      </c>
      <c r="M1030" s="184">
        <v>43556</v>
      </c>
      <c r="N1030" s="480">
        <v>817135.35</v>
      </c>
      <c r="O1030" s="478" t="str">
        <f>IFERROR(VLOOKUP(A1030,[1]Approval!A:C,3,FALSE),"")</f>
        <v>FIN Approval - Internal</v>
      </c>
      <c r="P1030" s="184">
        <f>IFERROR(VLOOKUP(A1030,[1]Approval!A:J,10,FALSE),"")</f>
        <v>43452</v>
      </c>
      <c r="R1030" s="425">
        <f>2020-YEAR(Table227[[#This Row],[In-
Service
Date]])</f>
        <v>3</v>
      </c>
      <c r="S1030" s="308">
        <f>+Table227[[#This Row],[Proj To Date
Actuals]]*1.02^R1030</f>
        <v>867150.57050279994</v>
      </c>
    </row>
    <row r="1031" spans="1:19" x14ac:dyDescent="0.25">
      <c r="A1031" s="476" t="s">
        <v>1132</v>
      </c>
      <c r="B1031" s="475" t="s">
        <v>4544</v>
      </c>
      <c r="C1031" s="422" t="e">
        <f>VLOOKUP(B1031,'Matter &amp; CI#'!$D$4:$E$595,2,FALSE)</f>
        <v>#N/A</v>
      </c>
      <c r="D1031" s="476" t="s">
        <v>1133</v>
      </c>
      <c r="E1031" s="476" t="s">
        <v>10</v>
      </c>
      <c r="F1031" s="476" t="s">
        <v>9</v>
      </c>
      <c r="G1031" s="475" t="s">
        <v>2014</v>
      </c>
      <c r="H1031" s="516"/>
      <c r="I1031" s="477" t="s">
        <v>5</v>
      </c>
      <c r="J1031" s="476" t="s">
        <v>6</v>
      </c>
      <c r="K1031" s="476" t="s">
        <v>28</v>
      </c>
      <c r="L1031" s="184">
        <v>42825</v>
      </c>
      <c r="N1031" s="480">
        <v>620417.9</v>
      </c>
      <c r="O1031" s="478" t="str">
        <f>IFERROR(VLOOKUP(A1031,[1]Approval!A:C,3,FALSE),"")</f>
        <v/>
      </c>
      <c r="P1031" s="184" t="str">
        <f>IFERROR(VLOOKUP(A1031,[1]Approval!A:J,10,FALSE),"")</f>
        <v/>
      </c>
      <c r="R1031" s="425">
        <f>2020-YEAR(Table227[[#This Row],[In-
Service
Date]])</f>
        <v>3</v>
      </c>
      <c r="S1031" s="308">
        <f>+Table227[[#This Row],[Proj To Date
Actuals]]*1.02^R1031</f>
        <v>658392.43882319995</v>
      </c>
    </row>
    <row r="1032" spans="1:19" x14ac:dyDescent="0.25">
      <c r="A1032" s="476" t="s">
        <v>1658</v>
      </c>
      <c r="B1032" s="475" t="s">
        <v>4609</v>
      </c>
      <c r="C1032" s="422" t="e">
        <f>VLOOKUP(B1032,'Matter &amp; CI#'!$D$4:$E$595,2,FALSE)</f>
        <v>#N/A</v>
      </c>
      <c r="D1032" s="476" t="s">
        <v>1659</v>
      </c>
      <c r="E1032" s="476" t="s">
        <v>10</v>
      </c>
      <c r="F1032" s="476" t="s">
        <v>9</v>
      </c>
      <c r="G1032" s="475" t="s">
        <v>2014</v>
      </c>
      <c r="H1032" s="516"/>
      <c r="I1032" s="477" t="s">
        <v>5</v>
      </c>
      <c r="J1032" s="476" t="s">
        <v>12</v>
      </c>
      <c r="K1032" s="476" t="s">
        <v>7</v>
      </c>
      <c r="L1032" s="184">
        <v>42886</v>
      </c>
      <c r="M1032" s="184">
        <v>43738</v>
      </c>
      <c r="N1032" s="480">
        <v>75896.639999999999</v>
      </c>
      <c r="O1032" s="478" t="str">
        <f>IFERROR(VLOOKUP(A1032,[1]Approval!A:C,3,FALSE),"")</f>
        <v>FIN Approval - Internal</v>
      </c>
      <c r="P1032" s="184">
        <f>IFERROR(VLOOKUP(A1032,[1]Approval!A:J,10,FALSE),"")</f>
        <v>43677</v>
      </c>
      <c r="R1032" s="425">
        <f>2020-YEAR(Table227[[#This Row],[In-
Service
Date]])</f>
        <v>3</v>
      </c>
      <c r="S1032" s="308">
        <f>+Table227[[#This Row],[Proj To Date
Actuals]]*1.02^R1032</f>
        <v>80542.121541119996</v>
      </c>
    </row>
    <row r="1033" spans="1:19" x14ac:dyDescent="0.25">
      <c r="A1033" s="476" t="s">
        <v>658</v>
      </c>
      <c r="B1033" s="475" t="s">
        <v>4626</v>
      </c>
      <c r="C1033" s="422" t="e">
        <f>VLOOKUP(B1033,'Matter &amp; CI#'!$D$4:$E$595,2,FALSE)</f>
        <v>#N/A</v>
      </c>
      <c r="D1033" s="476" t="s">
        <v>659</v>
      </c>
      <c r="E1033" s="476" t="s">
        <v>10</v>
      </c>
      <c r="F1033" s="476" t="s">
        <v>9</v>
      </c>
      <c r="G1033" s="475" t="s">
        <v>2014</v>
      </c>
      <c r="H1033" s="516"/>
      <c r="I1033" s="477" t="s">
        <v>5</v>
      </c>
      <c r="J1033" s="476" t="s">
        <v>14</v>
      </c>
      <c r="K1033" s="476" t="s">
        <v>7</v>
      </c>
      <c r="L1033" s="184">
        <v>42977</v>
      </c>
      <c r="M1033" s="184">
        <v>44136</v>
      </c>
      <c r="N1033" s="480">
        <v>187112.32000000001</v>
      </c>
      <c r="O1033" s="478" t="str">
        <f>IFERROR(VLOOKUP(A1033,[1]Approval!A:C,3,FALSE),"")</f>
        <v>FIN Approval - Internal</v>
      </c>
      <c r="P1033" s="184">
        <f>IFERROR(VLOOKUP(A1033,[1]Approval!A:J,10,FALSE),"")</f>
        <v>43999</v>
      </c>
      <c r="R1033" s="425">
        <f>2020-YEAR(Table227[[#This Row],[In-
Service
Date]])</f>
        <v>3</v>
      </c>
      <c r="S1033" s="308">
        <f>+Table227[[#This Row],[Proj To Date
Actuals]]*1.02^R1033</f>
        <v>198565.09088256001</v>
      </c>
    </row>
    <row r="1034" spans="1:19" x14ac:dyDescent="0.25">
      <c r="A1034" s="476" t="s">
        <v>664</v>
      </c>
      <c r="B1034" s="475" t="s">
        <v>4438</v>
      </c>
      <c r="C1034" s="422" t="e">
        <f>VLOOKUP(B1034,'Matter &amp; CI#'!$D$4:$E$595,2,FALSE)</f>
        <v>#N/A</v>
      </c>
      <c r="D1034" s="476" t="s">
        <v>665</v>
      </c>
      <c r="E1034" s="476" t="s">
        <v>10</v>
      </c>
      <c r="F1034" s="476" t="s">
        <v>9</v>
      </c>
      <c r="G1034" s="475" t="s">
        <v>2014</v>
      </c>
      <c r="H1034" s="516"/>
      <c r="I1034" s="477" t="s">
        <v>5</v>
      </c>
      <c r="J1034" s="476" t="s">
        <v>6</v>
      </c>
      <c r="K1034" s="476" t="s">
        <v>7</v>
      </c>
      <c r="L1034" s="184">
        <v>43005</v>
      </c>
      <c r="M1034" s="184">
        <v>44136</v>
      </c>
      <c r="N1034" s="480">
        <v>586353.96</v>
      </c>
      <c r="O1034" s="478" t="str">
        <f>IFERROR(VLOOKUP(A1034,[1]Approval!A:C,3,FALSE),"")</f>
        <v>FIN Approval - Internal</v>
      </c>
      <c r="P1034" s="184">
        <f>IFERROR(VLOOKUP(A1034,[1]Approval!A:J,10,FALSE),"")</f>
        <v>43999</v>
      </c>
      <c r="R1034" s="425">
        <f>2020-YEAR(Table227[[#This Row],[In-
Service
Date]])</f>
        <v>3</v>
      </c>
      <c r="S1034" s="308">
        <f>+Table227[[#This Row],[Proj To Date
Actuals]]*1.02^R1034</f>
        <v>622243.5131836799</v>
      </c>
    </row>
    <row r="1035" spans="1:19" x14ac:dyDescent="0.25">
      <c r="A1035" s="476" t="s">
        <v>451</v>
      </c>
      <c r="B1035" s="475" t="s">
        <v>4623</v>
      </c>
      <c r="C1035" s="422" t="e">
        <f>VLOOKUP(B1035,'Matter &amp; CI#'!$D$4:$E$595,2,FALSE)</f>
        <v>#N/A</v>
      </c>
      <c r="D1035" s="476" t="s">
        <v>452</v>
      </c>
      <c r="E1035" s="476" t="s">
        <v>10</v>
      </c>
      <c r="F1035" s="476" t="s">
        <v>9</v>
      </c>
      <c r="G1035" s="475" t="s">
        <v>2014</v>
      </c>
      <c r="H1035" s="516"/>
      <c r="I1035" s="477" t="s">
        <v>5</v>
      </c>
      <c r="J1035" s="476" t="s">
        <v>131</v>
      </c>
      <c r="K1035" s="476" t="s">
        <v>7</v>
      </c>
      <c r="L1035" s="184">
        <v>43039</v>
      </c>
      <c r="M1035" s="184">
        <v>43556</v>
      </c>
      <c r="N1035" s="480">
        <v>176000.1</v>
      </c>
      <c r="O1035" s="478" t="str">
        <f>IFERROR(VLOOKUP(A1035,[1]Approval!A:C,3,FALSE),"")</f>
        <v>FIN Approval - Internal</v>
      </c>
      <c r="P1035" s="184">
        <f>IFERROR(VLOOKUP(A1035,[1]Approval!A:J,10,FALSE),"")</f>
        <v>43452</v>
      </c>
      <c r="R1035" s="425">
        <f>2020-YEAR(Table227[[#This Row],[In-
Service
Date]])</f>
        <v>3</v>
      </c>
      <c r="S1035" s="308">
        <f>+Table227[[#This Row],[Proj To Date
Actuals]]*1.02^R1035</f>
        <v>186772.7141208</v>
      </c>
    </row>
    <row r="1036" spans="1:19" x14ac:dyDescent="0.25">
      <c r="A1036" s="476" t="s">
        <v>1947</v>
      </c>
      <c r="B1036" s="475" t="s">
        <v>4665</v>
      </c>
      <c r="C1036" s="422" t="e">
        <f>VLOOKUP(B1036,'Matter &amp; CI#'!$D$4:$E$595,2,FALSE)</f>
        <v>#N/A</v>
      </c>
      <c r="D1036" s="476" t="s">
        <v>1948</v>
      </c>
      <c r="E1036" s="476" t="s">
        <v>10</v>
      </c>
      <c r="F1036" s="476" t="s">
        <v>9</v>
      </c>
      <c r="G1036" s="475" t="s">
        <v>2014</v>
      </c>
      <c r="H1036" s="516"/>
      <c r="I1036" s="477" t="s">
        <v>5</v>
      </c>
      <c r="J1036" s="476" t="s">
        <v>131</v>
      </c>
      <c r="K1036" s="476" t="s">
        <v>7</v>
      </c>
      <c r="L1036" s="184">
        <v>43094</v>
      </c>
      <c r="M1036" s="184">
        <v>43891</v>
      </c>
      <c r="N1036" s="480">
        <v>282460.09999999998</v>
      </c>
      <c r="O1036" s="478" t="str">
        <f>IFERROR(VLOOKUP(A1036,[1]Approval!A:C,3,FALSE),"")</f>
        <v>FIN Approval - Internal</v>
      </c>
      <c r="P1036" s="184">
        <f>IFERROR(VLOOKUP(A1036,[1]Approval!A:J,10,FALSE),"")</f>
        <v>43677</v>
      </c>
      <c r="R1036" s="425">
        <f>2020-YEAR(Table227[[#This Row],[In-
Service
Date]])</f>
        <v>3</v>
      </c>
      <c r="S1036" s="308">
        <f>+Table227[[#This Row],[Proj To Date
Actuals]]*1.02^R1036</f>
        <v>299748.91780079994</v>
      </c>
    </row>
    <row r="1037" spans="1:19" x14ac:dyDescent="0.25">
      <c r="A1037" s="476" t="s">
        <v>3784</v>
      </c>
      <c r="B1037" s="475" t="s">
        <v>4591</v>
      </c>
      <c r="C1037" s="422" t="e">
        <f>VLOOKUP(B1037,'Matter &amp; CI#'!$D$4:$E$595,2,FALSE)</f>
        <v>#N/A</v>
      </c>
      <c r="D1037" s="476" t="s">
        <v>3785</v>
      </c>
      <c r="E1037" s="476" t="s">
        <v>10</v>
      </c>
      <c r="F1037" s="476" t="s">
        <v>9</v>
      </c>
      <c r="G1037" s="475" t="s">
        <v>2014</v>
      </c>
      <c r="H1037" s="516"/>
      <c r="I1037" s="477" t="s">
        <v>5</v>
      </c>
      <c r="J1037" s="476" t="s">
        <v>6</v>
      </c>
      <c r="K1037" s="476" t="s">
        <v>28</v>
      </c>
      <c r="L1037" s="184">
        <v>43100</v>
      </c>
      <c r="N1037" s="480">
        <v>138465.04999999999</v>
      </c>
      <c r="O1037" s="478" t="str">
        <f>IFERROR(VLOOKUP(A1037,[1]Approval!A:C,3,FALSE),"")</f>
        <v/>
      </c>
      <c r="P1037" s="184" t="str">
        <f>IFERROR(VLOOKUP(A1037,[1]Approval!A:J,10,FALSE),"")</f>
        <v/>
      </c>
      <c r="R1037" s="425">
        <f>2020-YEAR(Table227[[#This Row],[In-
Service
Date]])</f>
        <v>3</v>
      </c>
      <c r="S1037" s="308">
        <f>+Table227[[#This Row],[Proj To Date
Actuals]]*1.02^R1037</f>
        <v>146940.21878039997</v>
      </c>
    </row>
    <row r="1038" spans="1:19" x14ac:dyDescent="0.25">
      <c r="A1038" s="476" t="s">
        <v>919</v>
      </c>
      <c r="B1038" s="475" t="s">
        <v>919</v>
      </c>
      <c r="C1038" s="422" t="e">
        <f>VLOOKUP(B1038,'Matter &amp; CI#'!$D$4:$E$595,2,FALSE)</f>
        <v>#N/A</v>
      </c>
      <c r="D1038" s="476" t="s">
        <v>920</v>
      </c>
      <c r="E1038" s="476" t="s">
        <v>10</v>
      </c>
      <c r="F1038" s="476" t="s">
        <v>9</v>
      </c>
      <c r="G1038" s="475" t="s">
        <v>2014</v>
      </c>
      <c r="H1038" s="516"/>
      <c r="I1038" s="477" t="s">
        <v>5</v>
      </c>
      <c r="J1038" s="476" t="s">
        <v>14</v>
      </c>
      <c r="K1038" s="476" t="s">
        <v>7</v>
      </c>
      <c r="L1038" s="184">
        <v>43100</v>
      </c>
      <c r="M1038" s="184">
        <v>43556</v>
      </c>
      <c r="N1038" s="480">
        <v>96423.67</v>
      </c>
      <c r="O1038" s="478" t="str">
        <f>IFERROR(VLOOKUP(A1038,[1]Approval!A:C,3,FALSE),"")</f>
        <v>FIN Approval - Internal</v>
      </c>
      <c r="P1038" s="184">
        <f>IFERROR(VLOOKUP(A1038,[1]Approval!A:J,10,FALSE),"")</f>
        <v>43452</v>
      </c>
      <c r="R1038" s="425">
        <f>2020-YEAR(Table227[[#This Row],[In-
Service
Date]])</f>
        <v>3</v>
      </c>
      <c r="S1038" s="308">
        <f>+Table227[[#This Row],[Proj To Date
Actuals]]*1.02^R1038</f>
        <v>102325.56999336</v>
      </c>
    </row>
    <row r="1039" spans="1:19" x14ac:dyDescent="0.25">
      <c r="A1039" s="476" t="s">
        <v>1138</v>
      </c>
      <c r="B1039" s="475" t="s">
        <v>4638</v>
      </c>
      <c r="C1039" s="422" t="e">
        <f>VLOOKUP(B1039,'Matter &amp; CI#'!$D$4:$E$595,2,FALSE)</f>
        <v>#N/A</v>
      </c>
      <c r="D1039" s="476" t="s">
        <v>1139</v>
      </c>
      <c r="E1039" s="476" t="s">
        <v>10</v>
      </c>
      <c r="F1039" s="476" t="s">
        <v>9</v>
      </c>
      <c r="G1039" s="475" t="s">
        <v>2014</v>
      </c>
      <c r="H1039" s="516"/>
      <c r="I1039" s="477" t="s">
        <v>5</v>
      </c>
      <c r="J1039" s="476" t="s">
        <v>12</v>
      </c>
      <c r="K1039" s="476" t="s">
        <v>7</v>
      </c>
      <c r="L1039" s="184">
        <v>43131</v>
      </c>
      <c r="M1039" s="184">
        <v>43862</v>
      </c>
      <c r="N1039" s="480">
        <v>217761.14</v>
      </c>
      <c r="O1039" s="478" t="str">
        <f>IFERROR(VLOOKUP(A1039,[1]Approval!A:C,3,FALSE),"")</f>
        <v>FIN Approval - Internal</v>
      </c>
      <c r="P1039" s="184">
        <f>IFERROR(VLOOKUP(A1039,[1]Approval!A:J,10,FALSE),"")</f>
        <v>43817</v>
      </c>
      <c r="R1039" s="425">
        <f>2020-YEAR(Table227[[#This Row],[In-
Service
Date]])</f>
        <v>2</v>
      </c>
      <c r="S1039" s="308">
        <f>+Table227[[#This Row],[Proj To Date
Actuals]]*1.02^R1039</f>
        <v>226558.69005600002</v>
      </c>
    </row>
    <row r="1040" spans="1:19" x14ac:dyDescent="0.25">
      <c r="A1040" s="476" t="s">
        <v>642</v>
      </c>
      <c r="B1040" s="475" t="s">
        <v>4453</v>
      </c>
      <c r="C1040" s="422" t="e">
        <f>VLOOKUP(B1040,'Matter &amp; CI#'!$D$4:$E$595,2,FALSE)</f>
        <v>#N/A</v>
      </c>
      <c r="D1040" s="476" t="s">
        <v>643</v>
      </c>
      <c r="E1040" s="476" t="s">
        <v>10</v>
      </c>
      <c r="F1040" s="476" t="s">
        <v>9</v>
      </c>
      <c r="G1040" s="475" t="s">
        <v>2014</v>
      </c>
      <c r="H1040" s="516"/>
      <c r="I1040" s="477" t="s">
        <v>5</v>
      </c>
      <c r="J1040" s="476" t="s">
        <v>6</v>
      </c>
      <c r="K1040" s="476" t="s">
        <v>7</v>
      </c>
      <c r="L1040" s="184">
        <v>43159</v>
      </c>
      <c r="M1040" s="184">
        <v>43952</v>
      </c>
      <c r="N1040" s="480">
        <v>315885.74</v>
      </c>
      <c r="O1040" s="478" t="str">
        <f>IFERROR(VLOOKUP(A1040,[1]Approval!A:C,3,FALSE),"")</f>
        <v>FIN Approval - Internal</v>
      </c>
      <c r="P1040" s="184">
        <f>IFERROR(VLOOKUP(A1040,[1]Approval!A:J,10,FALSE),"")</f>
        <v>43892</v>
      </c>
      <c r="R1040" s="425">
        <f>2020-YEAR(Table227[[#This Row],[In-
Service
Date]])</f>
        <v>2</v>
      </c>
      <c r="S1040" s="308">
        <f>+Table227[[#This Row],[Proj To Date
Actuals]]*1.02^R1040</f>
        <v>328647.523896</v>
      </c>
    </row>
    <row r="1041" spans="1:19" x14ac:dyDescent="0.25">
      <c r="A1041" s="476" t="s">
        <v>1368</v>
      </c>
      <c r="B1041" s="475" t="s">
        <v>4525</v>
      </c>
      <c r="C1041" s="422" t="e">
        <f>VLOOKUP(B1041,'Matter &amp; CI#'!$D$4:$E$595,2,FALSE)</f>
        <v>#N/A</v>
      </c>
      <c r="D1041" s="476" t="s">
        <v>1369</v>
      </c>
      <c r="E1041" s="476" t="s">
        <v>10</v>
      </c>
      <c r="F1041" s="476" t="s">
        <v>9</v>
      </c>
      <c r="G1041" s="475" t="s">
        <v>2014</v>
      </c>
      <c r="H1041" s="516"/>
      <c r="I1041" s="477" t="s">
        <v>5</v>
      </c>
      <c r="J1041" s="476" t="s">
        <v>14</v>
      </c>
      <c r="K1041" s="476" t="s">
        <v>7</v>
      </c>
      <c r="L1041" s="184">
        <v>43159</v>
      </c>
      <c r="M1041" s="184">
        <v>44136</v>
      </c>
      <c r="N1041" s="480">
        <v>280450.55</v>
      </c>
      <c r="O1041" s="478" t="str">
        <f>IFERROR(VLOOKUP(A1041,[1]Approval!A:C,3,FALSE),"")</f>
        <v>FIN Approval - Internal</v>
      </c>
      <c r="P1041" s="184">
        <f>IFERROR(VLOOKUP(A1041,[1]Approval!A:J,10,FALSE),"")</f>
        <v>43999</v>
      </c>
      <c r="R1041" s="425">
        <f>2020-YEAR(Table227[[#This Row],[In-
Service
Date]])</f>
        <v>2</v>
      </c>
      <c r="S1041" s="308">
        <f>+Table227[[#This Row],[Proj To Date
Actuals]]*1.02^R1041</f>
        <v>291780.75221999997</v>
      </c>
    </row>
    <row r="1042" spans="1:19" x14ac:dyDescent="0.25">
      <c r="A1042" s="476" t="s">
        <v>676</v>
      </c>
      <c r="B1042" s="475" t="s">
        <v>676</v>
      </c>
      <c r="C1042" s="422" t="e">
        <f>VLOOKUP(B1042,'Matter &amp; CI#'!$D$4:$E$595,2,FALSE)</f>
        <v>#N/A</v>
      </c>
      <c r="D1042" s="476" t="s">
        <v>677</v>
      </c>
      <c r="E1042" s="476" t="s">
        <v>10</v>
      </c>
      <c r="F1042" s="476" t="s">
        <v>9</v>
      </c>
      <c r="G1042" s="475" t="s">
        <v>2014</v>
      </c>
      <c r="H1042" s="516"/>
      <c r="I1042" s="477" t="s">
        <v>5</v>
      </c>
      <c r="J1042" s="476" t="s">
        <v>14</v>
      </c>
      <c r="K1042" s="476" t="s">
        <v>28</v>
      </c>
      <c r="L1042" s="184">
        <v>43312</v>
      </c>
      <c r="N1042" s="480">
        <v>387984.12</v>
      </c>
      <c r="O1042" s="478" t="str">
        <f>IFERROR(VLOOKUP(A1042,[1]Approval!A:C,3,FALSE),"")</f>
        <v>FIN Approval - Internal</v>
      </c>
      <c r="P1042" s="184">
        <f>IFERROR(VLOOKUP(A1042,[1]Approval!A:J,10,FALSE),"")</f>
        <v>44126</v>
      </c>
      <c r="R1042" s="425">
        <f>2020-YEAR(Table227[[#This Row],[In-
Service
Date]])</f>
        <v>2</v>
      </c>
      <c r="S1042" s="308">
        <f>+Table227[[#This Row],[Proj To Date
Actuals]]*1.02^R1042</f>
        <v>403658.67844799999</v>
      </c>
    </row>
    <row r="1043" spans="1:19" x14ac:dyDescent="0.25">
      <c r="A1043" s="476" t="s">
        <v>1688</v>
      </c>
      <c r="B1043" s="475" t="s">
        <v>4656</v>
      </c>
      <c r="C1043" s="422" t="e">
        <f>VLOOKUP(B1043,'Matter &amp; CI#'!$D$4:$E$595,2,FALSE)</f>
        <v>#N/A</v>
      </c>
      <c r="D1043" s="476" t="s">
        <v>1689</v>
      </c>
      <c r="E1043" s="476" t="s">
        <v>10</v>
      </c>
      <c r="F1043" s="476" t="s">
        <v>9</v>
      </c>
      <c r="G1043" s="475" t="s">
        <v>2014</v>
      </c>
      <c r="H1043" s="516"/>
      <c r="I1043" s="477" t="s">
        <v>5</v>
      </c>
      <c r="J1043" s="476" t="s">
        <v>131</v>
      </c>
      <c r="K1043" s="476" t="s">
        <v>7</v>
      </c>
      <c r="L1043" s="184">
        <v>43343</v>
      </c>
      <c r="M1043" s="184">
        <v>44136</v>
      </c>
      <c r="N1043" s="480">
        <v>114344.36</v>
      </c>
      <c r="O1043" s="478" t="str">
        <f>IFERROR(VLOOKUP(A1043,[1]Approval!A:C,3,FALSE),"")</f>
        <v>FIN Approval - Internal</v>
      </c>
      <c r="P1043" s="184">
        <f>IFERROR(VLOOKUP(A1043,[1]Approval!A:J,10,FALSE),"")</f>
        <v>43999</v>
      </c>
      <c r="R1043" s="425">
        <f>2020-YEAR(Table227[[#This Row],[In-
Service
Date]])</f>
        <v>2</v>
      </c>
      <c r="S1043" s="308">
        <f>+Table227[[#This Row],[Proj To Date
Actuals]]*1.02^R1043</f>
        <v>118963.87214399999</v>
      </c>
    </row>
    <row r="1044" spans="1:19" x14ac:dyDescent="0.25">
      <c r="A1044" s="476" t="s">
        <v>628</v>
      </c>
      <c r="B1044" s="475" t="s">
        <v>4530</v>
      </c>
      <c r="C1044" s="422" t="e">
        <f>VLOOKUP(B1044,'Matter &amp; CI#'!$D$4:$E$595,2,FALSE)</f>
        <v>#N/A</v>
      </c>
      <c r="D1044" s="476" t="s">
        <v>629</v>
      </c>
      <c r="E1044" s="476" t="s">
        <v>10</v>
      </c>
      <c r="F1044" s="476" t="s">
        <v>9</v>
      </c>
      <c r="G1044" s="475" t="s">
        <v>2014</v>
      </c>
      <c r="H1044" s="516"/>
      <c r="I1044" s="477" t="s">
        <v>5</v>
      </c>
      <c r="J1044" s="476" t="s">
        <v>14</v>
      </c>
      <c r="K1044" s="476" t="s">
        <v>28</v>
      </c>
      <c r="L1044" s="184">
        <v>43344</v>
      </c>
      <c r="N1044" s="480">
        <v>544424.15</v>
      </c>
      <c r="O1044" s="478" t="str">
        <f>IFERROR(VLOOKUP(A1044,[1]Approval!A:C,3,FALSE),"")</f>
        <v>FIN Approval - Internal</v>
      </c>
      <c r="P1044" s="184">
        <f>IFERROR(VLOOKUP(A1044,[1]Approval!A:J,10,FALSE),"")</f>
        <v>44105</v>
      </c>
      <c r="R1044" s="425">
        <f>2020-YEAR(Table227[[#This Row],[In-
Service
Date]])</f>
        <v>2</v>
      </c>
      <c r="S1044" s="308">
        <f>+Table227[[#This Row],[Proj To Date
Actuals]]*1.02^R1044</f>
        <v>566418.88566000003</v>
      </c>
    </row>
    <row r="1045" spans="1:19" x14ac:dyDescent="0.25">
      <c r="A1045" s="476" t="s">
        <v>1977</v>
      </c>
      <c r="B1045" s="475" t="s">
        <v>1977</v>
      </c>
      <c r="C1045" s="422" t="e">
        <f>VLOOKUP(B1045,'Matter &amp; CI#'!$D$4:$E$595,2,FALSE)</f>
        <v>#N/A</v>
      </c>
      <c r="D1045" s="476" t="s">
        <v>1978</v>
      </c>
      <c r="E1045" s="476" t="s">
        <v>10</v>
      </c>
      <c r="F1045" s="476" t="s">
        <v>9</v>
      </c>
      <c r="G1045" s="475" t="s">
        <v>2014</v>
      </c>
      <c r="H1045" s="516"/>
      <c r="I1045" s="477" t="s">
        <v>5</v>
      </c>
      <c r="J1045" s="476" t="s">
        <v>14</v>
      </c>
      <c r="K1045" s="476" t="s">
        <v>7</v>
      </c>
      <c r="L1045" s="184">
        <v>43373</v>
      </c>
      <c r="M1045" s="184">
        <v>43952</v>
      </c>
      <c r="N1045" s="480">
        <v>65191.16</v>
      </c>
      <c r="O1045" s="478" t="str">
        <f>IFERROR(VLOOKUP(A1045,[1]Approval!A:C,3,FALSE),"")</f>
        <v>FIN Approval - Internal</v>
      </c>
      <c r="P1045" s="184">
        <f>IFERROR(VLOOKUP(A1045,[1]Approval!A:J,10,FALSE),"")</f>
        <v>43892</v>
      </c>
      <c r="R1045" s="425">
        <f>2020-YEAR(Table227[[#This Row],[In-
Service
Date]])</f>
        <v>2</v>
      </c>
      <c r="S1045" s="308">
        <f>+Table227[[#This Row],[Proj To Date
Actuals]]*1.02^R1045</f>
        <v>67824.882863999999</v>
      </c>
    </row>
    <row r="1046" spans="1:19" x14ac:dyDescent="0.25">
      <c r="A1046" s="476" t="s">
        <v>1418</v>
      </c>
      <c r="B1046" s="475" t="s">
        <v>1418</v>
      </c>
      <c r="C1046" s="422" t="e">
        <f>VLOOKUP(B1046,'Matter &amp; CI#'!$D$4:$E$595,2,FALSE)</f>
        <v>#N/A</v>
      </c>
      <c r="D1046" s="476" t="s">
        <v>1419</v>
      </c>
      <c r="E1046" s="476" t="s">
        <v>10</v>
      </c>
      <c r="F1046" s="476" t="s">
        <v>9</v>
      </c>
      <c r="G1046" s="475" t="s">
        <v>2014</v>
      </c>
      <c r="H1046" s="516"/>
      <c r="I1046" s="477" t="s">
        <v>5</v>
      </c>
      <c r="J1046" s="476" t="s">
        <v>14</v>
      </c>
      <c r="K1046" s="476" t="s">
        <v>7</v>
      </c>
      <c r="L1046" s="184">
        <v>43374</v>
      </c>
      <c r="M1046" s="184">
        <v>44136</v>
      </c>
      <c r="N1046" s="480">
        <v>240460.72</v>
      </c>
      <c r="O1046" s="478" t="str">
        <f>IFERROR(VLOOKUP(A1046,[1]Approval!A:C,3,FALSE),"")</f>
        <v>FIN Approval - Internal</v>
      </c>
      <c r="P1046" s="184">
        <f>IFERROR(VLOOKUP(A1046,[1]Approval!A:J,10,FALSE),"")</f>
        <v>44055</v>
      </c>
      <c r="R1046" s="425">
        <f>2020-YEAR(Table227[[#This Row],[In-
Service
Date]])</f>
        <v>2</v>
      </c>
      <c r="S1046" s="308">
        <f>+Table227[[#This Row],[Proj To Date
Actuals]]*1.02^R1046</f>
        <v>250175.33308799998</v>
      </c>
    </row>
    <row r="1047" spans="1:19" x14ac:dyDescent="0.25">
      <c r="A1047" s="476" t="s">
        <v>1186</v>
      </c>
      <c r="B1047" s="475" t="s">
        <v>1186</v>
      </c>
      <c r="C1047" s="422" t="e">
        <f>VLOOKUP(B1047,'Matter &amp; CI#'!$D$4:$E$595,2,FALSE)</f>
        <v>#N/A</v>
      </c>
      <c r="D1047" s="476" t="s">
        <v>1187</v>
      </c>
      <c r="E1047" s="476" t="s">
        <v>10</v>
      </c>
      <c r="F1047" s="476" t="s">
        <v>9</v>
      </c>
      <c r="G1047" s="475" t="s">
        <v>2014</v>
      </c>
      <c r="H1047" s="516"/>
      <c r="I1047" s="477" t="s">
        <v>5</v>
      </c>
      <c r="J1047" s="476" t="s">
        <v>14</v>
      </c>
      <c r="K1047" s="476" t="s">
        <v>28</v>
      </c>
      <c r="L1047" s="184">
        <v>43374</v>
      </c>
      <c r="N1047" s="481">
        <v>208456.34</v>
      </c>
      <c r="O1047" s="478" t="str">
        <f>IFERROR(VLOOKUP(A1047,[1]Approval!A:C,3,FALSE),"")</f>
        <v>FIN Approval - Internal</v>
      </c>
      <c r="P1047" s="184">
        <f>IFERROR(VLOOKUP(A1047,[1]Approval!A:J,10,FALSE),"")</f>
        <v>44126</v>
      </c>
      <c r="R1047" s="425">
        <f>2020-YEAR(Table227[[#This Row],[In-
Service
Date]])</f>
        <v>2</v>
      </c>
      <c r="S1047" s="308">
        <f>+Table227[[#This Row],[Proj To Date
Actuals]]*1.02^R1047</f>
        <v>216877.97613599998</v>
      </c>
    </row>
    <row r="1048" spans="1:19" x14ac:dyDescent="0.25">
      <c r="A1048" s="476" t="s">
        <v>692</v>
      </c>
      <c r="B1048" s="475" t="s">
        <v>692</v>
      </c>
      <c r="C1048" s="422" t="e">
        <f>VLOOKUP(B1048,'Matter &amp; CI#'!$D$4:$E$595,2,FALSE)</f>
        <v>#N/A</v>
      </c>
      <c r="D1048" s="476" t="s">
        <v>693</v>
      </c>
      <c r="E1048" s="476" t="s">
        <v>10</v>
      </c>
      <c r="F1048" s="476" t="s">
        <v>9</v>
      </c>
      <c r="G1048" s="475" t="s">
        <v>2014</v>
      </c>
      <c r="H1048" s="516"/>
      <c r="I1048" s="477" t="s">
        <v>5</v>
      </c>
      <c r="J1048" s="476" t="s">
        <v>12</v>
      </c>
      <c r="K1048" s="476" t="s">
        <v>28</v>
      </c>
      <c r="L1048" s="184">
        <v>43374</v>
      </c>
      <c r="N1048" s="481">
        <v>65851.740000000005</v>
      </c>
      <c r="O1048" s="478" t="str">
        <f>IFERROR(VLOOKUP(A1048,[1]Approval!A:C,3,FALSE),"")</f>
        <v/>
      </c>
      <c r="P1048" s="184" t="str">
        <f>IFERROR(VLOOKUP(A1048,[1]Approval!A:J,10,FALSE),"")</f>
        <v/>
      </c>
      <c r="R1048" s="425">
        <f>2020-YEAR(Table227[[#This Row],[In-
Service
Date]])</f>
        <v>2</v>
      </c>
      <c r="S1048" s="308">
        <f>+Table227[[#This Row],[Proj To Date
Actuals]]*1.02^R1048</f>
        <v>68512.150296000007</v>
      </c>
    </row>
    <row r="1049" spans="1:19" x14ac:dyDescent="0.25">
      <c r="A1049" s="476" t="s">
        <v>678</v>
      </c>
      <c r="B1049" s="475" t="s">
        <v>678</v>
      </c>
      <c r="C1049" s="422" t="e">
        <f>VLOOKUP(B1049,'Matter &amp; CI#'!$D$4:$E$595,2,FALSE)</f>
        <v>#N/A</v>
      </c>
      <c r="D1049" s="476" t="s">
        <v>679</v>
      </c>
      <c r="E1049" s="476" t="s">
        <v>10</v>
      </c>
      <c r="F1049" s="476" t="s">
        <v>9</v>
      </c>
      <c r="G1049" s="475" t="s">
        <v>2014</v>
      </c>
      <c r="H1049" s="516"/>
      <c r="I1049" s="477" t="s">
        <v>5</v>
      </c>
      <c r="J1049" s="476" t="s">
        <v>6</v>
      </c>
      <c r="K1049" s="476" t="s">
        <v>7</v>
      </c>
      <c r="L1049" s="184">
        <v>43404</v>
      </c>
      <c r="M1049" s="184">
        <v>44136</v>
      </c>
      <c r="N1049" s="480">
        <v>167852.83</v>
      </c>
      <c r="O1049" s="478" t="str">
        <f>IFERROR(VLOOKUP(A1049,[1]Approval!A:C,3,FALSE),"")</f>
        <v>FIN Approval - Internal</v>
      </c>
      <c r="P1049" s="184">
        <f>IFERROR(VLOOKUP(A1049,[1]Approval!A:J,10,FALSE),"")</f>
        <v>43993</v>
      </c>
      <c r="R1049" s="425">
        <f>2020-YEAR(Table227[[#This Row],[In-
Service
Date]])</f>
        <v>2</v>
      </c>
      <c r="S1049" s="308">
        <f>+Table227[[#This Row],[Proj To Date
Actuals]]*1.02^R1049</f>
        <v>174634.084332</v>
      </c>
    </row>
    <row r="1050" spans="1:19" x14ac:dyDescent="0.25">
      <c r="A1050" s="476" t="s">
        <v>959</v>
      </c>
      <c r="B1050" s="475" t="s">
        <v>959</v>
      </c>
      <c r="C1050" s="422" t="e">
        <f>VLOOKUP(B1050,'Matter &amp; CI#'!$D$4:$E$595,2,FALSE)</f>
        <v>#N/A</v>
      </c>
      <c r="D1050" s="476" t="s">
        <v>960</v>
      </c>
      <c r="E1050" s="476" t="s">
        <v>10</v>
      </c>
      <c r="F1050" s="476" t="s">
        <v>9</v>
      </c>
      <c r="G1050" s="475" t="s">
        <v>2014</v>
      </c>
      <c r="H1050" s="516"/>
      <c r="I1050" s="477" t="s">
        <v>5</v>
      </c>
      <c r="J1050" s="476" t="s">
        <v>14</v>
      </c>
      <c r="K1050" s="476" t="s">
        <v>28</v>
      </c>
      <c r="L1050" s="184">
        <v>43573</v>
      </c>
      <c r="N1050" s="480">
        <v>132504.42000000001</v>
      </c>
      <c r="O1050" s="478" t="str">
        <f>IFERROR(VLOOKUP(A1050,[1]Approval!A:C,3,FALSE),"")</f>
        <v/>
      </c>
      <c r="P1050" s="184" t="str">
        <f>IFERROR(VLOOKUP(A1050,[1]Approval!A:J,10,FALSE),"")</f>
        <v/>
      </c>
      <c r="R1050" s="425">
        <f>2020-YEAR(Table227[[#This Row],[In-
Service
Date]])</f>
        <v>1</v>
      </c>
      <c r="S1050" s="308">
        <f>+Table227[[#This Row],[Proj To Date
Actuals]]*1.02^R1050</f>
        <v>135154.50840000002</v>
      </c>
    </row>
    <row r="1051" spans="1:19" x14ac:dyDescent="0.25">
      <c r="A1051" s="476" t="s">
        <v>1454</v>
      </c>
      <c r="B1051" s="475" t="s">
        <v>1454</v>
      </c>
      <c r="C1051" s="422" t="e">
        <f>VLOOKUP(B1051,'Matter &amp; CI#'!$D$4:$E$595,2,FALSE)</f>
        <v>#N/A</v>
      </c>
      <c r="D1051" s="476" t="s">
        <v>1455</v>
      </c>
      <c r="E1051" s="476" t="s">
        <v>10</v>
      </c>
      <c r="F1051" s="476" t="s">
        <v>9</v>
      </c>
      <c r="G1051" s="475" t="s">
        <v>2014</v>
      </c>
      <c r="H1051" s="516"/>
      <c r="I1051" s="477" t="s">
        <v>5</v>
      </c>
      <c r="J1051" s="476" t="s">
        <v>14</v>
      </c>
      <c r="K1051" s="476" t="s">
        <v>28</v>
      </c>
      <c r="L1051" s="184">
        <v>43585</v>
      </c>
      <c r="N1051" s="480">
        <v>224350.88</v>
      </c>
      <c r="O1051" s="478" t="str">
        <f>IFERROR(VLOOKUP(A1051,[1]Approval!A:C,3,FALSE),"")</f>
        <v/>
      </c>
      <c r="P1051" s="184" t="str">
        <f>IFERROR(VLOOKUP(A1051,[1]Approval!A:J,10,FALSE),"")</f>
        <v/>
      </c>
      <c r="R1051" s="425">
        <f>2020-YEAR(Table227[[#This Row],[In-
Service
Date]])</f>
        <v>1</v>
      </c>
      <c r="S1051" s="308">
        <f>+Table227[[#This Row],[Proj To Date
Actuals]]*1.02^R1051</f>
        <v>228837.8976</v>
      </c>
    </row>
    <row r="1052" spans="1:19" x14ac:dyDescent="0.25">
      <c r="A1052" s="476" t="s">
        <v>1464</v>
      </c>
      <c r="B1052" s="475" t="s">
        <v>1464</v>
      </c>
      <c r="C1052" s="422" t="e">
        <f>VLOOKUP(B1052,'Matter &amp; CI#'!$D$4:$E$595,2,FALSE)</f>
        <v>#N/A</v>
      </c>
      <c r="D1052" s="476" t="s">
        <v>1465</v>
      </c>
      <c r="E1052" s="476" t="s">
        <v>10</v>
      </c>
      <c r="F1052" s="476" t="s">
        <v>9</v>
      </c>
      <c r="G1052" s="475" t="s">
        <v>2014</v>
      </c>
      <c r="H1052" s="516"/>
      <c r="I1052" s="477" t="s">
        <v>5</v>
      </c>
      <c r="J1052" s="476" t="s">
        <v>14</v>
      </c>
      <c r="K1052" s="476" t="s">
        <v>28</v>
      </c>
      <c r="L1052" s="184">
        <v>43617</v>
      </c>
      <c r="N1052" s="480">
        <v>140942.64000000001</v>
      </c>
      <c r="O1052" s="478" t="str">
        <f>IFERROR(VLOOKUP(A1052,[1]Approval!A:C,3,FALSE),"")</f>
        <v>FIN Approval - Internal</v>
      </c>
      <c r="P1052" s="184">
        <f>IFERROR(VLOOKUP(A1052,[1]Approval!A:J,10,FALSE),"")</f>
        <v>44055</v>
      </c>
      <c r="R1052" s="425">
        <f>2020-YEAR(Table227[[#This Row],[In-
Service
Date]])</f>
        <v>1</v>
      </c>
      <c r="S1052" s="308">
        <f>+Table227[[#This Row],[Proj To Date
Actuals]]*1.02^R1052</f>
        <v>143761.49280000001</v>
      </c>
    </row>
    <row r="1053" spans="1:19" x14ac:dyDescent="0.25">
      <c r="A1053" s="476" t="s">
        <v>489</v>
      </c>
      <c r="B1053" s="475" t="s">
        <v>489</v>
      </c>
      <c r="C1053" s="422" t="e">
        <f>VLOOKUP(B1053,'Matter &amp; CI#'!$D$4:$E$595,2,FALSE)</f>
        <v>#N/A</v>
      </c>
      <c r="D1053" s="476" t="s">
        <v>490</v>
      </c>
      <c r="E1053" s="476" t="s">
        <v>10</v>
      </c>
      <c r="F1053" s="476" t="s">
        <v>9</v>
      </c>
      <c r="G1053" s="475" t="s">
        <v>2014</v>
      </c>
      <c r="H1053" s="516"/>
      <c r="I1053" s="477" t="s">
        <v>5</v>
      </c>
      <c r="J1053" s="476" t="s">
        <v>131</v>
      </c>
      <c r="K1053" s="476" t="s">
        <v>28</v>
      </c>
      <c r="L1053" s="184">
        <v>43800</v>
      </c>
      <c r="N1053" s="480">
        <v>110293.37</v>
      </c>
      <c r="O1053" s="478" t="str">
        <f>IFERROR(VLOOKUP(A1053,[1]Approval!A:C,3,FALSE),"")</f>
        <v/>
      </c>
      <c r="P1053" s="184" t="str">
        <f>IFERROR(VLOOKUP(A1053,[1]Approval!A:J,10,FALSE),"")</f>
        <v/>
      </c>
      <c r="R1053" s="425">
        <f>2020-YEAR(Table227[[#This Row],[In-
Service
Date]])</f>
        <v>1</v>
      </c>
      <c r="S1053" s="308">
        <f>+Table227[[#This Row],[Proj To Date
Actuals]]*1.02^R1053</f>
        <v>112499.2374</v>
      </c>
    </row>
    <row r="1054" spans="1:19" x14ac:dyDescent="0.25">
      <c r="A1054" s="476" t="s">
        <v>3738</v>
      </c>
      <c r="B1054" s="475" t="s">
        <v>3738</v>
      </c>
      <c r="C1054" s="422" t="e">
        <f>VLOOKUP(B1054,'Matter &amp; CI#'!$D$4:$E$595,2,FALSE)</f>
        <v>#N/A</v>
      </c>
      <c r="D1054" s="476" t="s">
        <v>3739</v>
      </c>
      <c r="E1054" s="476" t="s">
        <v>10</v>
      </c>
      <c r="F1054" s="476" t="s">
        <v>9</v>
      </c>
      <c r="G1054" s="484" t="s">
        <v>2014</v>
      </c>
      <c r="H1054" s="517" t="s">
        <v>4817</v>
      </c>
      <c r="I1054" s="477" t="s">
        <v>5</v>
      </c>
      <c r="J1054" s="476" t="s">
        <v>12</v>
      </c>
      <c r="K1054" s="476" t="s">
        <v>28</v>
      </c>
      <c r="L1054" s="184">
        <v>43862</v>
      </c>
      <c r="N1054" s="480">
        <v>157104.22</v>
      </c>
      <c r="O1054" s="478" t="str">
        <f>IFERROR(VLOOKUP(A1054,[1]Approval!A:C,3,FALSE),"")</f>
        <v/>
      </c>
      <c r="P1054" s="184" t="str">
        <f>IFERROR(VLOOKUP(A1054,[1]Approval!A:J,10,FALSE),"")</f>
        <v/>
      </c>
      <c r="R1054" s="425">
        <f>2020-YEAR(Table227[[#This Row],[In-
Service
Date]])</f>
        <v>0</v>
      </c>
      <c r="S1054" s="308">
        <f>+Table227[[#This Row],[Proj To Date
Actuals]]*1.02^R1054</f>
        <v>157104.22</v>
      </c>
    </row>
    <row r="1055" spans="1:19" x14ac:dyDescent="0.25">
      <c r="A1055" s="476" t="s">
        <v>3661</v>
      </c>
      <c r="B1055" s="475" t="s">
        <v>4454</v>
      </c>
      <c r="C1055" s="422" t="e">
        <f>VLOOKUP(B1055,'Matter &amp; CI#'!$D$4:$E$595,2,FALSE)</f>
        <v>#N/A</v>
      </c>
      <c r="D1055" s="476" t="s">
        <v>3662</v>
      </c>
      <c r="E1055" s="476" t="s">
        <v>10</v>
      </c>
      <c r="F1055" s="476" t="s">
        <v>9</v>
      </c>
      <c r="G1055" s="484" t="s">
        <v>2014</v>
      </c>
      <c r="H1055" s="517" t="s">
        <v>4819</v>
      </c>
      <c r="I1055" s="477" t="s">
        <v>5</v>
      </c>
      <c r="J1055" s="476" t="s">
        <v>6</v>
      </c>
      <c r="K1055" s="476" t="s">
        <v>28</v>
      </c>
      <c r="L1055" s="184">
        <v>43890</v>
      </c>
      <c r="N1055" s="480">
        <v>1723438.6</v>
      </c>
      <c r="O1055" s="478" t="str">
        <f>IFERROR(VLOOKUP(A1055,[1]Approval!A:C,3,FALSE),"")</f>
        <v/>
      </c>
      <c r="P1055" s="184" t="str">
        <f>IFERROR(VLOOKUP(A1055,[1]Approval!A:J,10,FALSE),"")</f>
        <v/>
      </c>
      <c r="R1055" s="425">
        <f>2020-YEAR(Table227[[#This Row],[In-
Service
Date]])</f>
        <v>0</v>
      </c>
      <c r="S1055" s="308">
        <f>+Table227[[#This Row],[Proj To Date
Actuals]]*1.02^R1055</f>
        <v>1723438.6</v>
      </c>
    </row>
    <row r="1056" spans="1:19" x14ac:dyDescent="0.25">
      <c r="A1056" s="476" t="s">
        <v>3849</v>
      </c>
      <c r="B1056" s="475" t="s">
        <v>3849</v>
      </c>
      <c r="C1056" s="422" t="e">
        <f>VLOOKUP(B1056,'Matter &amp; CI#'!$D$4:$E$595,2,FALSE)</f>
        <v>#N/A</v>
      </c>
      <c r="D1056" s="476" t="s">
        <v>3850</v>
      </c>
      <c r="E1056" s="476" t="s">
        <v>10</v>
      </c>
      <c r="F1056" s="476" t="s">
        <v>9</v>
      </c>
      <c r="G1056" s="484" t="s">
        <v>2014</v>
      </c>
      <c r="H1056" s="517" t="s">
        <v>4820</v>
      </c>
      <c r="I1056" s="477" t="s">
        <v>5</v>
      </c>
      <c r="J1056" s="476" t="s">
        <v>6</v>
      </c>
      <c r="K1056" s="476" t="s">
        <v>28</v>
      </c>
      <c r="L1056" s="184">
        <v>43920</v>
      </c>
      <c r="N1056" s="480">
        <v>542223</v>
      </c>
      <c r="O1056" s="478" t="str">
        <f>IFERROR(VLOOKUP(A1056,[1]Approval!A:C,3,FALSE),"")</f>
        <v/>
      </c>
      <c r="P1056" s="184" t="str">
        <f>IFERROR(VLOOKUP(A1056,[1]Approval!A:J,10,FALSE),"")</f>
        <v/>
      </c>
      <c r="R1056" s="425">
        <f>2020-YEAR(Table227[[#This Row],[In-
Service
Date]])</f>
        <v>0</v>
      </c>
      <c r="S1056" s="308">
        <f>+Table227[[#This Row],[Proj To Date
Actuals]]*1.02^R1056</f>
        <v>542223</v>
      </c>
    </row>
    <row r="1057" spans="1:19" x14ac:dyDescent="0.25">
      <c r="A1057" s="476" t="s">
        <v>3665</v>
      </c>
      <c r="B1057" s="475" t="s">
        <v>3665</v>
      </c>
      <c r="C1057" s="422" t="e">
        <f>VLOOKUP(B1057,'Matter &amp; CI#'!$D$4:$E$595,2,FALSE)</f>
        <v>#N/A</v>
      </c>
      <c r="D1057" s="476" t="s">
        <v>3666</v>
      </c>
      <c r="E1057" s="476" t="s">
        <v>10</v>
      </c>
      <c r="F1057" s="476" t="s">
        <v>9</v>
      </c>
      <c r="G1057" s="484" t="s">
        <v>2014</v>
      </c>
      <c r="H1057" s="517" t="s">
        <v>4821</v>
      </c>
      <c r="I1057" s="477" t="s">
        <v>5</v>
      </c>
      <c r="J1057" s="476" t="s">
        <v>6</v>
      </c>
      <c r="K1057" s="476" t="s">
        <v>28</v>
      </c>
      <c r="L1057" s="184">
        <v>43921</v>
      </c>
      <c r="N1057" s="480">
        <v>798173.87</v>
      </c>
      <c r="O1057" s="478" t="str">
        <f>IFERROR(VLOOKUP(A1057,[1]Approval!A:C,3,FALSE),"")</f>
        <v/>
      </c>
      <c r="P1057" s="184" t="str">
        <f>IFERROR(VLOOKUP(A1057,[1]Approval!A:J,10,FALSE),"")</f>
        <v/>
      </c>
      <c r="R1057" s="425">
        <f>2020-YEAR(Table227[[#This Row],[In-
Service
Date]])</f>
        <v>0</v>
      </c>
      <c r="S1057" s="308">
        <f>+Table227[[#This Row],[Proj To Date
Actuals]]*1.02^R1057</f>
        <v>798173.87</v>
      </c>
    </row>
    <row r="1058" spans="1:19" x14ac:dyDescent="0.25">
      <c r="A1058" s="476" t="s">
        <v>3796</v>
      </c>
      <c r="B1058" s="475" t="s">
        <v>3796</v>
      </c>
      <c r="C1058" s="422" t="e">
        <f>VLOOKUP(B1058,'Matter &amp; CI#'!$D$4:$E$595,2,FALSE)</f>
        <v>#N/A</v>
      </c>
      <c r="D1058" s="476" t="s">
        <v>3797</v>
      </c>
      <c r="E1058" s="476" t="s">
        <v>10</v>
      </c>
      <c r="F1058" s="476" t="s">
        <v>9</v>
      </c>
      <c r="G1058" s="484" t="s">
        <v>2014</v>
      </c>
      <c r="H1058" s="517" t="s">
        <v>4822</v>
      </c>
      <c r="I1058" s="477" t="s">
        <v>5</v>
      </c>
      <c r="J1058" s="476" t="s">
        <v>12</v>
      </c>
      <c r="K1058" s="476" t="s">
        <v>28</v>
      </c>
      <c r="L1058" s="184">
        <v>43922</v>
      </c>
      <c r="N1058" s="480">
        <v>154808.54999999999</v>
      </c>
      <c r="O1058" s="478" t="str">
        <f>IFERROR(VLOOKUP(A1058,[1]Approval!A:C,3,FALSE),"")</f>
        <v/>
      </c>
      <c r="P1058" s="184" t="str">
        <f>IFERROR(VLOOKUP(A1058,[1]Approval!A:J,10,FALSE),"")</f>
        <v/>
      </c>
      <c r="R1058" s="425">
        <f>2020-YEAR(Table227[[#This Row],[In-
Service
Date]])</f>
        <v>0</v>
      </c>
      <c r="S1058" s="308">
        <f>+Table227[[#This Row],[Proj To Date
Actuals]]*1.02^R1058</f>
        <v>154808.54999999999</v>
      </c>
    </row>
    <row r="1059" spans="1:19" x14ac:dyDescent="0.25">
      <c r="A1059" s="476" t="s">
        <v>3811</v>
      </c>
      <c r="B1059" s="475" t="s">
        <v>3811</v>
      </c>
      <c r="C1059" s="422" t="e">
        <f>VLOOKUP(B1059,'Matter &amp; CI#'!$D$4:$E$595,2,FALSE)</f>
        <v>#N/A</v>
      </c>
      <c r="D1059" s="476" t="s">
        <v>3812</v>
      </c>
      <c r="E1059" s="476" t="s">
        <v>10</v>
      </c>
      <c r="F1059" s="476" t="s">
        <v>9</v>
      </c>
      <c r="G1059" s="484" t="s">
        <v>2014</v>
      </c>
      <c r="H1059" s="517" t="s">
        <v>4823</v>
      </c>
      <c r="I1059" s="477" t="s">
        <v>5</v>
      </c>
      <c r="J1059" s="476" t="s">
        <v>6</v>
      </c>
      <c r="K1059" s="476" t="s">
        <v>28</v>
      </c>
      <c r="L1059" s="184">
        <v>43951</v>
      </c>
      <c r="N1059" s="480">
        <v>485463.78</v>
      </c>
      <c r="O1059" s="478" t="str">
        <f>IFERROR(VLOOKUP(A1059,[1]Approval!A:C,3,FALSE),"")</f>
        <v/>
      </c>
      <c r="P1059" s="184" t="str">
        <f>IFERROR(VLOOKUP(A1059,[1]Approval!A:J,10,FALSE),"")</f>
        <v/>
      </c>
      <c r="R1059" s="425">
        <f>2020-YEAR(Table227[[#This Row],[In-
Service
Date]])</f>
        <v>0</v>
      </c>
      <c r="S1059" s="308">
        <f>+Table227[[#This Row],[Proj To Date
Actuals]]*1.02^R1059</f>
        <v>485463.78</v>
      </c>
    </row>
    <row r="1060" spans="1:19" x14ac:dyDescent="0.25">
      <c r="A1060" s="476" t="s">
        <v>3809</v>
      </c>
      <c r="B1060" s="475" t="s">
        <v>3809</v>
      </c>
      <c r="C1060" s="422" t="e">
        <f>VLOOKUP(B1060,'Matter &amp; CI#'!$D$4:$E$595,2,FALSE)</f>
        <v>#N/A</v>
      </c>
      <c r="D1060" s="476" t="s">
        <v>3810</v>
      </c>
      <c r="E1060" s="476" t="s">
        <v>10</v>
      </c>
      <c r="F1060" s="476" t="s">
        <v>9</v>
      </c>
      <c r="G1060" s="484" t="s">
        <v>2014</v>
      </c>
      <c r="H1060" s="517" t="s">
        <v>4825</v>
      </c>
      <c r="I1060" s="477" t="s">
        <v>5</v>
      </c>
      <c r="J1060" s="476" t="s">
        <v>6</v>
      </c>
      <c r="K1060" s="476" t="s">
        <v>28</v>
      </c>
      <c r="L1060" s="184">
        <v>43981</v>
      </c>
      <c r="N1060" s="480">
        <v>422542.64</v>
      </c>
      <c r="O1060" s="478" t="str">
        <f>IFERROR(VLOOKUP(A1060,[1]Approval!A:C,3,FALSE),"")</f>
        <v/>
      </c>
      <c r="P1060" s="184" t="str">
        <f>IFERROR(VLOOKUP(A1060,[1]Approval!A:J,10,FALSE),"")</f>
        <v/>
      </c>
      <c r="R1060" s="425">
        <f>2020-YEAR(Table227[[#This Row],[In-
Service
Date]])</f>
        <v>0</v>
      </c>
      <c r="S1060" s="308">
        <f>+Table227[[#This Row],[Proj To Date
Actuals]]*1.02^R1060</f>
        <v>422542.64</v>
      </c>
    </row>
    <row r="1061" spans="1:19" x14ac:dyDescent="0.25">
      <c r="A1061" s="476" t="s">
        <v>3692</v>
      </c>
      <c r="B1061" s="475" t="s">
        <v>3692</v>
      </c>
      <c r="C1061" s="422" t="e">
        <f>VLOOKUP(B1061,'Matter &amp; CI#'!$D$4:$E$595,2,FALSE)</f>
        <v>#N/A</v>
      </c>
      <c r="D1061" s="476" t="s">
        <v>3693</v>
      </c>
      <c r="E1061" s="476" t="s">
        <v>10</v>
      </c>
      <c r="F1061" s="476" t="s">
        <v>9</v>
      </c>
      <c r="G1061" s="484" t="s">
        <v>2014</v>
      </c>
      <c r="H1061" s="517" t="s">
        <v>4826</v>
      </c>
      <c r="I1061" s="477" t="s">
        <v>5</v>
      </c>
      <c r="J1061" s="476" t="s">
        <v>12</v>
      </c>
      <c r="K1061" s="476" t="s">
        <v>28</v>
      </c>
      <c r="L1061" s="184">
        <v>43982</v>
      </c>
      <c r="N1061" s="480">
        <v>172.17</v>
      </c>
      <c r="O1061" s="478" t="str">
        <f>IFERROR(VLOOKUP(A1061,[1]Approval!A:C,3,FALSE),"")</f>
        <v/>
      </c>
      <c r="P1061" s="184" t="str">
        <f>IFERROR(VLOOKUP(A1061,[1]Approval!A:J,10,FALSE),"")</f>
        <v/>
      </c>
      <c r="R1061" s="425">
        <f>2020-YEAR(Table227[[#This Row],[In-
Service
Date]])</f>
        <v>0</v>
      </c>
      <c r="S1061" s="308">
        <f>+Table227[[#This Row],[Proj To Date
Actuals]]*1.02^R1061</f>
        <v>172.17</v>
      </c>
    </row>
    <row r="1062" spans="1:19" x14ac:dyDescent="0.25">
      <c r="A1062" s="476" t="s">
        <v>3774</v>
      </c>
      <c r="B1062" s="475" t="s">
        <v>3774</v>
      </c>
      <c r="C1062" s="422" t="e">
        <f>VLOOKUP(B1062,'Matter &amp; CI#'!$D$4:$E$595,2,FALSE)</f>
        <v>#N/A</v>
      </c>
      <c r="D1062" s="476" t="s">
        <v>3775</v>
      </c>
      <c r="E1062" s="476" t="s">
        <v>10</v>
      </c>
      <c r="F1062" s="476" t="s">
        <v>9</v>
      </c>
      <c r="G1062" s="484" t="s">
        <v>2014</v>
      </c>
      <c r="H1062" s="517" t="s">
        <v>4827</v>
      </c>
      <c r="I1062" s="477" t="s">
        <v>5</v>
      </c>
      <c r="J1062" s="476" t="s">
        <v>12</v>
      </c>
      <c r="K1062" s="476" t="s">
        <v>28</v>
      </c>
      <c r="L1062" s="184">
        <v>43982</v>
      </c>
      <c r="N1062" s="480">
        <v>144655.12</v>
      </c>
      <c r="O1062" s="478" t="str">
        <f>IFERROR(VLOOKUP(A1062,[1]Approval!A:C,3,FALSE),"")</f>
        <v/>
      </c>
      <c r="P1062" s="184" t="str">
        <f>IFERROR(VLOOKUP(A1062,[1]Approval!A:J,10,FALSE),"")</f>
        <v/>
      </c>
      <c r="R1062" s="425">
        <f>2020-YEAR(Table227[[#This Row],[In-
Service
Date]])</f>
        <v>0</v>
      </c>
      <c r="S1062" s="308">
        <f>+Table227[[#This Row],[Proj To Date
Actuals]]*1.02^R1062</f>
        <v>144655.12</v>
      </c>
    </row>
    <row r="1063" spans="1:19" x14ac:dyDescent="0.25">
      <c r="A1063" s="476" t="s">
        <v>3748</v>
      </c>
      <c r="B1063" s="475" t="s">
        <v>3748</v>
      </c>
      <c r="C1063" s="422" t="e">
        <f>VLOOKUP(B1063,'Matter &amp; CI#'!$D$4:$E$595,2,FALSE)</f>
        <v>#N/A</v>
      </c>
      <c r="D1063" s="476" t="s">
        <v>3749</v>
      </c>
      <c r="E1063" s="476" t="s">
        <v>10</v>
      </c>
      <c r="F1063" s="476" t="s">
        <v>9</v>
      </c>
      <c r="G1063" s="484" t="s">
        <v>2014</v>
      </c>
      <c r="H1063" s="517" t="s">
        <v>4826</v>
      </c>
      <c r="I1063" s="477" t="s">
        <v>5</v>
      </c>
      <c r="J1063" s="476" t="s">
        <v>12</v>
      </c>
      <c r="K1063" s="476" t="s">
        <v>28</v>
      </c>
      <c r="L1063" s="184">
        <v>43984</v>
      </c>
      <c r="N1063" s="480">
        <v>50176.25</v>
      </c>
      <c r="O1063" s="478" t="str">
        <f>IFERROR(VLOOKUP(A1063,[1]Approval!A:C,3,FALSE),"")</f>
        <v/>
      </c>
      <c r="P1063" s="184" t="str">
        <f>IFERROR(VLOOKUP(A1063,[1]Approval!A:J,10,FALSE),"")</f>
        <v/>
      </c>
      <c r="R1063" s="425">
        <f>2020-YEAR(Table227[[#This Row],[In-
Service
Date]])</f>
        <v>0</v>
      </c>
      <c r="S1063" s="308">
        <f>+Table227[[#This Row],[Proj To Date
Actuals]]*1.02^R1063</f>
        <v>50176.25</v>
      </c>
    </row>
    <row r="1064" spans="1:19" x14ac:dyDescent="0.25">
      <c r="A1064" s="476" t="s">
        <v>3730</v>
      </c>
      <c r="B1064" s="475" t="s">
        <v>3730</v>
      </c>
      <c r="C1064" s="422" t="e">
        <f>VLOOKUP(B1064,'Matter &amp; CI#'!$D$4:$E$595,2,FALSE)</f>
        <v>#N/A</v>
      </c>
      <c r="D1064" s="476" t="s">
        <v>3731</v>
      </c>
      <c r="E1064" s="476" t="s">
        <v>10</v>
      </c>
      <c r="F1064" s="476" t="s">
        <v>9</v>
      </c>
      <c r="G1064" s="484" t="s">
        <v>2014</v>
      </c>
      <c r="H1064" s="517" t="s">
        <v>4828</v>
      </c>
      <c r="I1064" s="477" t="s">
        <v>5</v>
      </c>
      <c r="J1064" s="476" t="s">
        <v>6</v>
      </c>
      <c r="K1064" s="476" t="s">
        <v>28</v>
      </c>
      <c r="L1064" s="184">
        <v>44043</v>
      </c>
      <c r="N1064" s="480">
        <v>417632.41</v>
      </c>
      <c r="O1064" s="478" t="str">
        <f>IFERROR(VLOOKUP(A1064,[1]Approval!A:C,3,FALSE),"")</f>
        <v/>
      </c>
      <c r="P1064" s="184" t="str">
        <f>IFERROR(VLOOKUP(A1064,[1]Approval!A:J,10,FALSE),"")</f>
        <v/>
      </c>
      <c r="R1064" s="425">
        <f>2020-YEAR(Table227[[#This Row],[In-
Service
Date]])</f>
        <v>0</v>
      </c>
      <c r="S1064" s="308">
        <f>+Table227[[#This Row],[Proj To Date
Actuals]]*1.02^R1064</f>
        <v>417632.41</v>
      </c>
    </row>
    <row r="1065" spans="1:19" x14ac:dyDescent="0.25">
      <c r="A1065" s="476" t="s">
        <v>3694</v>
      </c>
      <c r="B1065" s="475" t="s">
        <v>4532</v>
      </c>
      <c r="C1065" s="422" t="e">
        <f>VLOOKUP(B1065,'Matter &amp; CI#'!$D$4:$E$595,2,FALSE)</f>
        <v>#N/A</v>
      </c>
      <c r="D1065" s="476" t="s">
        <v>3695</v>
      </c>
      <c r="E1065" s="476" t="s">
        <v>10</v>
      </c>
      <c r="F1065" s="476" t="s">
        <v>9</v>
      </c>
      <c r="G1065" s="484" t="s">
        <v>2014</v>
      </c>
      <c r="H1065" s="517" t="s">
        <v>4832</v>
      </c>
      <c r="I1065" s="477" t="s">
        <v>5</v>
      </c>
      <c r="J1065" s="476" t="s">
        <v>6</v>
      </c>
      <c r="K1065" s="476" t="s">
        <v>28</v>
      </c>
      <c r="L1065" s="184">
        <v>44104</v>
      </c>
      <c r="N1065" s="480">
        <v>254838.36</v>
      </c>
      <c r="O1065" s="478" t="str">
        <f>IFERROR(VLOOKUP(A1065,[1]Approval!A:C,3,FALSE),"")</f>
        <v/>
      </c>
      <c r="P1065" s="184" t="str">
        <f>IFERROR(VLOOKUP(A1065,[1]Approval!A:J,10,FALSE),"")</f>
        <v/>
      </c>
      <c r="R1065" s="425">
        <f>2020-YEAR(Table227[[#This Row],[In-
Service
Date]])</f>
        <v>0</v>
      </c>
      <c r="S1065" s="308">
        <f>+Table227[[#This Row],[Proj To Date
Actuals]]*1.02^R1065</f>
        <v>254838.36</v>
      </c>
    </row>
    <row r="1066" spans="1:19" x14ac:dyDescent="0.25">
      <c r="A1066" s="476" t="s">
        <v>3802</v>
      </c>
      <c r="B1066" s="475" t="s">
        <v>3802</v>
      </c>
      <c r="C1066" s="422" t="e">
        <f>VLOOKUP(B1066,'Matter &amp; CI#'!$D$4:$E$595,2,FALSE)</f>
        <v>#N/A</v>
      </c>
      <c r="D1066" s="476" t="s">
        <v>3803</v>
      </c>
      <c r="E1066" s="476" t="s">
        <v>10</v>
      </c>
      <c r="F1066" s="476" t="s">
        <v>9</v>
      </c>
      <c r="G1066" s="484" t="s">
        <v>2014</v>
      </c>
      <c r="H1066" s="517" t="s">
        <v>4833</v>
      </c>
      <c r="I1066" s="477" t="s">
        <v>5</v>
      </c>
      <c r="J1066" s="476" t="s">
        <v>131</v>
      </c>
      <c r="K1066" s="476" t="s">
        <v>28</v>
      </c>
      <c r="L1066" s="184">
        <v>44104</v>
      </c>
      <c r="N1066" s="480">
        <v>59092.5</v>
      </c>
      <c r="O1066" s="478" t="str">
        <f>IFERROR(VLOOKUP(A1066,[1]Approval!A:C,3,FALSE),"")</f>
        <v/>
      </c>
      <c r="P1066" s="184" t="str">
        <f>IFERROR(VLOOKUP(A1066,[1]Approval!A:J,10,FALSE),"")</f>
        <v/>
      </c>
      <c r="R1066" s="425">
        <f>2020-YEAR(Table227[[#This Row],[In-
Service
Date]])</f>
        <v>0</v>
      </c>
      <c r="S1066" s="308">
        <f>+Table227[[#This Row],[Proj To Date
Actuals]]*1.02^R1066</f>
        <v>59092.5</v>
      </c>
    </row>
    <row r="1067" spans="1:19" x14ac:dyDescent="0.25">
      <c r="A1067" s="476" t="s">
        <v>3684</v>
      </c>
      <c r="B1067" s="475" t="s">
        <v>3684</v>
      </c>
      <c r="C1067" s="422" t="e">
        <f>VLOOKUP(B1067,'Matter &amp; CI#'!$D$4:$E$595,2,FALSE)</f>
        <v>#N/A</v>
      </c>
      <c r="D1067" s="476" t="s">
        <v>3685</v>
      </c>
      <c r="E1067" s="476" t="s">
        <v>10</v>
      </c>
      <c r="F1067" s="476" t="s">
        <v>9</v>
      </c>
      <c r="G1067" s="484" t="s">
        <v>2014</v>
      </c>
      <c r="H1067" s="517" t="s">
        <v>4834</v>
      </c>
      <c r="I1067" s="477" t="s">
        <v>5</v>
      </c>
      <c r="J1067" s="476" t="s">
        <v>14</v>
      </c>
      <c r="K1067" s="476" t="s">
        <v>28</v>
      </c>
      <c r="L1067" s="184">
        <v>44135</v>
      </c>
      <c r="N1067" s="480">
        <v>26202.61</v>
      </c>
      <c r="O1067" s="478" t="str">
        <f>IFERROR(VLOOKUP(A1067,[1]Approval!A:C,3,FALSE),"")</f>
        <v/>
      </c>
      <c r="P1067" s="184" t="str">
        <f>IFERROR(VLOOKUP(A1067,[1]Approval!A:J,10,FALSE),"")</f>
        <v/>
      </c>
      <c r="R1067" s="425">
        <f>2020-YEAR(Table227[[#This Row],[In-
Service
Date]])</f>
        <v>0</v>
      </c>
      <c r="S1067" s="308">
        <f>+Table227[[#This Row],[Proj To Date
Actuals]]*1.02^R1067</f>
        <v>26202.61</v>
      </c>
    </row>
    <row r="1068" spans="1:19" x14ac:dyDescent="0.25">
      <c r="A1068" s="476" t="s">
        <v>3716</v>
      </c>
      <c r="B1068" s="475" t="s">
        <v>3716</v>
      </c>
      <c r="C1068" s="422" t="e">
        <f>VLOOKUP(B1068,'Matter &amp; CI#'!$D$4:$E$595,2,FALSE)</f>
        <v>#N/A</v>
      </c>
      <c r="D1068" s="476" t="s">
        <v>3717</v>
      </c>
      <c r="E1068" s="476" t="s">
        <v>10</v>
      </c>
      <c r="F1068" s="476" t="s">
        <v>9</v>
      </c>
      <c r="G1068" s="484" t="s">
        <v>2014</v>
      </c>
      <c r="H1068" s="517"/>
      <c r="I1068" s="477" t="s">
        <v>5</v>
      </c>
      <c r="J1068" s="476" t="s">
        <v>6</v>
      </c>
      <c r="K1068" s="476" t="s">
        <v>28</v>
      </c>
      <c r="L1068" s="184">
        <v>44196</v>
      </c>
      <c r="N1068" s="480">
        <v>322741.82</v>
      </c>
      <c r="O1068" s="478" t="str">
        <f>IFERROR(VLOOKUP(A1068,[1]Approval!A:C,3,FALSE),"")</f>
        <v/>
      </c>
      <c r="P1068" s="184" t="str">
        <f>IFERROR(VLOOKUP(A1068,[1]Approval!A:J,10,FALSE),"")</f>
        <v/>
      </c>
      <c r="R1068" s="425">
        <f>2020-YEAR(Table227[[#This Row],[In-
Service
Date]])</f>
        <v>0</v>
      </c>
      <c r="S1068" s="308">
        <f>+Table227[[#This Row],[Proj To Date
Actuals]]*1.02^R1068</f>
        <v>322741.82</v>
      </c>
    </row>
    <row r="1069" spans="1:19" x14ac:dyDescent="0.25">
      <c r="A1069" s="476" t="s">
        <v>976</v>
      </c>
      <c r="B1069" s="475" t="s">
        <v>4007</v>
      </c>
      <c r="C1069" s="422" t="e">
        <f>VLOOKUP(B1069,'Matter &amp; CI#'!$D$4:$E$595,2,FALSE)</f>
        <v>#N/A</v>
      </c>
      <c r="D1069" s="476" t="s">
        <v>977</v>
      </c>
      <c r="E1069" s="476" t="s">
        <v>8</v>
      </c>
      <c r="F1069" s="476" t="s">
        <v>24</v>
      </c>
      <c r="G1069" s="475" t="s">
        <v>2014</v>
      </c>
      <c r="H1069" s="516"/>
      <c r="I1069" s="477" t="s">
        <v>5</v>
      </c>
      <c r="J1069" s="476" t="s">
        <v>6</v>
      </c>
      <c r="K1069" s="476" t="s">
        <v>7</v>
      </c>
      <c r="L1069" s="184">
        <v>40897</v>
      </c>
      <c r="M1069" s="184">
        <v>41964</v>
      </c>
      <c r="N1069" s="480">
        <v>1050733.3899999999</v>
      </c>
      <c r="O1069" s="478" t="str">
        <f>IFERROR(VLOOKUP(A1069,[1]Approval!A:C,3,FALSE),"")</f>
        <v>FIN Approval - Internal</v>
      </c>
      <c r="P1069" s="184">
        <f>IFERROR(VLOOKUP(A1069,[1]Approval!A:J,10,FALSE),"")</f>
        <v>41964</v>
      </c>
      <c r="R1069" s="425">
        <f>2020-YEAR(Table227[[#This Row],[In-
Service
Date]])</f>
        <v>9</v>
      </c>
      <c r="S1069" s="308">
        <f>+Table227[[#This Row],[Proj To Date
Actuals]]*1.02^R1069</f>
        <v>1255723.6659923282</v>
      </c>
    </row>
    <row r="1070" spans="1:19" x14ac:dyDescent="0.25">
      <c r="A1070" s="476" t="s">
        <v>1504</v>
      </c>
      <c r="B1070" s="475" t="s">
        <v>3920</v>
      </c>
      <c r="C1070" s="422" t="e">
        <f>VLOOKUP(B1070,'Matter &amp; CI#'!$D$4:$E$595,2,FALSE)</f>
        <v>#N/A</v>
      </c>
      <c r="D1070" s="476" t="s">
        <v>1505</v>
      </c>
      <c r="E1070" s="476" t="s">
        <v>73</v>
      </c>
      <c r="F1070" s="476" t="s">
        <v>24</v>
      </c>
      <c r="G1070" s="475" t="s">
        <v>2014</v>
      </c>
      <c r="H1070" s="516"/>
      <c r="I1070" s="477" t="s">
        <v>5</v>
      </c>
      <c r="J1070" s="476" t="s">
        <v>6</v>
      </c>
      <c r="K1070" s="476" t="s">
        <v>7</v>
      </c>
      <c r="L1070" s="184">
        <v>40908</v>
      </c>
      <c r="M1070" s="184">
        <v>42909</v>
      </c>
      <c r="N1070" s="480">
        <v>7197372.7599999998</v>
      </c>
      <c r="O1070" s="478" t="str">
        <f>IFERROR(VLOOKUP(A1070,[1]Approval!A:C,3,FALSE),"")</f>
        <v>FIN Approval - Internal</v>
      </c>
      <c r="P1070" s="184">
        <f>IFERROR(VLOOKUP(A1070,[1]Approval!A:J,10,FALSE),"")</f>
        <v>42909</v>
      </c>
      <c r="R1070" s="425">
        <f>2020-YEAR(Table227[[#This Row],[In-
Service
Date]])</f>
        <v>9</v>
      </c>
      <c r="S1070" s="308">
        <f>+Table227[[#This Row],[Proj To Date
Actuals]]*1.02^R1070</f>
        <v>8601526.6990806498</v>
      </c>
    </row>
    <row r="1071" spans="1:19" x14ac:dyDescent="0.25">
      <c r="A1071" s="476" t="s">
        <v>1510</v>
      </c>
      <c r="B1071" s="475" t="s">
        <v>3914</v>
      </c>
      <c r="C1071" s="422" t="e">
        <f>VLOOKUP(B1071,'Matter &amp; CI#'!$D$4:$E$595,2,FALSE)</f>
        <v>#N/A</v>
      </c>
      <c r="D1071" s="476" t="s">
        <v>1511</v>
      </c>
      <c r="E1071" s="476" t="s">
        <v>8</v>
      </c>
      <c r="F1071" s="476" t="s">
        <v>24</v>
      </c>
      <c r="G1071" s="475" t="s">
        <v>2014</v>
      </c>
      <c r="H1071" s="516"/>
      <c r="I1071" s="477" t="s">
        <v>5</v>
      </c>
      <c r="J1071" s="476" t="s">
        <v>6</v>
      </c>
      <c r="K1071" s="476" t="s">
        <v>7</v>
      </c>
      <c r="L1071" s="184">
        <v>41176</v>
      </c>
      <c r="M1071" s="184">
        <v>41964</v>
      </c>
      <c r="N1071" s="480">
        <v>775762.01</v>
      </c>
      <c r="O1071" s="478" t="str">
        <f>IFERROR(VLOOKUP(A1071,[1]Approval!A:C,3,FALSE),"")</f>
        <v>zINVALID FIN Approval - Internal</v>
      </c>
      <c r="P1071" s="184">
        <f>IFERROR(VLOOKUP(A1071,[1]Approval!A:J,10,FALSE),"")</f>
        <v>41964</v>
      </c>
      <c r="R1071" s="425">
        <f>2020-YEAR(Table227[[#This Row],[In-
Service
Date]])</f>
        <v>8</v>
      </c>
      <c r="S1071" s="308">
        <f>+Table227[[#This Row],[Proj To Date
Actuals]]*1.02^R1071</f>
        <v>908928.83644167334</v>
      </c>
    </row>
    <row r="1072" spans="1:19" x14ac:dyDescent="0.25">
      <c r="A1072" s="476" t="s">
        <v>1781</v>
      </c>
      <c r="B1072" s="475" t="s">
        <v>4106</v>
      </c>
      <c r="C1072" s="422" t="e">
        <f>VLOOKUP(B1072,'Matter &amp; CI#'!$D$4:$E$595,2,FALSE)</f>
        <v>#N/A</v>
      </c>
      <c r="D1072" s="476" t="s">
        <v>1782</v>
      </c>
      <c r="E1072" s="476" t="s">
        <v>41</v>
      </c>
      <c r="F1072" s="476" t="s">
        <v>24</v>
      </c>
      <c r="G1072" s="475" t="s">
        <v>2014</v>
      </c>
      <c r="H1072" s="516"/>
      <c r="I1072" s="477" t="s">
        <v>5</v>
      </c>
      <c r="J1072" s="476" t="s">
        <v>6</v>
      </c>
      <c r="K1072" s="476" t="s">
        <v>7</v>
      </c>
      <c r="L1072" s="184">
        <v>41186</v>
      </c>
      <c r="M1072" s="184">
        <v>42613</v>
      </c>
      <c r="N1072" s="480">
        <v>1848858.71</v>
      </c>
      <c r="O1072" s="478" t="str">
        <f>IFERROR(VLOOKUP(A1072,[1]Approval!A:C,3,FALSE),"")</f>
        <v>FIN Approval - Internal</v>
      </c>
      <c r="P1072" s="184">
        <f>IFERROR(VLOOKUP(A1072,[1]Approval!A:J,10,FALSE),"")</f>
        <v>42625</v>
      </c>
      <c r="R1072" s="425">
        <f>2020-YEAR(Table227[[#This Row],[In-
Service
Date]])</f>
        <v>8</v>
      </c>
      <c r="S1072" s="308">
        <f>+Table227[[#This Row],[Proj To Date
Actuals]]*1.02^R1072</f>
        <v>2166232.651719247</v>
      </c>
    </row>
    <row r="1073" spans="1:19" x14ac:dyDescent="0.25">
      <c r="A1073" s="476" t="s">
        <v>1002</v>
      </c>
      <c r="B1073" s="475" t="s">
        <v>3995</v>
      </c>
      <c r="C1073" s="422" t="e">
        <f>VLOOKUP(B1073,'Matter &amp; CI#'!$D$4:$E$595,2,FALSE)</f>
        <v>#N/A</v>
      </c>
      <c r="D1073" s="476" t="s">
        <v>1003</v>
      </c>
      <c r="E1073" s="476" t="s">
        <v>41</v>
      </c>
      <c r="F1073" s="476" t="s">
        <v>24</v>
      </c>
      <c r="G1073" s="475" t="s">
        <v>2014</v>
      </c>
      <c r="H1073" s="516"/>
      <c r="I1073" s="477" t="s">
        <v>5</v>
      </c>
      <c r="J1073" s="476" t="s">
        <v>6</v>
      </c>
      <c r="K1073" s="476" t="s">
        <v>7</v>
      </c>
      <c r="L1073" s="184">
        <v>41250</v>
      </c>
      <c r="M1073" s="184">
        <v>42752</v>
      </c>
      <c r="N1073" s="480">
        <v>2044742.03</v>
      </c>
      <c r="O1073" s="478" t="str">
        <f>IFERROR(VLOOKUP(A1073,[1]Approval!A:C,3,FALSE),"")</f>
        <v>FIN Approval - Internal</v>
      </c>
      <c r="P1073" s="184">
        <f>IFERROR(VLOOKUP(A1073,[1]Approval!A:J,10,FALSE),"")</f>
        <v>42752</v>
      </c>
      <c r="R1073" s="425">
        <f>2020-YEAR(Table227[[#This Row],[In-
Service
Date]])</f>
        <v>8</v>
      </c>
      <c r="S1073" s="308">
        <f>+Table227[[#This Row],[Proj To Date
Actuals]]*1.02^R1073</f>
        <v>2395741.181179116</v>
      </c>
    </row>
    <row r="1074" spans="1:19" x14ac:dyDescent="0.25">
      <c r="A1074" s="476" t="s">
        <v>1246</v>
      </c>
      <c r="B1074" s="475" t="s">
        <v>3996</v>
      </c>
      <c r="C1074" s="422" t="e">
        <f>VLOOKUP(B1074,'Matter &amp; CI#'!$D$4:$E$595,2,FALSE)</f>
        <v>#N/A</v>
      </c>
      <c r="D1074" s="476" t="s">
        <v>1247</v>
      </c>
      <c r="E1074" s="476" t="s">
        <v>42</v>
      </c>
      <c r="F1074" s="476" t="s">
        <v>24</v>
      </c>
      <c r="G1074" s="475" t="s">
        <v>2014</v>
      </c>
      <c r="H1074" s="516"/>
      <c r="I1074" s="477" t="s">
        <v>5</v>
      </c>
      <c r="J1074" s="476" t="s">
        <v>6</v>
      </c>
      <c r="K1074" s="476" t="s">
        <v>7</v>
      </c>
      <c r="L1074" s="184">
        <v>41264</v>
      </c>
      <c r="M1074" s="184">
        <v>42625</v>
      </c>
      <c r="N1074" s="480">
        <v>3066205.32</v>
      </c>
      <c r="O1074" s="478" t="str">
        <f>IFERROR(VLOOKUP(A1074,[1]Approval!A:C,3,FALSE),"")</f>
        <v>FIN Approval - Internal</v>
      </c>
      <c r="P1074" s="184">
        <f>IFERROR(VLOOKUP(A1074,[1]Approval!A:J,10,FALSE),"")</f>
        <v>42625</v>
      </c>
      <c r="R1074" s="425">
        <f>2020-YEAR(Table227[[#This Row],[In-
Service
Date]])</f>
        <v>8</v>
      </c>
      <c r="S1074" s="308">
        <f>+Table227[[#This Row],[Proj To Date
Actuals]]*1.02^R1074</f>
        <v>3592548.2272570534</v>
      </c>
    </row>
    <row r="1075" spans="1:19" x14ac:dyDescent="0.25">
      <c r="A1075" s="476" t="s">
        <v>799</v>
      </c>
      <c r="B1075" s="475" t="s">
        <v>4233</v>
      </c>
      <c r="C1075" s="422" t="e">
        <f>VLOOKUP(B1075,'Matter &amp; CI#'!$D$4:$E$595,2,FALSE)</f>
        <v>#N/A</v>
      </c>
      <c r="D1075" s="476" t="s">
        <v>800</v>
      </c>
      <c r="E1075" s="476" t="s">
        <v>34</v>
      </c>
      <c r="F1075" s="476" t="s">
        <v>24</v>
      </c>
      <c r="G1075" s="475" t="s">
        <v>2014</v>
      </c>
      <c r="H1075" s="516"/>
      <c r="I1075" s="477" t="s">
        <v>5</v>
      </c>
      <c r="J1075" s="476" t="s">
        <v>25</v>
      </c>
      <c r="K1075" s="476" t="s">
        <v>7</v>
      </c>
      <c r="L1075" s="184">
        <v>41416</v>
      </c>
      <c r="M1075" s="184">
        <v>41843</v>
      </c>
      <c r="N1075" s="480">
        <v>327396.23</v>
      </c>
      <c r="O1075" s="478" t="str">
        <f>IFERROR(VLOOKUP(A1075,[1]Approval!A:C,3,FALSE),"")</f>
        <v>FIN Approval - Internal</v>
      </c>
      <c r="P1075" s="184">
        <f>IFERROR(VLOOKUP(A1075,[1]Approval!A:J,10,FALSE),"")</f>
        <v>41843</v>
      </c>
      <c r="R1075" s="425">
        <f>2020-YEAR(Table227[[#This Row],[In-
Service
Date]])</f>
        <v>7</v>
      </c>
      <c r="S1075" s="308">
        <f>+Table227[[#This Row],[Proj To Date
Actuals]]*1.02^R1075</f>
        <v>376075.35704340716</v>
      </c>
    </row>
    <row r="1076" spans="1:19" x14ac:dyDescent="0.25">
      <c r="A1076" s="476" t="s">
        <v>1056</v>
      </c>
      <c r="B1076" s="475" t="s">
        <v>4222</v>
      </c>
      <c r="C1076" s="422" t="e">
        <f>VLOOKUP(B1076,'Matter &amp; CI#'!$D$4:$E$595,2,FALSE)</f>
        <v>#N/A</v>
      </c>
      <c r="D1076" s="476" t="s">
        <v>1057</v>
      </c>
      <c r="E1076" s="476" t="s">
        <v>34</v>
      </c>
      <c r="F1076" s="476" t="s">
        <v>24</v>
      </c>
      <c r="G1076" s="475" t="s">
        <v>2014</v>
      </c>
      <c r="H1076" s="516"/>
      <c r="I1076" s="477" t="s">
        <v>5</v>
      </c>
      <c r="J1076" s="476" t="s">
        <v>6</v>
      </c>
      <c r="K1076" s="476" t="s">
        <v>7</v>
      </c>
      <c r="L1076" s="184">
        <v>41455</v>
      </c>
      <c r="M1076" s="184">
        <v>42909</v>
      </c>
      <c r="N1076" s="480">
        <v>825135.97</v>
      </c>
      <c r="O1076" s="478" t="str">
        <f>IFERROR(VLOOKUP(A1076,[1]Approval!A:C,3,FALSE),"")</f>
        <v>FIN Approval - External</v>
      </c>
      <c r="P1076" s="184">
        <f>IFERROR(VLOOKUP(A1076,[1]Approval!A:J,10,FALSE),"")</f>
        <v>42909</v>
      </c>
      <c r="R1076" s="425">
        <f>2020-YEAR(Table227[[#This Row],[In-
Service
Date]])</f>
        <v>7</v>
      </c>
      <c r="S1076" s="308">
        <f>+Table227[[#This Row],[Proj To Date
Actuals]]*1.02^R1076</f>
        <v>947821.86260088615</v>
      </c>
    </row>
    <row r="1077" spans="1:19" x14ac:dyDescent="0.25">
      <c r="A1077" s="476" t="s">
        <v>1835</v>
      </c>
      <c r="B1077" s="475" t="s">
        <v>4290</v>
      </c>
      <c r="C1077" s="422" t="e">
        <f>VLOOKUP(B1077,'Matter &amp; CI#'!$D$4:$E$595,2,FALSE)</f>
        <v>#N/A</v>
      </c>
      <c r="D1077" s="476" t="s">
        <v>1836</v>
      </c>
      <c r="E1077" s="476" t="s">
        <v>34</v>
      </c>
      <c r="F1077" s="476" t="s">
        <v>24</v>
      </c>
      <c r="G1077" s="475" t="s">
        <v>2014</v>
      </c>
      <c r="H1077" s="516"/>
      <c r="I1077" s="477" t="s">
        <v>5</v>
      </c>
      <c r="J1077" s="476" t="s">
        <v>6</v>
      </c>
      <c r="K1077" s="476" t="s">
        <v>7</v>
      </c>
      <c r="L1077" s="184">
        <v>41575</v>
      </c>
      <c r="M1077" s="184">
        <v>42751</v>
      </c>
      <c r="N1077" s="480">
        <v>119931.01</v>
      </c>
      <c r="O1077" s="478" t="str">
        <f>IFERROR(VLOOKUP(A1077,[1]Approval!A:C,3,FALSE),"")</f>
        <v>FIN Approval - Internal</v>
      </c>
      <c r="P1077" s="184">
        <f>IFERROR(VLOOKUP(A1077,[1]Approval!A:J,10,FALSE),"")</f>
        <v>42751</v>
      </c>
      <c r="R1077" s="425">
        <f>2020-YEAR(Table227[[#This Row],[In-
Service
Date]])</f>
        <v>7</v>
      </c>
      <c r="S1077" s="308">
        <f>+Table227[[#This Row],[Proj To Date
Actuals]]*1.02^R1077</f>
        <v>137763.03229370245</v>
      </c>
    </row>
    <row r="1078" spans="1:19" x14ac:dyDescent="0.25">
      <c r="A1078" s="476" t="s">
        <v>759</v>
      </c>
      <c r="B1078" s="475" t="s">
        <v>3993</v>
      </c>
      <c r="C1078" s="422" t="e">
        <f>VLOOKUP(B1078,'Matter &amp; CI#'!$D$4:$E$595,2,FALSE)</f>
        <v>#N/A</v>
      </c>
      <c r="D1078" s="476" t="s">
        <v>760</v>
      </c>
      <c r="E1078" s="476" t="s">
        <v>73</v>
      </c>
      <c r="F1078" s="476" t="s">
        <v>24</v>
      </c>
      <c r="G1078" s="475" t="s">
        <v>2014</v>
      </c>
      <c r="H1078" s="516"/>
      <c r="I1078" s="477" t="s">
        <v>5</v>
      </c>
      <c r="J1078" s="476" t="s">
        <v>6</v>
      </c>
      <c r="K1078" s="476" t="s">
        <v>7</v>
      </c>
      <c r="L1078" s="184">
        <v>41916</v>
      </c>
      <c r="M1078" s="184">
        <v>42915</v>
      </c>
      <c r="N1078" s="480">
        <v>4330201</v>
      </c>
      <c r="O1078" s="478" t="str">
        <f>IFERROR(VLOOKUP(A1078,[1]Approval!A:C,3,FALSE),"")</f>
        <v>FIN Approval - Internal</v>
      </c>
      <c r="P1078" s="184">
        <f>IFERROR(VLOOKUP(A1078,[1]Approval!A:J,10,FALSE),"")</f>
        <v>42940</v>
      </c>
      <c r="R1078" s="425">
        <f>2020-YEAR(Table227[[#This Row],[In-
Service
Date]])</f>
        <v>6</v>
      </c>
      <c r="S1078" s="308">
        <f>+Table227[[#This Row],[Proj To Date
Actuals]]*1.02^R1078</f>
        <v>4876509.6340593919</v>
      </c>
    </row>
    <row r="1079" spans="1:19" x14ac:dyDescent="0.25">
      <c r="A1079" s="476" t="s">
        <v>1318</v>
      </c>
      <c r="B1079" s="475" t="s">
        <v>4326</v>
      </c>
      <c r="C1079" s="422" t="e">
        <f>VLOOKUP(B1079,'Matter &amp; CI#'!$D$4:$E$595,2,FALSE)</f>
        <v>#N/A</v>
      </c>
      <c r="D1079" s="476" t="s">
        <v>1319</v>
      </c>
      <c r="E1079" s="476" t="s">
        <v>34</v>
      </c>
      <c r="F1079" s="476" t="s">
        <v>24</v>
      </c>
      <c r="G1079" s="475" t="s">
        <v>2014</v>
      </c>
      <c r="H1079" s="516"/>
      <c r="I1079" s="477" t="s">
        <v>5</v>
      </c>
      <c r="J1079" s="476" t="s">
        <v>6</v>
      </c>
      <c r="K1079" s="476" t="s">
        <v>28</v>
      </c>
      <c r="L1079" s="184">
        <v>42338</v>
      </c>
      <c r="N1079" s="480">
        <v>1402349.23</v>
      </c>
      <c r="O1079" s="478" t="str">
        <f>IFERROR(VLOOKUP(A1079,[1]Approval!A:C,3,FALSE),"")</f>
        <v>FIN Approval - External</v>
      </c>
      <c r="P1079" s="184">
        <f>IFERROR(VLOOKUP(A1079,[1]Approval!A:J,10,FALSE),"")</f>
        <v>43728</v>
      </c>
      <c r="R1079" s="425">
        <f>2020-YEAR(Table227[[#This Row],[In-
Service
Date]])</f>
        <v>5</v>
      </c>
      <c r="S1079" s="308">
        <f>+Table227[[#This Row],[Proj To Date
Actuals]]*1.02^R1079</f>
        <v>1548306.8642253014</v>
      </c>
    </row>
    <row r="1080" spans="1:19" x14ac:dyDescent="0.25">
      <c r="A1080" s="476" t="s">
        <v>608</v>
      </c>
      <c r="B1080" s="475" t="s">
        <v>4356</v>
      </c>
      <c r="C1080" s="422" t="e">
        <f>VLOOKUP(B1080,'Matter &amp; CI#'!$D$4:$E$595,2,FALSE)</f>
        <v>#N/A</v>
      </c>
      <c r="D1080" s="476" t="s">
        <v>609</v>
      </c>
      <c r="E1080" s="476" t="s">
        <v>42</v>
      </c>
      <c r="F1080" s="476" t="s">
        <v>24</v>
      </c>
      <c r="G1080" s="475" t="s">
        <v>2014</v>
      </c>
      <c r="H1080" s="516"/>
      <c r="I1080" s="477" t="s">
        <v>5</v>
      </c>
      <c r="J1080" s="476" t="s">
        <v>6</v>
      </c>
      <c r="K1080" s="476" t="s">
        <v>7</v>
      </c>
      <c r="L1080" s="184">
        <v>42429</v>
      </c>
      <c r="M1080" s="184">
        <v>43708</v>
      </c>
      <c r="N1080" s="480">
        <v>799126.5</v>
      </c>
      <c r="O1080" s="478" t="str">
        <f>IFERROR(VLOOKUP(A1080,[1]Approval!A:C,3,FALSE),"")</f>
        <v>FIN Approval - Internal</v>
      </c>
      <c r="P1080" s="184">
        <f>IFERROR(VLOOKUP(A1080,[1]Approval!A:J,10,FALSE),"")</f>
        <v>43700</v>
      </c>
      <c r="R1080" s="425">
        <f>2020-YEAR(Table227[[#This Row],[In-
Service
Date]])</f>
        <v>4</v>
      </c>
      <c r="S1080" s="308">
        <f>+Table227[[#This Row],[Proj To Date
Actuals]]*1.02^R1080</f>
        <v>865000.22350823996</v>
      </c>
    </row>
    <row r="1081" spans="1:19" x14ac:dyDescent="0.25">
      <c r="A1081" s="476" t="s">
        <v>1891</v>
      </c>
      <c r="B1081" s="475" t="s">
        <v>4355</v>
      </c>
      <c r="C1081" s="422" t="e">
        <f>VLOOKUP(B1081,'Matter &amp; CI#'!$D$4:$E$595,2,FALSE)</f>
        <v>#N/A</v>
      </c>
      <c r="D1081" s="476" t="s">
        <v>1892</v>
      </c>
      <c r="E1081" s="476" t="s">
        <v>42</v>
      </c>
      <c r="F1081" s="476" t="s">
        <v>24</v>
      </c>
      <c r="G1081" s="475" t="s">
        <v>2014</v>
      </c>
      <c r="H1081" s="516"/>
      <c r="I1081" s="477" t="s">
        <v>5</v>
      </c>
      <c r="J1081" s="476" t="s">
        <v>6</v>
      </c>
      <c r="K1081" s="476" t="s">
        <v>7</v>
      </c>
      <c r="L1081" s="184">
        <v>42825</v>
      </c>
      <c r="M1081" s="184">
        <v>43586</v>
      </c>
      <c r="N1081" s="480">
        <v>808274</v>
      </c>
      <c r="O1081" s="478" t="str">
        <f>IFERROR(VLOOKUP(A1081,[1]Approval!A:C,3,FALSE),"")</f>
        <v>FIN Approval - Internal</v>
      </c>
      <c r="P1081" s="184">
        <f>IFERROR(VLOOKUP(A1081,[1]Approval!A:J,10,FALSE),"")</f>
        <v>43769</v>
      </c>
      <c r="R1081" s="425">
        <f>2020-YEAR(Table227[[#This Row],[In-
Service
Date]])</f>
        <v>3</v>
      </c>
      <c r="S1081" s="308">
        <f>+Table227[[#This Row],[Proj To Date
Actuals]]*1.02^R1081</f>
        <v>857746.8349919999</v>
      </c>
    </row>
    <row r="1082" spans="1:19" x14ac:dyDescent="0.25">
      <c r="A1082" s="476" t="s">
        <v>600</v>
      </c>
      <c r="B1082" s="475" t="s">
        <v>4373</v>
      </c>
      <c r="C1082" s="422" t="e">
        <f>VLOOKUP(B1082,'Matter &amp; CI#'!$D$4:$E$595,2,FALSE)</f>
        <v>#N/A</v>
      </c>
      <c r="D1082" s="476" t="s">
        <v>601</v>
      </c>
      <c r="E1082" s="476" t="s">
        <v>235</v>
      </c>
      <c r="F1082" s="476" t="s">
        <v>24</v>
      </c>
      <c r="G1082" s="475" t="s">
        <v>2014</v>
      </c>
      <c r="H1082" s="516"/>
      <c r="I1082" s="477" t="s">
        <v>5</v>
      </c>
      <c r="J1082" s="476" t="s">
        <v>6</v>
      </c>
      <c r="K1082" s="476" t="s">
        <v>7</v>
      </c>
      <c r="L1082" s="184">
        <v>42898</v>
      </c>
      <c r="M1082" s="184">
        <v>43677</v>
      </c>
      <c r="N1082" s="480">
        <v>3234346.57</v>
      </c>
      <c r="O1082" s="478" t="str">
        <f>IFERROR(VLOOKUP(A1082,[1]Approval!A:C,3,FALSE),"")</f>
        <v>FIN Approval - Internal</v>
      </c>
      <c r="P1082" s="184">
        <f>IFERROR(VLOOKUP(A1082,[1]Approval!A:J,10,FALSE),"")</f>
        <v>43644</v>
      </c>
      <c r="R1082" s="425">
        <f>2020-YEAR(Table227[[#This Row],[In-
Service
Date]])</f>
        <v>3</v>
      </c>
      <c r="S1082" s="308">
        <f>+Table227[[#This Row],[Proj To Date
Actuals]]*1.02^R1082</f>
        <v>3432314.4548565596</v>
      </c>
    </row>
    <row r="1083" spans="1:19" x14ac:dyDescent="0.25">
      <c r="A1083" s="476" t="s">
        <v>865</v>
      </c>
      <c r="B1083" s="475" t="s">
        <v>4541</v>
      </c>
      <c r="C1083" s="422" t="e">
        <f>VLOOKUP(B1083,'Matter &amp; CI#'!$D$4:$E$595,2,FALSE)</f>
        <v>#N/A</v>
      </c>
      <c r="D1083" s="476" t="s">
        <v>866</v>
      </c>
      <c r="E1083" s="476" t="s">
        <v>34</v>
      </c>
      <c r="F1083" s="476" t="s">
        <v>24</v>
      </c>
      <c r="G1083" s="475" t="s">
        <v>2014</v>
      </c>
      <c r="H1083" s="516"/>
      <c r="I1083" s="477" t="s">
        <v>5</v>
      </c>
      <c r="J1083" s="476" t="s">
        <v>6</v>
      </c>
      <c r="K1083" s="476" t="s">
        <v>7</v>
      </c>
      <c r="L1083" s="184">
        <v>43039</v>
      </c>
      <c r="M1083" s="184">
        <v>43708</v>
      </c>
      <c r="N1083" s="480">
        <v>953531.29</v>
      </c>
      <c r="O1083" s="478" t="str">
        <f>IFERROR(VLOOKUP(A1083,[1]Approval!A:C,3,FALSE),"")</f>
        <v>FIN Approval - External</v>
      </c>
      <c r="P1083" s="184">
        <f>IFERROR(VLOOKUP(A1083,[1]Approval!A:J,10,FALSE),"")</f>
        <v>43676</v>
      </c>
      <c r="R1083" s="425">
        <f>2020-YEAR(Table227[[#This Row],[In-
Service
Date]])</f>
        <v>3</v>
      </c>
      <c r="S1083" s="308">
        <f>+Table227[[#This Row],[Proj To Date
Actuals]]*1.02^R1083</f>
        <v>1011895.03319832</v>
      </c>
    </row>
    <row r="1084" spans="1:19" x14ac:dyDescent="0.25">
      <c r="A1084" s="476" t="s">
        <v>1590</v>
      </c>
      <c r="B1084" s="475" t="s">
        <v>4292</v>
      </c>
      <c r="C1084" s="422" t="e">
        <f>VLOOKUP(B1084,'Matter &amp; CI#'!$D$4:$E$595,2,FALSE)</f>
        <v>#N/A</v>
      </c>
      <c r="D1084" s="476" t="s">
        <v>1591</v>
      </c>
      <c r="E1084" s="476" t="s">
        <v>34</v>
      </c>
      <c r="F1084" s="476" t="s">
        <v>24</v>
      </c>
      <c r="G1084" s="475" t="s">
        <v>2014</v>
      </c>
      <c r="H1084" s="516"/>
      <c r="I1084" s="477" t="s">
        <v>5</v>
      </c>
      <c r="J1084" s="476" t="s">
        <v>6</v>
      </c>
      <c r="K1084" s="476" t="s">
        <v>7</v>
      </c>
      <c r="L1084" s="184">
        <v>43091</v>
      </c>
      <c r="M1084" s="184">
        <v>43524</v>
      </c>
      <c r="N1084" s="480">
        <v>3691720.16</v>
      </c>
      <c r="O1084" s="478" t="str">
        <f>IFERROR(VLOOKUP(A1084,[1]Approval!A:C,3,FALSE),"")</f>
        <v>FIN Approval - Internal</v>
      </c>
      <c r="P1084" s="184">
        <f>IFERROR(VLOOKUP(A1084,[1]Approval!A:J,10,FALSE),"")</f>
        <v>43374</v>
      </c>
      <c r="R1084" s="425">
        <f>2020-YEAR(Table227[[#This Row],[In-
Service
Date]])</f>
        <v>3</v>
      </c>
      <c r="S1084" s="308">
        <f>+Table227[[#This Row],[Proj To Date
Actuals]]*1.02^R1084</f>
        <v>3917682.9675532798</v>
      </c>
    </row>
    <row r="1085" spans="1:19" x14ac:dyDescent="0.25">
      <c r="A1085" s="476" t="s">
        <v>160</v>
      </c>
      <c r="B1085" s="475" t="s">
        <v>4470</v>
      </c>
      <c r="C1085" s="422" t="e">
        <f>VLOOKUP(B1085,'Matter &amp; CI#'!$D$4:$E$595,2,FALSE)</f>
        <v>#N/A</v>
      </c>
      <c r="D1085" s="476" t="s">
        <v>161</v>
      </c>
      <c r="E1085" s="476" t="s">
        <v>1397</v>
      </c>
      <c r="F1085" s="476" t="s">
        <v>24</v>
      </c>
      <c r="G1085" s="475" t="s">
        <v>2014</v>
      </c>
      <c r="H1085" s="516"/>
      <c r="I1085" s="477" t="s">
        <v>5</v>
      </c>
      <c r="J1085" s="476" t="s">
        <v>6</v>
      </c>
      <c r="K1085" s="476" t="s">
        <v>28</v>
      </c>
      <c r="L1085" s="184">
        <v>43190</v>
      </c>
      <c r="N1085" s="480">
        <v>9066397.5299999993</v>
      </c>
      <c r="O1085" s="478" t="str">
        <f>IFERROR(VLOOKUP(A1085,[1]Approval!A:C,3,FALSE),"")</f>
        <v/>
      </c>
      <c r="P1085" s="184" t="str">
        <f>IFERROR(VLOOKUP(A1085,[1]Approval!A:J,10,FALSE),"")</f>
        <v/>
      </c>
      <c r="R1085" s="425">
        <f>2020-YEAR(Table227[[#This Row],[In-
Service
Date]])</f>
        <v>2</v>
      </c>
      <c r="S1085" s="308">
        <f>+Table227[[#This Row],[Proj To Date
Actuals]]*1.02^R1085</f>
        <v>9432679.990211999</v>
      </c>
    </row>
    <row r="1086" spans="1:19" x14ac:dyDescent="0.25">
      <c r="A1086" s="476" t="s">
        <v>1674</v>
      </c>
      <c r="B1086" s="475" t="s">
        <v>4590</v>
      </c>
      <c r="C1086" s="422" t="e">
        <f>VLOOKUP(B1086,'Matter &amp; CI#'!$D$4:$E$595,2,FALSE)</f>
        <v>#N/A</v>
      </c>
      <c r="D1086" s="476" t="s">
        <v>1675</v>
      </c>
      <c r="E1086" s="476" t="s">
        <v>34</v>
      </c>
      <c r="F1086" s="476" t="s">
        <v>24</v>
      </c>
      <c r="G1086" s="475" t="s">
        <v>2014</v>
      </c>
      <c r="H1086" s="516"/>
      <c r="I1086" s="477" t="s">
        <v>5</v>
      </c>
      <c r="J1086" s="476" t="s">
        <v>6</v>
      </c>
      <c r="K1086" s="476" t="s">
        <v>28</v>
      </c>
      <c r="L1086" s="184">
        <v>43585</v>
      </c>
      <c r="N1086" s="480">
        <v>865629.5</v>
      </c>
      <c r="O1086" s="478" t="str">
        <f>IFERROR(VLOOKUP(A1086,[1]Approval!A:C,3,FALSE),"")</f>
        <v/>
      </c>
      <c r="P1086" s="184" t="str">
        <f>IFERROR(VLOOKUP(A1086,[1]Approval!A:J,10,FALSE),"")</f>
        <v/>
      </c>
      <c r="R1086" s="425">
        <f>2020-YEAR(Table227[[#This Row],[In-
Service
Date]])</f>
        <v>1</v>
      </c>
      <c r="S1086" s="308">
        <f>+Table227[[#This Row],[Proj To Date
Actuals]]*1.02^R1086</f>
        <v>882942.09</v>
      </c>
    </row>
    <row r="1087" spans="1:19" x14ac:dyDescent="0.25">
      <c r="A1087" s="476" t="s">
        <v>1356</v>
      </c>
      <c r="B1087" s="475" t="s">
        <v>4389</v>
      </c>
      <c r="C1087" s="422" t="e">
        <f>VLOOKUP(B1087,'Matter &amp; CI#'!$D$4:$E$595,2,FALSE)</f>
        <v>#N/A</v>
      </c>
      <c r="D1087" s="476" t="s">
        <v>1357</v>
      </c>
      <c r="E1087" s="476" t="s">
        <v>34</v>
      </c>
      <c r="F1087" s="476" t="s">
        <v>24</v>
      </c>
      <c r="G1087" s="475" t="s">
        <v>2014</v>
      </c>
      <c r="H1087" s="516"/>
      <c r="I1087" s="477" t="s">
        <v>5</v>
      </c>
      <c r="J1087" s="476" t="s">
        <v>6</v>
      </c>
      <c r="K1087" s="476" t="s">
        <v>28</v>
      </c>
      <c r="L1087" s="184">
        <v>43646</v>
      </c>
      <c r="N1087" s="480">
        <v>2817126.85</v>
      </c>
      <c r="O1087" s="478" t="str">
        <f>IFERROR(VLOOKUP(A1087,[1]Approval!A:C,3,FALSE),"")</f>
        <v/>
      </c>
      <c r="P1087" s="184" t="str">
        <f>IFERROR(VLOOKUP(A1087,[1]Approval!A:J,10,FALSE),"")</f>
        <v/>
      </c>
      <c r="R1087" s="425">
        <f>2020-YEAR(Table227[[#This Row],[In-
Service
Date]])</f>
        <v>1</v>
      </c>
      <c r="S1087" s="308">
        <f>+Table227[[#This Row],[Proj To Date
Actuals]]*1.02^R1087</f>
        <v>2873469.3870000001</v>
      </c>
    </row>
    <row r="1088" spans="1:19" x14ac:dyDescent="0.25">
      <c r="A1088" s="476" t="s">
        <v>3710</v>
      </c>
      <c r="B1088" s="475" t="s">
        <v>3710</v>
      </c>
      <c r="C1088" s="422" t="e">
        <f>VLOOKUP(B1088,'Matter &amp; CI#'!$D$4:$E$595,2,FALSE)</f>
        <v>#N/A</v>
      </c>
      <c r="D1088" s="476" t="s">
        <v>3711</v>
      </c>
      <c r="E1088" s="476" t="s">
        <v>42</v>
      </c>
      <c r="F1088" s="476" t="s">
        <v>24</v>
      </c>
      <c r="G1088" s="484" t="s">
        <v>2014</v>
      </c>
      <c r="H1088" s="517"/>
      <c r="I1088" s="477" t="s">
        <v>5</v>
      </c>
      <c r="J1088" s="476" t="s">
        <v>6</v>
      </c>
      <c r="K1088" s="476" t="s">
        <v>28</v>
      </c>
      <c r="L1088" s="184">
        <v>43890</v>
      </c>
      <c r="N1088" s="480">
        <v>437755.73</v>
      </c>
      <c r="O1088" s="478" t="str">
        <f>IFERROR(VLOOKUP(A1088,[1]Approval!A:C,3,FALSE),"")</f>
        <v/>
      </c>
      <c r="P1088" s="184" t="str">
        <f>IFERROR(VLOOKUP(A1088,[1]Approval!A:J,10,FALSE),"")</f>
        <v/>
      </c>
      <c r="R1088" s="425">
        <f>2020-YEAR(Table227[[#This Row],[In-
Service
Date]])</f>
        <v>0</v>
      </c>
      <c r="S1088" s="308">
        <f>+Table227[[#This Row],[Proj To Date
Actuals]]*1.02^R1088</f>
        <v>437755.73</v>
      </c>
    </row>
    <row r="1089" spans="1:19" x14ac:dyDescent="0.25">
      <c r="A1089" s="476" t="s">
        <v>3667</v>
      </c>
      <c r="B1089" s="475" t="s">
        <v>3667</v>
      </c>
      <c r="C1089" s="422" t="e">
        <f>VLOOKUP(B1089,'Matter &amp; CI#'!$D$4:$E$595,2,FALSE)</f>
        <v>#N/A</v>
      </c>
      <c r="D1089" s="476" t="s">
        <v>3668</v>
      </c>
      <c r="E1089" s="476" t="s">
        <v>34</v>
      </c>
      <c r="F1089" s="476" t="s">
        <v>24</v>
      </c>
      <c r="G1089" s="484" t="s">
        <v>2014</v>
      </c>
      <c r="H1089" s="517"/>
      <c r="I1089" s="477" t="s">
        <v>5</v>
      </c>
      <c r="J1089" s="476" t="s">
        <v>6</v>
      </c>
      <c r="K1089" s="476" t="s">
        <v>28</v>
      </c>
      <c r="L1089" s="184">
        <v>44043</v>
      </c>
      <c r="N1089" s="480">
        <v>666509.51</v>
      </c>
      <c r="O1089" s="478" t="str">
        <f>IFERROR(VLOOKUP(A1089,[1]Approval!A:C,3,FALSE),"")</f>
        <v/>
      </c>
      <c r="P1089" s="184" t="str">
        <f>IFERROR(VLOOKUP(A1089,[1]Approval!A:J,10,FALSE),"")</f>
        <v/>
      </c>
      <c r="R1089" s="425">
        <f>2020-YEAR(Table227[[#This Row],[In-
Service
Date]])</f>
        <v>0</v>
      </c>
      <c r="S1089" s="308">
        <f>+Table227[[#This Row],[Proj To Date
Actuals]]*1.02^R1089</f>
        <v>666509.51</v>
      </c>
    </row>
    <row r="1090" spans="1:19" ht="15.75" thickBot="1" x14ac:dyDescent="0.3">
      <c r="A1090" s="476" t="s">
        <v>3698</v>
      </c>
      <c r="B1090" s="475" t="s">
        <v>3698</v>
      </c>
      <c r="C1090" s="422" t="e">
        <f>VLOOKUP(B1090,'Matter &amp; CI#'!$D$4:$E$595,2,FALSE)</f>
        <v>#N/A</v>
      </c>
      <c r="D1090" s="476" t="s">
        <v>3699</v>
      </c>
      <c r="E1090" s="476" t="s">
        <v>34</v>
      </c>
      <c r="F1090" s="476" t="s">
        <v>24</v>
      </c>
      <c r="G1090" s="484" t="s">
        <v>2014</v>
      </c>
      <c r="H1090" s="517"/>
      <c r="I1090" s="477" t="s">
        <v>5</v>
      </c>
      <c r="J1090" s="476" t="s">
        <v>6</v>
      </c>
      <c r="K1090" s="476" t="s">
        <v>28</v>
      </c>
      <c r="L1090" s="184">
        <v>44165</v>
      </c>
      <c r="N1090" s="480">
        <v>1147436.95</v>
      </c>
      <c r="O1090" s="478" t="str">
        <f>IFERROR(VLOOKUP(A1090,[1]Approval!A:C,3,FALSE),"")</f>
        <v/>
      </c>
      <c r="P1090" s="184" t="str">
        <f>IFERROR(VLOOKUP(A1090,[1]Approval!A:J,10,FALSE),"")</f>
        <v/>
      </c>
      <c r="R1090" s="425">
        <f>2020-YEAR(Table227[[#This Row],[In-
Service
Date]])</f>
        <v>0</v>
      </c>
      <c r="S1090" s="308">
        <f>+Table227[[#This Row],[Proj To Date
Actuals]]*1.02^R1090</f>
        <v>1147436.95</v>
      </c>
    </row>
    <row r="1091" spans="1:19" ht="16.5" thickTop="1" thickBot="1" x14ac:dyDescent="0.3">
      <c r="B1091" s="475"/>
      <c r="C1091" s="475"/>
      <c r="G1091" s="475"/>
      <c r="H1091" s="475"/>
      <c r="N1091" s="511">
        <f>+SUM(N3:N1090)</f>
        <v>973807469.0099988</v>
      </c>
      <c r="P1091" s="184"/>
      <c r="S1091" s="512">
        <f>+SUM(S3:S1090)</f>
        <v>1052600868.7300857</v>
      </c>
    </row>
    <row r="1092" spans="1:19" ht="16.5" thickTop="1" thickBot="1" x14ac:dyDescent="0.3">
      <c r="A1092" s="2"/>
      <c r="B1092" s="2"/>
      <c r="C1092" s="508" t="s">
        <v>3642</v>
      </c>
      <c r="D1092" s="2"/>
      <c r="E1092" s="2"/>
      <c r="F1092" s="2"/>
    </row>
    <row r="1093" spans="1:19" ht="30.75" thickBot="1" x14ac:dyDescent="0.3">
      <c r="A1093" s="2"/>
      <c r="B1093" s="2"/>
      <c r="C1093" s="2"/>
      <c r="D1093" s="2"/>
      <c r="E1093" s="2"/>
      <c r="F1093" s="17" t="s">
        <v>2484</v>
      </c>
      <c r="I1093" s="852" t="s">
        <v>2019</v>
      </c>
      <c r="J1093" s="853" t="s">
        <v>2489</v>
      </c>
      <c r="K1093" s="854" t="s">
        <v>4729</v>
      </c>
      <c r="L1093" s="855" t="s">
        <v>2459</v>
      </c>
      <c r="M1093" s="856" t="s">
        <v>2429</v>
      </c>
      <c r="N1093" s="426"/>
      <c r="O1093" s="1"/>
      <c r="P1093" s="426"/>
      <c r="Q1093" s="427"/>
      <c r="R1093" s="1"/>
      <c r="S1093" s="1"/>
    </row>
    <row r="1094" spans="1:19" x14ac:dyDescent="0.25">
      <c r="A1094" s="478"/>
      <c r="B1094" s="2" t="s">
        <v>2004</v>
      </c>
      <c r="C1094" s="4" t="s">
        <v>2005</v>
      </c>
      <c r="D1094" s="5" t="s">
        <v>2006</v>
      </c>
      <c r="E1094" s="310">
        <v>636580.21</v>
      </c>
      <c r="F1094" s="431">
        <f>+E1094*1.02^3</f>
        <v>675544.01149367995</v>
      </c>
      <c r="I1094" s="319" t="s">
        <v>2021</v>
      </c>
      <c r="J1094" s="423">
        <f>SUMIFS(S:S,G:G,"Y",F:F,F1099)+F1094</f>
        <v>53008155.194706842</v>
      </c>
      <c r="K1094" s="186">
        <f>+J1094/J1096</f>
        <v>5300815.5194706842</v>
      </c>
      <c r="L1094" s="300">
        <v>9.6000000000000002E-2</v>
      </c>
      <c r="M1094" s="187">
        <f>+K1094*L1094</f>
        <v>508878.28986918571</v>
      </c>
      <c r="N1094" s="429"/>
      <c r="O1094" s="1"/>
      <c r="P1094" s="428"/>
      <c r="Q1094" s="428"/>
      <c r="R1094" s="1"/>
      <c r="S1094" s="1"/>
    </row>
    <row r="1095" spans="1:19" ht="15.75" thickBot="1" x14ac:dyDescent="0.3">
      <c r="A1095" s="478"/>
      <c r="B1095" s="2" t="s">
        <v>2007</v>
      </c>
      <c r="C1095" s="7" t="s">
        <v>2008</v>
      </c>
      <c r="D1095" s="8" t="s">
        <v>2006</v>
      </c>
      <c r="E1095" s="6">
        <v>0</v>
      </c>
      <c r="F1095" s="309" t="s">
        <v>2092</v>
      </c>
      <c r="I1095" s="320" t="s">
        <v>2022</v>
      </c>
      <c r="J1095" s="424">
        <f>SUMIFS(S:S,G:G,"Y",F:F,F1100)</f>
        <v>46151629.923878558</v>
      </c>
      <c r="K1095" s="188">
        <f>+J1095/J1096</f>
        <v>4615162.9923878554</v>
      </c>
      <c r="L1095" s="301">
        <v>9.6000000000000002E-2</v>
      </c>
      <c r="M1095" s="189">
        <f>+K1095*L1095</f>
        <v>443055.64726923412</v>
      </c>
      <c r="N1095" s="429"/>
      <c r="O1095" s="1"/>
      <c r="P1095" s="428"/>
      <c r="Q1095" s="428"/>
      <c r="R1095" s="1"/>
      <c r="S1095" s="1"/>
    </row>
    <row r="1096" spans="1:19" ht="15.75" thickBot="1" x14ac:dyDescent="0.3">
      <c r="A1096" s="478"/>
      <c r="B1096" s="2" t="s">
        <v>2009</v>
      </c>
      <c r="C1096" s="7" t="s">
        <v>2010</v>
      </c>
      <c r="D1096" s="8" t="s">
        <v>2006</v>
      </c>
      <c r="E1096" s="6">
        <v>0</v>
      </c>
      <c r="F1096" s="309" t="s">
        <v>2092</v>
      </c>
      <c r="I1096" s="406" t="s">
        <v>2428</v>
      </c>
      <c r="J1096" s="318">
        <v>10</v>
      </c>
      <c r="K1096" s="605"/>
      <c r="L1096" s="605"/>
      <c r="M1096" s="405"/>
      <c r="N1096" s="429"/>
      <c r="O1096" s="1"/>
      <c r="P1096" s="1"/>
      <c r="Q1096" s="3"/>
      <c r="R1096" s="1"/>
      <c r="S1096" s="1"/>
    </row>
    <row r="1097" spans="1:19" ht="15.75" thickBot="1" x14ac:dyDescent="0.3">
      <c r="A1097" s="478"/>
      <c r="B1097" s="2"/>
      <c r="C1097" s="7"/>
      <c r="D1097" s="8"/>
      <c r="E1097" s="6"/>
      <c r="F1097" s="14"/>
      <c r="I1097" s="1"/>
      <c r="J1097" s="14"/>
      <c r="K1097" s="14"/>
      <c r="L1097" s="1"/>
      <c r="M1097" s="1"/>
      <c r="N1097" s="1"/>
      <c r="O1097" s="1"/>
      <c r="P1097" s="1"/>
      <c r="Q1097" s="1"/>
      <c r="R1097" s="1"/>
      <c r="S1097" s="1"/>
    </row>
    <row r="1098" spans="1:19" ht="30.75" thickBot="1" x14ac:dyDescent="0.3">
      <c r="A1098" s="478"/>
      <c r="B1098" s="2" t="s">
        <v>2011</v>
      </c>
      <c r="C1098" s="9" t="s">
        <v>2012</v>
      </c>
      <c r="D1098" s="2"/>
      <c r="E1098" s="2"/>
      <c r="F1098" s="14"/>
      <c r="I1098" s="857" t="s">
        <v>2485</v>
      </c>
      <c r="J1098" s="850" t="s">
        <v>4726</v>
      </c>
      <c r="K1098" s="858" t="s">
        <v>2486</v>
      </c>
      <c r="L1098" s="859" t="s">
        <v>2487</v>
      </c>
      <c r="M1098" s="860" t="s">
        <v>2488</v>
      </c>
      <c r="N1098" s="1"/>
      <c r="O1098" s="1"/>
      <c r="P1098" s="1"/>
      <c r="Q1098" s="1"/>
      <c r="R1098" s="1"/>
      <c r="S1098" s="1"/>
    </row>
    <row r="1099" spans="1:19" ht="15.75" thickTop="1" x14ac:dyDescent="0.25">
      <c r="F1099" s="520" t="s">
        <v>24</v>
      </c>
      <c r="I1099" s="21" t="s">
        <v>2507</v>
      </c>
      <c r="J1099" s="409">
        <f>+'Snapshot Summary'!J10</f>
        <v>7.1092557443816045</v>
      </c>
      <c r="K1099" s="315">
        <f>+M1094/(J1099*1000)</f>
        <v>71.579685436319934</v>
      </c>
      <c r="L1099" s="410">
        <f>+M1095/(J1099*1000)</f>
        <v>62.320960618047529</v>
      </c>
      <c r="M1099" s="411">
        <f>+K1099+L1099</f>
        <v>133.90064605436746</v>
      </c>
      <c r="N1099" s="606" t="s">
        <v>4728</v>
      </c>
      <c r="O1099" s="607"/>
      <c r="P1099" s="607"/>
      <c r="Q1099" s="607"/>
      <c r="R1099" s="607"/>
      <c r="S1099" s="608"/>
    </row>
    <row r="1100" spans="1:19" ht="15.75" thickBot="1" x14ac:dyDescent="0.3">
      <c r="F1100" s="519" t="s">
        <v>9</v>
      </c>
      <c r="I1100" s="412" t="s">
        <v>2515</v>
      </c>
      <c r="J1100" s="523">
        <f>+Q1108</f>
        <v>21.935999999999922</v>
      </c>
      <c r="K1100" s="317">
        <f>+M1094/(J1100*1000)</f>
        <v>23.198317371863038</v>
      </c>
      <c r="L1100" s="314">
        <f>+M1095/(J1100*1000)</f>
        <v>20.197649857277341</v>
      </c>
      <c r="M1100" s="413">
        <f>+K1100+L1100</f>
        <v>43.395967229140382</v>
      </c>
      <c r="N1100" s="609" t="s">
        <v>4727</v>
      </c>
      <c r="O1100" s="610"/>
      <c r="P1100" s="610"/>
      <c r="Q1100" s="610"/>
      <c r="R1100" s="610"/>
      <c r="S1100" s="611"/>
    </row>
    <row r="1101" spans="1:19" x14ac:dyDescent="0.25">
      <c r="I1101" s="16"/>
      <c r="J1101" s="20"/>
      <c r="K1101" s="185"/>
      <c r="L1101" s="3"/>
      <c r="M1101" s="3"/>
      <c r="N1101" s="3"/>
      <c r="O1101" s="1"/>
      <c r="P1101" s="1"/>
      <c r="Q1101" s="1"/>
      <c r="R1101" s="1"/>
      <c r="S1101" s="1"/>
    </row>
    <row r="1102" spans="1:19" x14ac:dyDescent="0.25">
      <c r="I1102" s="2"/>
      <c r="J1102" s="14"/>
      <c r="K1102" s="14"/>
      <c r="L1102" s="1"/>
      <c r="M1102" s="13"/>
      <c r="N1102" s="612"/>
      <c r="O1102" s="612"/>
      <c r="P1102" s="612"/>
      <c r="Q1102" s="612"/>
      <c r="R1102" s="612"/>
      <c r="S1102" s="612"/>
    </row>
    <row r="1103" spans="1:19" ht="15.75" thickBot="1" x14ac:dyDescent="0.3">
      <c r="I1103" s="441"/>
      <c r="J1103" s="441"/>
      <c r="K1103" s="441"/>
      <c r="L1103" s="441"/>
      <c r="M1103" s="312"/>
      <c r="N1103" s="1"/>
      <c r="O1103" s="1"/>
      <c r="P1103" s="1"/>
      <c r="Q1103" s="1"/>
      <c r="R1103" s="1"/>
      <c r="S1103" s="1"/>
    </row>
    <row r="1104" spans="1:19" ht="15.75" thickBot="1" x14ac:dyDescent="0.3">
      <c r="I1104" s="613" t="s">
        <v>3645</v>
      </c>
      <c r="J1104" s="614"/>
      <c r="K1104" s="614"/>
      <c r="L1104" s="615"/>
      <c r="M1104" s="12"/>
      <c r="N1104" s="1"/>
      <c r="O1104" s="1"/>
      <c r="P1104" s="1"/>
      <c r="Q1104" s="1"/>
      <c r="R1104" s="1"/>
      <c r="S1104" s="1"/>
    </row>
    <row r="1105" spans="9:19" ht="15.75" thickBot="1" x14ac:dyDescent="0.3">
      <c r="I1105" s="616" t="s">
        <v>4723</v>
      </c>
      <c r="J1105" s="617"/>
      <c r="K1105" s="617"/>
      <c r="L1105" s="618"/>
      <c r="M1105" s="313"/>
      <c r="N1105" s="14"/>
      <c r="O1105" s="14"/>
      <c r="P1105" s="466" t="s">
        <v>3646</v>
      </c>
      <c r="Q1105" s="14"/>
      <c r="R1105" s="14"/>
      <c r="S1105" s="1"/>
    </row>
    <row r="1106" spans="9:19" ht="29.25" thickBot="1" x14ac:dyDescent="0.25">
      <c r="I1106" s="11" t="s">
        <v>2015</v>
      </c>
      <c r="J1106" s="432" t="s">
        <v>2016</v>
      </c>
      <c r="K1106" s="408" t="s">
        <v>2017</v>
      </c>
      <c r="L1106" s="433" t="s">
        <v>2018</v>
      </c>
      <c r="M1106" s="430"/>
      <c r="N1106" s="14"/>
      <c r="P1106" s="309" t="s">
        <v>4842</v>
      </c>
      <c r="Q1106" s="408" t="s">
        <v>3647</v>
      </c>
      <c r="R1106" s="869" t="s">
        <v>2508</v>
      </c>
      <c r="S1106" s="870">
        <v>1.0749999999999999E-2</v>
      </c>
    </row>
    <row r="1107" spans="9:19" ht="15.75" thickBot="1" x14ac:dyDescent="0.3">
      <c r="I1107" s="494">
        <v>2010</v>
      </c>
      <c r="J1107" s="496" t="s">
        <v>3644</v>
      </c>
      <c r="K1107" s="495">
        <v>1820</v>
      </c>
      <c r="L1107" s="497">
        <f>+J1109+K1107</f>
        <v>1961</v>
      </c>
      <c r="M1107" s="430"/>
      <c r="N1107" s="14">
        <v>2010</v>
      </c>
      <c r="O1107" s="14">
        <v>0</v>
      </c>
      <c r="P1107" s="20">
        <f>21.936*O1107+1944.4</f>
        <v>1944.4</v>
      </c>
      <c r="Q1107" s="1"/>
      <c r="R1107" s="20">
        <f>+P1107</f>
        <v>1944.4</v>
      </c>
      <c r="S1107" s="407"/>
    </row>
    <row r="1108" spans="9:19" x14ac:dyDescent="0.2">
      <c r="I1108" s="492">
        <f>1+I1107</f>
        <v>2011</v>
      </c>
      <c r="J1108" s="861" t="s">
        <v>4844</v>
      </c>
      <c r="K1108" s="493">
        <v>1903</v>
      </c>
      <c r="L1108" s="435">
        <f>141+K1108</f>
        <v>2044</v>
      </c>
      <c r="M1108" s="430"/>
      <c r="N1108" s="14">
        <v>2011</v>
      </c>
      <c r="O1108" s="14">
        <v>1</v>
      </c>
      <c r="P1108" s="20">
        <f>21.936*O1108+1944.4</f>
        <v>1966.336</v>
      </c>
      <c r="Q1108" s="451">
        <f>+P1108-P1107</f>
        <v>21.935999999999922</v>
      </c>
      <c r="R1108" s="20">
        <f t="shared" ref="R1108:R1117" si="0">+(1+$S$1106)*R1107</f>
        <v>1965.3023000000001</v>
      </c>
      <c r="S1108" s="407"/>
    </row>
    <row r="1109" spans="9:19" x14ac:dyDescent="0.2">
      <c r="I1109" s="436">
        <f t="shared" ref="I1109:I1127" si="1">1+I1108</f>
        <v>2012</v>
      </c>
      <c r="J1109" s="311">
        <v>141</v>
      </c>
      <c r="K1109" s="440">
        <v>1740</v>
      </c>
      <c r="L1109" s="435">
        <f t="shared" ref="L1109:L1127" si="2">+J1109+K1109</f>
        <v>1881</v>
      </c>
      <c r="M1109" s="430"/>
      <c r="N1109" s="14">
        <f t="shared" ref="N1109:N1117" si="3">1+N1108</f>
        <v>2012</v>
      </c>
      <c r="O1109" s="14">
        <v>2</v>
      </c>
      <c r="P1109" s="20">
        <f t="shared" ref="P1109:P1117" si="4">21.936*O1109+1944.4</f>
        <v>1988.2720000000002</v>
      </c>
      <c r="Q1109" s="451">
        <f t="shared" ref="Q1109:Q1117" si="5">+P1109-P1108</f>
        <v>21.936000000000149</v>
      </c>
      <c r="R1109" s="20">
        <f t="shared" si="0"/>
        <v>1986.4292997250002</v>
      </c>
      <c r="S1109" s="407"/>
    </row>
    <row r="1110" spans="9:19" x14ac:dyDescent="0.2">
      <c r="I1110" s="436">
        <f t="shared" si="1"/>
        <v>2013</v>
      </c>
      <c r="J1110" s="311">
        <v>136</v>
      </c>
      <c r="K1110" s="440">
        <v>1897</v>
      </c>
      <c r="L1110" s="435">
        <f t="shared" si="2"/>
        <v>2033</v>
      </c>
      <c r="M1110" s="430"/>
      <c r="N1110" s="14">
        <f t="shared" si="3"/>
        <v>2013</v>
      </c>
      <c r="O1110" s="14">
        <v>3</v>
      </c>
      <c r="P1110" s="20">
        <f t="shared" si="4"/>
        <v>2010.2080000000001</v>
      </c>
      <c r="Q1110" s="451">
        <f t="shared" si="5"/>
        <v>21.935999999999922</v>
      </c>
      <c r="R1110" s="20">
        <f t="shared" si="0"/>
        <v>2007.783414697044</v>
      </c>
      <c r="S1110" s="407"/>
    </row>
    <row r="1111" spans="9:19" x14ac:dyDescent="0.2">
      <c r="I1111" s="436">
        <f t="shared" si="1"/>
        <v>2014</v>
      </c>
      <c r="J1111" s="311">
        <v>83</v>
      </c>
      <c r="K1111" s="440">
        <v>2036</v>
      </c>
      <c r="L1111" s="435">
        <f t="shared" si="2"/>
        <v>2119</v>
      </c>
      <c r="M1111" s="430"/>
      <c r="N1111" s="14">
        <f t="shared" si="3"/>
        <v>2014</v>
      </c>
      <c r="O1111" s="14">
        <v>4</v>
      </c>
      <c r="P1111" s="20">
        <f t="shared" si="4"/>
        <v>2032.144</v>
      </c>
      <c r="Q1111" s="451">
        <f t="shared" si="5"/>
        <v>21.935999999999922</v>
      </c>
      <c r="R1111" s="20">
        <f t="shared" si="0"/>
        <v>2029.3670864050373</v>
      </c>
      <c r="S1111" s="407"/>
    </row>
    <row r="1112" spans="9:19" x14ac:dyDescent="0.2">
      <c r="I1112" s="436">
        <f t="shared" si="1"/>
        <v>2015</v>
      </c>
      <c r="J1112" s="311">
        <v>141</v>
      </c>
      <c r="K1112" s="440">
        <v>1874</v>
      </c>
      <c r="L1112" s="435">
        <f t="shared" si="2"/>
        <v>2015</v>
      </c>
      <c r="M1112" s="430"/>
      <c r="N1112" s="14">
        <f t="shared" si="3"/>
        <v>2015</v>
      </c>
      <c r="O1112" s="14">
        <v>5</v>
      </c>
      <c r="P1112" s="20">
        <f t="shared" si="4"/>
        <v>2054.08</v>
      </c>
      <c r="Q1112" s="451">
        <f t="shared" si="5"/>
        <v>21.935999999999922</v>
      </c>
      <c r="R1112" s="20">
        <f t="shared" si="0"/>
        <v>2051.1827825838914</v>
      </c>
      <c r="S1112" s="407"/>
    </row>
    <row r="1113" spans="9:19" x14ac:dyDescent="0.2">
      <c r="I1113" s="436">
        <f t="shared" si="1"/>
        <v>2016</v>
      </c>
      <c r="J1113" s="311">
        <v>98</v>
      </c>
      <c r="K1113" s="440">
        <v>2013</v>
      </c>
      <c r="L1113" s="435">
        <f t="shared" si="2"/>
        <v>2111</v>
      </c>
      <c r="M1113" s="430"/>
      <c r="N1113" s="14">
        <f t="shared" si="3"/>
        <v>2016</v>
      </c>
      <c r="O1113" s="14">
        <v>6</v>
      </c>
      <c r="P1113" s="20">
        <f t="shared" si="4"/>
        <v>2076.0160000000001</v>
      </c>
      <c r="Q1113" s="451">
        <f t="shared" si="5"/>
        <v>21.936000000000149</v>
      </c>
      <c r="R1113" s="20">
        <f t="shared" si="0"/>
        <v>2073.2329974966683</v>
      </c>
      <c r="S1113" s="407"/>
    </row>
    <row r="1114" spans="9:19" x14ac:dyDescent="0.25">
      <c r="I1114" s="436">
        <f t="shared" si="1"/>
        <v>2017</v>
      </c>
      <c r="J1114" s="311">
        <v>67</v>
      </c>
      <c r="K1114" s="440">
        <v>1951</v>
      </c>
      <c r="L1114" s="435">
        <f t="shared" si="2"/>
        <v>2018</v>
      </c>
      <c r="M1114" s="1"/>
      <c r="N1114" s="14">
        <f t="shared" si="3"/>
        <v>2017</v>
      </c>
      <c r="O1114" s="14">
        <v>7</v>
      </c>
      <c r="P1114" s="20">
        <f t="shared" si="4"/>
        <v>2097.9520000000002</v>
      </c>
      <c r="Q1114" s="451">
        <f t="shared" si="5"/>
        <v>21.936000000000149</v>
      </c>
      <c r="R1114" s="20">
        <f t="shared" si="0"/>
        <v>2095.5202522197574</v>
      </c>
      <c r="S1114" s="407"/>
    </row>
    <row r="1115" spans="9:19" x14ac:dyDescent="0.2">
      <c r="I1115" s="436">
        <f t="shared" si="1"/>
        <v>2018</v>
      </c>
      <c r="J1115" s="311">
        <v>80</v>
      </c>
      <c r="K1115" s="440">
        <v>1993</v>
      </c>
      <c r="L1115" s="435">
        <f t="shared" si="2"/>
        <v>2073</v>
      </c>
      <c r="M1115" s="430"/>
      <c r="N1115" s="14">
        <f t="shared" si="3"/>
        <v>2018</v>
      </c>
      <c r="O1115" s="14">
        <v>8</v>
      </c>
      <c r="P1115" s="20">
        <f t="shared" si="4"/>
        <v>2119.8879999999999</v>
      </c>
      <c r="Q1115" s="451">
        <f t="shared" si="5"/>
        <v>21.935999999999694</v>
      </c>
      <c r="R1115" s="20">
        <f t="shared" si="0"/>
        <v>2118.0470949311198</v>
      </c>
      <c r="S1115" s="407"/>
    </row>
    <row r="1116" spans="9:19" x14ac:dyDescent="0.2">
      <c r="I1116" s="436">
        <f t="shared" si="1"/>
        <v>2019</v>
      </c>
      <c r="J1116" s="311">
        <v>111</v>
      </c>
      <c r="K1116" s="18">
        <v>1949</v>
      </c>
      <c r="L1116" s="435">
        <f t="shared" si="2"/>
        <v>2060</v>
      </c>
      <c r="M1116" s="313"/>
      <c r="N1116" s="14">
        <f t="shared" si="3"/>
        <v>2019</v>
      </c>
      <c r="O1116" s="14">
        <v>9</v>
      </c>
      <c r="P1116" s="20">
        <f t="shared" si="4"/>
        <v>2141.8240000000001</v>
      </c>
      <c r="Q1116" s="451">
        <f t="shared" si="5"/>
        <v>21.936000000000149</v>
      </c>
      <c r="R1116" s="20">
        <f t="shared" si="0"/>
        <v>2140.8161012016294</v>
      </c>
      <c r="S1116" s="407"/>
    </row>
    <row r="1117" spans="9:19" x14ac:dyDescent="0.2">
      <c r="I1117" s="436">
        <f t="shared" si="1"/>
        <v>2020</v>
      </c>
      <c r="J1117" s="498">
        <v>147</v>
      </c>
      <c r="K1117" s="18">
        <v>2098</v>
      </c>
      <c r="L1117" s="435">
        <f t="shared" si="2"/>
        <v>2245</v>
      </c>
      <c r="M1117" s="313"/>
      <c r="N1117" s="14">
        <f t="shared" si="3"/>
        <v>2020</v>
      </c>
      <c r="O1117" s="14">
        <v>10</v>
      </c>
      <c r="P1117" s="20">
        <f t="shared" si="4"/>
        <v>2163.7600000000002</v>
      </c>
      <c r="Q1117" s="451">
        <f t="shared" si="5"/>
        <v>21.936000000000149</v>
      </c>
      <c r="R1117" s="20">
        <f t="shared" si="0"/>
        <v>2163.8298742895472</v>
      </c>
      <c r="S1117" s="20"/>
    </row>
    <row r="1118" spans="9:19" ht="15.75" thickBot="1" x14ac:dyDescent="0.3">
      <c r="I1118" s="437">
        <f t="shared" si="1"/>
        <v>2021</v>
      </c>
      <c r="J1118" s="499">
        <v>152</v>
      </c>
      <c r="K1118" s="19">
        <v>2085</v>
      </c>
      <c r="L1118" s="438">
        <f t="shared" si="2"/>
        <v>2237</v>
      </c>
      <c r="M1118" s="313"/>
      <c r="N1118" s="14"/>
      <c r="O1118" s="1"/>
      <c r="P1118" s="1"/>
      <c r="Q1118" s="1"/>
      <c r="R1118" s="1"/>
      <c r="S1118" s="20"/>
    </row>
    <row r="1119" spans="9:19" x14ac:dyDescent="0.25">
      <c r="I1119" s="501">
        <f t="shared" si="1"/>
        <v>2022</v>
      </c>
      <c r="J1119" s="439">
        <v>159</v>
      </c>
      <c r="K1119" s="506">
        <v>2053</v>
      </c>
      <c r="L1119" s="504">
        <f t="shared" si="2"/>
        <v>2212</v>
      </c>
      <c r="M1119" s="313"/>
      <c r="N1119" s="1"/>
      <c r="O1119" s="1"/>
      <c r="P1119" s="1"/>
      <c r="Q1119" s="1"/>
      <c r="R1119" s="1"/>
      <c r="S1119" s="20"/>
    </row>
    <row r="1120" spans="9:19" x14ac:dyDescent="0.25">
      <c r="I1120" s="502">
        <f t="shared" si="1"/>
        <v>2023</v>
      </c>
      <c r="J1120" s="440">
        <v>161</v>
      </c>
      <c r="K1120" s="18">
        <v>2059</v>
      </c>
      <c r="L1120" s="505">
        <f t="shared" si="2"/>
        <v>2220</v>
      </c>
      <c r="M1120" s="313"/>
      <c r="N1120" s="604" t="s">
        <v>4843</v>
      </c>
      <c r="O1120" s="604"/>
      <c r="P1120" s="604"/>
      <c r="Q1120" s="604"/>
      <c r="R1120" s="604"/>
      <c r="S1120" s="1"/>
    </row>
    <row r="1121" spans="9:19" x14ac:dyDescent="0.25">
      <c r="I1121" s="502">
        <f t="shared" si="1"/>
        <v>2024</v>
      </c>
      <c r="J1121" s="440">
        <v>166</v>
      </c>
      <c r="K1121" s="18">
        <v>2064</v>
      </c>
      <c r="L1121" s="505">
        <f t="shared" si="2"/>
        <v>2230</v>
      </c>
      <c r="M1121" s="313"/>
      <c r="N1121" s="1"/>
      <c r="O1121" s="1"/>
      <c r="P1121" s="1"/>
      <c r="Q1121" s="1"/>
      <c r="R1121" s="1"/>
      <c r="S1121" s="1"/>
    </row>
    <row r="1122" spans="9:19" x14ac:dyDescent="0.25">
      <c r="I1122" s="502">
        <f t="shared" si="1"/>
        <v>2025</v>
      </c>
      <c r="J1122" s="440">
        <v>166</v>
      </c>
      <c r="K1122" s="18">
        <v>2070</v>
      </c>
      <c r="L1122" s="505">
        <f t="shared" si="2"/>
        <v>2236</v>
      </c>
      <c r="M1122" s="313"/>
      <c r="N1122" s="1"/>
      <c r="O1122" s="1"/>
      <c r="P1122" s="10" t="s">
        <v>2499</v>
      </c>
      <c r="Q1122" s="450">
        <f>+SUM(Q1108:Q1117)</f>
        <v>219.36000000000013</v>
      </c>
      <c r="R1122" s="525"/>
      <c r="S1122" s="1"/>
    </row>
    <row r="1123" spans="9:19" x14ac:dyDescent="0.25">
      <c r="I1123" s="502">
        <f t="shared" si="1"/>
        <v>2026</v>
      </c>
      <c r="J1123" s="440">
        <v>165</v>
      </c>
      <c r="K1123" s="18">
        <v>2074</v>
      </c>
      <c r="L1123" s="505">
        <f t="shared" si="2"/>
        <v>2239</v>
      </c>
      <c r="M1123" s="313"/>
      <c r="N1123" s="1"/>
      <c r="O1123" s="1"/>
      <c r="P1123" s="1"/>
      <c r="Q1123" s="1"/>
      <c r="R1123" s="1"/>
      <c r="S1123" s="1"/>
    </row>
    <row r="1124" spans="9:19" x14ac:dyDescent="0.25">
      <c r="I1124" s="502">
        <f t="shared" si="1"/>
        <v>2027</v>
      </c>
      <c r="J1124" s="440">
        <v>165</v>
      </c>
      <c r="K1124" s="18">
        <v>2075</v>
      </c>
      <c r="L1124" s="505">
        <f t="shared" si="2"/>
        <v>2240</v>
      </c>
      <c r="M1124" s="313"/>
      <c r="N1124" s="1"/>
      <c r="O1124" s="1"/>
      <c r="P1124" s="1"/>
      <c r="Q1124" s="1"/>
      <c r="R1124" s="1"/>
      <c r="S1124" s="1"/>
    </row>
    <row r="1125" spans="9:19" x14ac:dyDescent="0.25">
      <c r="I1125" s="502">
        <f t="shared" si="1"/>
        <v>2028</v>
      </c>
      <c r="J1125" s="440">
        <v>165</v>
      </c>
      <c r="K1125" s="18">
        <v>2075</v>
      </c>
      <c r="L1125" s="505">
        <f t="shared" si="2"/>
        <v>2240</v>
      </c>
      <c r="M1125" s="313"/>
      <c r="N1125" s="1"/>
      <c r="O1125" s="1"/>
      <c r="P1125" s="1"/>
      <c r="Q1125" s="1"/>
      <c r="R1125" s="1"/>
      <c r="S1125" s="1"/>
    </row>
    <row r="1126" spans="9:19" x14ac:dyDescent="0.25">
      <c r="I1126" s="502">
        <f t="shared" si="1"/>
        <v>2029</v>
      </c>
      <c r="J1126" s="440">
        <v>165</v>
      </c>
      <c r="K1126" s="18">
        <v>2076</v>
      </c>
      <c r="L1126" s="505">
        <f t="shared" si="2"/>
        <v>2241</v>
      </c>
      <c r="M1126" s="1"/>
      <c r="N1126" s="1"/>
      <c r="O1126" s="1"/>
      <c r="P1126" s="1"/>
      <c r="Q1126" s="1"/>
      <c r="R1126" s="1"/>
      <c r="S1126" s="1"/>
    </row>
    <row r="1127" spans="9:19" ht="15.75" thickBot="1" x14ac:dyDescent="0.3">
      <c r="I1127" s="500">
        <f t="shared" si="1"/>
        <v>2030</v>
      </c>
      <c r="J1127" s="503">
        <v>164</v>
      </c>
      <c r="K1127" s="503">
        <v>2076</v>
      </c>
      <c r="L1127" s="507">
        <f t="shared" si="2"/>
        <v>2240</v>
      </c>
      <c r="M1127" s="1"/>
      <c r="N1127" s="1"/>
      <c r="O1127" s="1"/>
      <c r="P1127" s="1"/>
      <c r="Q1127" s="1"/>
      <c r="R1127" s="1"/>
      <c r="S1127" s="1"/>
    </row>
    <row r="1128" spans="9:19" ht="15.75" thickBot="1" x14ac:dyDescent="0.3">
      <c r="I1128" s="862" t="s">
        <v>3649</v>
      </c>
      <c r="J1128" s="863"/>
      <c r="K1128" s="863"/>
      <c r="L1128" s="864"/>
      <c r="M1128" s="1"/>
      <c r="N1128" s="14"/>
      <c r="O1128" s="14"/>
      <c r="P1128" s="466" t="s">
        <v>3646</v>
      </c>
      <c r="Q1128" s="14"/>
      <c r="R1128" s="14"/>
      <c r="S1128" s="1"/>
    </row>
    <row r="1129" spans="9:19" ht="29.25" thickBot="1" x14ac:dyDescent="0.3">
      <c r="I1129" s="865" t="s">
        <v>3658</v>
      </c>
      <c r="J1129" s="863"/>
      <c r="K1129" s="863"/>
      <c r="L1129" s="864"/>
      <c r="M1129" s="1"/>
      <c r="N1129" s="14"/>
      <c r="P1129" s="309" t="s">
        <v>4845</v>
      </c>
      <c r="Q1129" s="408" t="s">
        <v>3647</v>
      </c>
      <c r="R1129" s="869" t="s">
        <v>2508</v>
      </c>
      <c r="S1129" s="870">
        <v>7.9000000000000008E-3</v>
      </c>
    </row>
    <row r="1130" spans="9:19" ht="15.75" thickBot="1" x14ac:dyDescent="0.3">
      <c r="I1130" s="866" t="s">
        <v>3643</v>
      </c>
      <c r="J1130" s="867"/>
      <c r="K1130" s="867"/>
      <c r="L1130" s="868"/>
      <c r="M1130" s="1"/>
      <c r="N1130" s="14">
        <v>2010</v>
      </c>
      <c r="O1130" s="14">
        <v>0</v>
      </c>
      <c r="P1130" s="20">
        <f>16.3*O1130+1989.5</f>
        <v>1989.5</v>
      </c>
      <c r="Q1130" s="1"/>
      <c r="R1130" s="20">
        <f>+P1130</f>
        <v>1989.5</v>
      </c>
      <c r="S1130" s="407"/>
    </row>
    <row r="1131" spans="9:19" x14ac:dyDescent="0.25">
      <c r="N1131" s="14">
        <v>2011</v>
      </c>
      <c r="O1131" s="14">
        <v>1</v>
      </c>
      <c r="P1131" s="20">
        <f>16.3*O1131+1989.5</f>
        <v>2005.8</v>
      </c>
      <c r="Q1131" s="451">
        <f>+P1131-P1130</f>
        <v>16.299999999999955</v>
      </c>
      <c r="R1131" s="20">
        <f>+(1+$S$1129)*R1130</f>
        <v>2005.21705</v>
      </c>
      <c r="S1131" s="407"/>
    </row>
    <row r="1132" spans="9:19" x14ac:dyDescent="0.25">
      <c r="N1132" s="14">
        <f t="shared" ref="N1132:N1140" si="6">1+N1131</f>
        <v>2012</v>
      </c>
      <c r="O1132" s="14">
        <v>2</v>
      </c>
      <c r="P1132" s="20">
        <f t="shared" ref="P1132:P1140" si="7">16.3*O1132+1989.5</f>
        <v>2022.1</v>
      </c>
      <c r="Q1132" s="451">
        <f t="shared" ref="Q1132:Q1140" si="8">+P1132-P1131</f>
        <v>16.299999999999955</v>
      </c>
      <c r="R1132" s="20">
        <f t="shared" ref="R1132:R1140" si="9">+(1+$S$1129)*R1131</f>
        <v>2021.0582646949999</v>
      </c>
      <c r="S1132" s="407"/>
    </row>
    <row r="1133" spans="9:19" x14ac:dyDescent="0.25">
      <c r="N1133" s="14">
        <f t="shared" si="6"/>
        <v>2013</v>
      </c>
      <c r="O1133" s="14">
        <v>3</v>
      </c>
      <c r="P1133" s="20">
        <f t="shared" si="7"/>
        <v>2038.4</v>
      </c>
      <c r="Q1133" s="451">
        <f t="shared" si="8"/>
        <v>16.300000000000182</v>
      </c>
      <c r="R1133" s="20">
        <f t="shared" si="9"/>
        <v>2037.0246249860904</v>
      </c>
      <c r="S1133" s="407"/>
    </row>
    <row r="1134" spans="9:19" x14ac:dyDescent="0.25">
      <c r="N1134" s="14">
        <f t="shared" si="6"/>
        <v>2014</v>
      </c>
      <c r="O1134" s="14">
        <v>4</v>
      </c>
      <c r="P1134" s="20">
        <f t="shared" si="7"/>
        <v>2054.6999999999998</v>
      </c>
      <c r="Q1134" s="451">
        <f t="shared" si="8"/>
        <v>16.299999999999727</v>
      </c>
      <c r="R1134" s="20">
        <f t="shared" si="9"/>
        <v>2053.1171195234806</v>
      </c>
      <c r="S1134" s="407"/>
    </row>
    <row r="1135" spans="9:19" x14ac:dyDescent="0.25">
      <c r="N1135" s="14">
        <f t="shared" si="6"/>
        <v>2015</v>
      </c>
      <c r="O1135" s="14">
        <v>5</v>
      </c>
      <c r="P1135" s="20">
        <f t="shared" si="7"/>
        <v>2071</v>
      </c>
      <c r="Q1135" s="451">
        <f t="shared" si="8"/>
        <v>16.300000000000182</v>
      </c>
      <c r="R1135" s="20">
        <f t="shared" si="9"/>
        <v>2069.336744767716</v>
      </c>
      <c r="S1135" s="407"/>
    </row>
    <row r="1136" spans="9:19" x14ac:dyDescent="0.25">
      <c r="N1136" s="14">
        <f t="shared" si="6"/>
        <v>2016</v>
      </c>
      <c r="O1136" s="14">
        <v>6</v>
      </c>
      <c r="P1136" s="20">
        <f t="shared" si="7"/>
        <v>2087.3000000000002</v>
      </c>
      <c r="Q1136" s="451">
        <f t="shared" si="8"/>
        <v>16.300000000000182</v>
      </c>
      <c r="R1136" s="20">
        <f t="shared" si="9"/>
        <v>2085.6845050513812</v>
      </c>
      <c r="S1136" s="407"/>
    </row>
    <row r="1137" spans="14:19" x14ac:dyDescent="0.25">
      <c r="N1137" s="14">
        <f t="shared" si="6"/>
        <v>2017</v>
      </c>
      <c r="O1137" s="14">
        <v>7</v>
      </c>
      <c r="P1137" s="20">
        <f t="shared" si="7"/>
        <v>2103.6</v>
      </c>
      <c r="Q1137" s="451">
        <f t="shared" si="8"/>
        <v>16.299999999999727</v>
      </c>
      <c r="R1137" s="20">
        <f t="shared" si="9"/>
        <v>2102.1614126412869</v>
      </c>
      <c r="S1137" s="407"/>
    </row>
    <row r="1138" spans="14:19" x14ac:dyDescent="0.25">
      <c r="N1138" s="14">
        <f t="shared" si="6"/>
        <v>2018</v>
      </c>
      <c r="O1138" s="14">
        <v>8</v>
      </c>
      <c r="P1138" s="20">
        <f t="shared" si="7"/>
        <v>2119.9</v>
      </c>
      <c r="Q1138" s="451">
        <f t="shared" si="8"/>
        <v>16.300000000000182</v>
      </c>
      <c r="R1138" s="20">
        <f t="shared" si="9"/>
        <v>2118.7684878011532</v>
      </c>
      <c r="S1138" s="407"/>
    </row>
    <row r="1139" spans="14:19" x14ac:dyDescent="0.25">
      <c r="N1139" s="14">
        <f t="shared" si="6"/>
        <v>2019</v>
      </c>
      <c r="O1139" s="14">
        <v>9</v>
      </c>
      <c r="P1139" s="20">
        <f t="shared" si="7"/>
        <v>2136.1999999999998</v>
      </c>
      <c r="Q1139" s="451">
        <f t="shared" si="8"/>
        <v>16.299999999999727</v>
      </c>
      <c r="R1139" s="20">
        <f t="shared" si="9"/>
        <v>2135.5067588547822</v>
      </c>
      <c r="S1139" s="407"/>
    </row>
    <row r="1140" spans="14:19" x14ac:dyDescent="0.25">
      <c r="N1140" s="14">
        <f t="shared" si="6"/>
        <v>2020</v>
      </c>
      <c r="O1140" s="14">
        <v>10</v>
      </c>
      <c r="P1140" s="20">
        <f t="shared" si="7"/>
        <v>2152.5</v>
      </c>
      <c r="Q1140" s="451">
        <f t="shared" si="8"/>
        <v>16.300000000000182</v>
      </c>
      <c r="R1140" s="20">
        <f t="shared" si="9"/>
        <v>2152.3772622497349</v>
      </c>
      <c r="S1140" s="20"/>
    </row>
    <row r="1141" spans="14:19" x14ac:dyDescent="0.25">
      <c r="N1141" s="14"/>
      <c r="O1141" s="1"/>
      <c r="P1141" s="1"/>
      <c r="Q1141" s="1"/>
      <c r="R1141" s="1"/>
      <c r="S1141" s="20"/>
    </row>
    <row r="1142" spans="14:19" x14ac:dyDescent="0.25">
      <c r="N1142" s="1"/>
      <c r="O1142" s="1"/>
      <c r="P1142" s="1"/>
      <c r="Q1142" s="1"/>
      <c r="R1142" s="1"/>
      <c r="S1142" s="20"/>
    </row>
    <row r="1143" spans="14:19" x14ac:dyDescent="0.25">
      <c r="N1143" s="604" t="s">
        <v>4843</v>
      </c>
      <c r="O1143" s="604"/>
      <c r="P1143" s="604"/>
      <c r="Q1143" s="604"/>
      <c r="R1143" s="604"/>
      <c r="S1143" s="1"/>
    </row>
    <row r="1144" spans="14:19" x14ac:dyDescent="0.25">
      <c r="N1144" s="1"/>
      <c r="O1144" s="1"/>
      <c r="P1144" s="1"/>
      <c r="Q1144" s="1"/>
      <c r="R1144" s="1"/>
      <c r="S1144" s="1"/>
    </row>
    <row r="1145" spans="14:19" x14ac:dyDescent="0.25">
      <c r="N1145" s="1"/>
      <c r="O1145" s="1"/>
      <c r="P1145" s="10" t="s">
        <v>2499</v>
      </c>
      <c r="Q1145" s="450">
        <f>+SUM(Q1131:Q1140)</f>
        <v>163</v>
      </c>
      <c r="R1145" s="525"/>
      <c r="S1145" s="1"/>
    </row>
    <row r="1149" spans="14:19" ht="15.75" thickBot="1" x14ac:dyDescent="0.3">
      <c r="N1149" s="14"/>
      <c r="O1149" s="14"/>
      <c r="P1149" s="466" t="s">
        <v>3646</v>
      </c>
      <c r="Q1149" s="14"/>
      <c r="R1149" s="14"/>
      <c r="S1149" s="1"/>
    </row>
    <row r="1150" spans="14:19" ht="29.25" thickBot="1" x14ac:dyDescent="0.3">
      <c r="N1150" s="14"/>
      <c r="P1150" s="309" t="s">
        <v>4846</v>
      </c>
      <c r="Q1150" s="408" t="s">
        <v>3647</v>
      </c>
      <c r="R1150" s="869" t="s">
        <v>2508</v>
      </c>
      <c r="S1150" s="870">
        <v>1.1780000000000001E-2</v>
      </c>
    </row>
    <row r="1151" spans="14:19" x14ac:dyDescent="0.25">
      <c r="N1151" s="14">
        <v>2010</v>
      </c>
      <c r="O1151" s="14">
        <v>0</v>
      </c>
      <c r="P1151" s="20">
        <f>22.627*O1151+1822.3</f>
        <v>1822.3</v>
      </c>
      <c r="Q1151" s="1"/>
      <c r="R1151" s="20">
        <f>+P1151</f>
        <v>1822.3</v>
      </c>
      <c r="S1151" s="407"/>
    </row>
    <row r="1152" spans="14:19" x14ac:dyDescent="0.25">
      <c r="N1152" s="14">
        <v>2011</v>
      </c>
      <c r="O1152" s="14">
        <v>1</v>
      </c>
      <c r="P1152" s="20">
        <f t="shared" ref="P1152:P1161" si="10">22.627*O1152+1822.3</f>
        <v>1844.9269999999999</v>
      </c>
      <c r="Q1152" s="451">
        <f>+P1152-P1151</f>
        <v>22.626999999999953</v>
      </c>
      <c r="R1152" s="20">
        <f>+(1+$S$1150)*R1151</f>
        <v>1843.7666939999997</v>
      </c>
      <c r="S1152" s="407"/>
    </row>
    <row r="1153" spans="14:19" x14ac:dyDescent="0.25">
      <c r="N1153" s="14">
        <f t="shared" ref="N1153:N1161" si="11">1+N1152</f>
        <v>2012</v>
      </c>
      <c r="O1153" s="14">
        <v>2</v>
      </c>
      <c r="P1153" s="20">
        <f t="shared" si="10"/>
        <v>1867.5539999999999</v>
      </c>
      <c r="Q1153" s="451">
        <f t="shared" ref="Q1153:Q1161" si="12">+P1153-P1152</f>
        <v>22.626999999999953</v>
      </c>
      <c r="R1153" s="20">
        <f t="shared" ref="R1153:R1161" si="13">+(1+$S$1150)*R1152</f>
        <v>1865.4862656553196</v>
      </c>
      <c r="S1153" s="407"/>
    </row>
    <row r="1154" spans="14:19" x14ac:dyDescent="0.25">
      <c r="N1154" s="14">
        <f t="shared" si="11"/>
        <v>2013</v>
      </c>
      <c r="O1154" s="14">
        <v>3</v>
      </c>
      <c r="P1154" s="20">
        <f t="shared" si="10"/>
        <v>1890.181</v>
      </c>
      <c r="Q1154" s="451">
        <f t="shared" si="12"/>
        <v>22.62700000000018</v>
      </c>
      <c r="R1154" s="20">
        <f t="shared" si="13"/>
        <v>1887.4616938647391</v>
      </c>
      <c r="S1154" s="407"/>
    </row>
    <row r="1155" spans="14:19" x14ac:dyDescent="0.25">
      <c r="N1155" s="14">
        <f t="shared" si="11"/>
        <v>2014</v>
      </c>
      <c r="O1155" s="14">
        <v>4</v>
      </c>
      <c r="P1155" s="20">
        <f t="shared" si="10"/>
        <v>1912.808</v>
      </c>
      <c r="Q1155" s="451">
        <f t="shared" si="12"/>
        <v>22.626999999999953</v>
      </c>
      <c r="R1155" s="20">
        <f t="shared" si="13"/>
        <v>1909.6959926184657</v>
      </c>
      <c r="S1155" s="407"/>
    </row>
    <row r="1156" spans="14:19" x14ac:dyDescent="0.25">
      <c r="N1156" s="14">
        <f t="shared" si="11"/>
        <v>2015</v>
      </c>
      <c r="O1156" s="14">
        <v>5</v>
      </c>
      <c r="P1156" s="20">
        <f t="shared" si="10"/>
        <v>1935.4349999999999</v>
      </c>
      <c r="Q1156" s="451">
        <f t="shared" si="12"/>
        <v>22.626999999999953</v>
      </c>
      <c r="R1156" s="20">
        <f t="shared" si="13"/>
        <v>1932.1922114115109</v>
      </c>
      <c r="S1156" s="407"/>
    </row>
    <row r="1157" spans="14:19" x14ac:dyDescent="0.25">
      <c r="N1157" s="14">
        <f t="shared" si="11"/>
        <v>2016</v>
      </c>
      <c r="O1157" s="14">
        <v>6</v>
      </c>
      <c r="P1157" s="20">
        <f t="shared" si="10"/>
        <v>1958.0619999999999</v>
      </c>
      <c r="Q1157" s="451">
        <f t="shared" si="12"/>
        <v>22.626999999999953</v>
      </c>
      <c r="R1157" s="20">
        <f t="shared" si="13"/>
        <v>1954.9534356619383</v>
      </c>
      <c r="S1157" s="407"/>
    </row>
    <row r="1158" spans="14:19" x14ac:dyDescent="0.25">
      <c r="N1158" s="14">
        <f t="shared" si="11"/>
        <v>2017</v>
      </c>
      <c r="O1158" s="14">
        <v>7</v>
      </c>
      <c r="P1158" s="20">
        <f t="shared" si="10"/>
        <v>1980.6889999999999</v>
      </c>
      <c r="Q1158" s="451">
        <f t="shared" si="12"/>
        <v>22.626999999999953</v>
      </c>
      <c r="R1158" s="20">
        <f t="shared" si="13"/>
        <v>1977.9827871340358</v>
      </c>
      <c r="S1158" s="407"/>
    </row>
    <row r="1159" spans="14:19" x14ac:dyDescent="0.25">
      <c r="N1159" s="14">
        <f t="shared" si="11"/>
        <v>2018</v>
      </c>
      <c r="O1159" s="14">
        <v>8</v>
      </c>
      <c r="P1159" s="20">
        <f t="shared" si="10"/>
        <v>2003.316</v>
      </c>
      <c r="Q1159" s="451">
        <f t="shared" si="12"/>
        <v>22.62700000000018</v>
      </c>
      <c r="R1159" s="20">
        <f t="shared" si="13"/>
        <v>2001.2834243664745</v>
      </c>
      <c r="S1159" s="407"/>
    </row>
    <row r="1160" spans="14:19" x14ac:dyDescent="0.25">
      <c r="N1160" s="14">
        <f t="shared" si="11"/>
        <v>2019</v>
      </c>
      <c r="O1160" s="14">
        <v>9</v>
      </c>
      <c r="P1160" s="20">
        <f t="shared" si="10"/>
        <v>2025.943</v>
      </c>
      <c r="Q1160" s="451">
        <f t="shared" si="12"/>
        <v>22.626999999999953</v>
      </c>
      <c r="R1160" s="20">
        <f t="shared" si="13"/>
        <v>2024.8585431055114</v>
      </c>
      <c r="S1160" s="407"/>
    </row>
    <row r="1161" spans="14:19" x14ac:dyDescent="0.25">
      <c r="N1161" s="14">
        <f t="shared" si="11"/>
        <v>2020</v>
      </c>
      <c r="O1161" s="14">
        <v>10</v>
      </c>
      <c r="P1161" s="20">
        <f t="shared" si="10"/>
        <v>2048.5699999999997</v>
      </c>
      <c r="Q1161" s="451">
        <f t="shared" si="12"/>
        <v>22.626999999999725</v>
      </c>
      <c r="R1161" s="20">
        <f t="shared" si="13"/>
        <v>2048.7113767432943</v>
      </c>
      <c r="S1161" s="20"/>
    </row>
    <row r="1162" spans="14:19" x14ac:dyDescent="0.25">
      <c r="N1162" s="14"/>
      <c r="O1162" s="1"/>
      <c r="P1162" s="1"/>
      <c r="Q1162" s="1"/>
      <c r="R1162" s="1"/>
      <c r="S1162" s="20"/>
    </row>
    <row r="1163" spans="14:19" x14ac:dyDescent="0.25">
      <c r="N1163" s="1"/>
      <c r="O1163" s="1"/>
      <c r="P1163" s="1"/>
      <c r="Q1163" s="1"/>
      <c r="R1163" s="1"/>
      <c r="S1163" s="20"/>
    </row>
    <row r="1164" spans="14:19" x14ac:dyDescent="0.25">
      <c r="N1164" s="604" t="s">
        <v>4843</v>
      </c>
      <c r="O1164" s="604"/>
      <c r="P1164" s="604"/>
      <c r="Q1164" s="604"/>
      <c r="R1164" s="604"/>
      <c r="S1164" s="1"/>
    </row>
    <row r="1165" spans="14:19" x14ac:dyDescent="0.25">
      <c r="N1165" s="1"/>
      <c r="O1165" s="1"/>
      <c r="P1165" s="1"/>
      <c r="Q1165" s="1"/>
      <c r="R1165" s="1"/>
      <c r="S1165" s="1"/>
    </row>
    <row r="1166" spans="14:19" x14ac:dyDescent="0.25">
      <c r="N1166" s="1"/>
      <c r="O1166" s="1"/>
      <c r="P1166" s="10" t="s">
        <v>2499</v>
      </c>
      <c r="Q1166" s="450">
        <f>+SUM(Q1152:Q1161)</f>
        <v>226.26999999999975</v>
      </c>
      <c r="R1166" s="525"/>
      <c r="S1166" s="1"/>
    </row>
  </sheetData>
  <mergeCells count="12">
    <mergeCell ref="N1120:R1120"/>
    <mergeCell ref="K1096:L1096"/>
    <mergeCell ref="N1099:S1099"/>
    <mergeCell ref="N1100:S1100"/>
    <mergeCell ref="N1102:S1102"/>
    <mergeCell ref="I1104:L1104"/>
    <mergeCell ref="I1105:L1105"/>
    <mergeCell ref="I1128:L1128"/>
    <mergeCell ref="I1129:L1129"/>
    <mergeCell ref="I1130:L1130"/>
    <mergeCell ref="N1143:R1143"/>
    <mergeCell ref="N1164:R1164"/>
  </mergeCells>
  <pageMargins left="0.7" right="0.7" top="0.75" bottom="0.75" header="0.3" footer="0.3"/>
  <pageSetup paperSize="17" scale="42" fitToHeight="0" orientation="landscape" r:id="rId1"/>
  <rowBreaks count="1" manualBreakCount="1">
    <brk id="1092" max="18" man="1"/>
  </rowBreaks>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7932A-6E74-B846-B1DA-75D97232965F}">
  <sheetPr>
    <pageSetUpPr fitToPage="1"/>
  </sheetPr>
  <dimension ref="A3:F596"/>
  <sheetViews>
    <sheetView view="pageBreakPreview" zoomScale="60" zoomScaleNormal="55" workbookViewId="0">
      <selection activeCell="C10" sqref="C12:D12"/>
    </sheetView>
  </sheetViews>
  <sheetFormatPr defaultColWidth="10.85546875" defaultRowHeight="15.75" x14ac:dyDescent="0.25"/>
  <cols>
    <col min="1" max="1" width="10.85546875" style="417"/>
    <col min="2" max="2" width="6" style="417" bestFit="1" customWidth="1"/>
    <col min="3" max="3" width="2.42578125" style="417" bestFit="1" customWidth="1"/>
    <col min="4" max="4" width="14.28515625" style="417" customWidth="1"/>
    <col min="5" max="5" width="9.28515625" style="417" customWidth="1"/>
    <col min="6" max="6" width="122.28515625" style="417" customWidth="1"/>
    <col min="7" max="16384" width="10.85546875" style="417"/>
  </cols>
  <sheetData>
    <row r="3" spans="1:6" x14ac:dyDescent="0.25">
      <c r="A3" s="417" t="s">
        <v>2523</v>
      </c>
      <c r="F3" s="417" t="s">
        <v>2536</v>
      </c>
    </row>
    <row r="4" spans="1:6" x14ac:dyDescent="0.25">
      <c r="A4" s="417" t="s">
        <v>2568</v>
      </c>
      <c r="B4" s="417" t="s">
        <v>2540</v>
      </c>
      <c r="D4" s="510">
        <v>10900</v>
      </c>
      <c r="E4" s="510" t="s">
        <v>2568</v>
      </c>
      <c r="F4" s="418" t="s">
        <v>2569</v>
      </c>
    </row>
    <row r="5" spans="1:6" x14ac:dyDescent="0.25">
      <c r="A5" s="417" t="s">
        <v>2825</v>
      </c>
      <c r="B5" s="417" t="s">
        <v>2540</v>
      </c>
      <c r="D5" s="510">
        <v>12079</v>
      </c>
      <c r="E5" s="510" t="s">
        <v>2825</v>
      </c>
      <c r="F5" s="418" t="s">
        <v>2826</v>
      </c>
    </row>
    <row r="6" spans="1:6" x14ac:dyDescent="0.25">
      <c r="A6" s="417" t="s">
        <v>2570</v>
      </c>
      <c r="B6" s="417" t="s">
        <v>2540</v>
      </c>
      <c r="D6" s="510">
        <v>14366</v>
      </c>
      <c r="E6" s="510" t="s">
        <v>2570</v>
      </c>
      <c r="F6" s="418" t="s">
        <v>2571</v>
      </c>
    </row>
    <row r="7" spans="1:6" x14ac:dyDescent="0.25">
      <c r="A7" s="417" t="s">
        <v>2621</v>
      </c>
      <c r="B7" s="417" t="s">
        <v>2540</v>
      </c>
      <c r="D7" s="510">
        <v>14719</v>
      </c>
      <c r="E7" s="510" t="s">
        <v>2621</v>
      </c>
      <c r="F7" s="418" t="s">
        <v>2622</v>
      </c>
    </row>
    <row r="8" spans="1:6" x14ac:dyDescent="0.25">
      <c r="A8" s="417" t="s">
        <v>3612</v>
      </c>
      <c r="B8" s="417" t="s">
        <v>2540</v>
      </c>
      <c r="D8" s="510">
        <v>16374</v>
      </c>
      <c r="E8" s="510" t="s">
        <v>3612</v>
      </c>
      <c r="F8" s="418" t="s">
        <v>3613</v>
      </c>
    </row>
    <row r="9" spans="1:6" x14ac:dyDescent="0.25">
      <c r="A9" s="417" t="s">
        <v>3291</v>
      </c>
      <c r="B9" s="417" t="s">
        <v>2540</v>
      </c>
      <c r="D9" s="510">
        <v>17581</v>
      </c>
      <c r="E9" s="510" t="s">
        <v>3291</v>
      </c>
      <c r="F9" s="420" t="s">
        <v>3292</v>
      </c>
    </row>
    <row r="10" spans="1:6" x14ac:dyDescent="0.25">
      <c r="A10" s="417" t="s">
        <v>2713</v>
      </c>
      <c r="B10" s="417" t="s">
        <v>2540</v>
      </c>
      <c r="D10" s="510">
        <v>17830</v>
      </c>
      <c r="E10" s="510" t="s">
        <v>2713</v>
      </c>
      <c r="F10" s="418" t="s">
        <v>2714</v>
      </c>
    </row>
    <row r="11" spans="1:6" x14ac:dyDescent="0.25">
      <c r="A11" s="417" t="s">
        <v>2649</v>
      </c>
      <c r="B11" s="417" t="s">
        <v>2540</v>
      </c>
      <c r="D11" s="510">
        <v>18448</v>
      </c>
      <c r="E11" s="510" t="s">
        <v>2649</v>
      </c>
      <c r="F11" s="418" t="s">
        <v>2650</v>
      </c>
    </row>
    <row r="12" spans="1:6" x14ac:dyDescent="0.25">
      <c r="A12" s="417" t="s">
        <v>2827</v>
      </c>
      <c r="B12" s="417" t="s">
        <v>2540</v>
      </c>
      <c r="D12" s="510">
        <v>18448</v>
      </c>
      <c r="E12" s="510" t="s">
        <v>2827</v>
      </c>
      <c r="F12" s="418" t="s">
        <v>2828</v>
      </c>
    </row>
    <row r="13" spans="1:6" x14ac:dyDescent="0.25">
      <c r="A13" s="417" t="s">
        <v>2572</v>
      </c>
      <c r="B13" s="417" t="s">
        <v>2540</v>
      </c>
      <c r="D13" s="510">
        <v>19753</v>
      </c>
      <c r="E13" s="510" t="s">
        <v>2572</v>
      </c>
      <c r="F13" s="418" t="s">
        <v>2573</v>
      </c>
    </row>
    <row r="14" spans="1:6" x14ac:dyDescent="0.25">
      <c r="A14" s="417" t="s">
        <v>3297</v>
      </c>
      <c r="B14" s="417" t="s">
        <v>2540</v>
      </c>
      <c r="D14" s="510">
        <v>20511</v>
      </c>
      <c r="E14" s="510" t="s">
        <v>3297</v>
      </c>
      <c r="F14" s="418" t="s">
        <v>3298</v>
      </c>
    </row>
    <row r="15" spans="1:6" x14ac:dyDescent="0.25">
      <c r="A15" s="417" t="s">
        <v>3040</v>
      </c>
      <c r="B15" s="417" t="s">
        <v>2540</v>
      </c>
      <c r="D15" s="510">
        <v>20571</v>
      </c>
      <c r="E15" s="510" t="s">
        <v>3040</v>
      </c>
      <c r="F15" s="418" t="s">
        <v>3041</v>
      </c>
    </row>
    <row r="16" spans="1:6" x14ac:dyDescent="0.25">
      <c r="A16" s="417" t="s">
        <v>2815</v>
      </c>
      <c r="B16" s="417" t="s">
        <v>2540</v>
      </c>
      <c r="D16" s="510">
        <v>20758</v>
      </c>
      <c r="E16" s="510" t="s">
        <v>2815</v>
      </c>
      <c r="F16" s="418" t="s">
        <v>2816</v>
      </c>
    </row>
    <row r="17" spans="1:6" x14ac:dyDescent="0.25">
      <c r="A17" s="417" t="s">
        <v>3492</v>
      </c>
      <c r="B17" s="417" t="s">
        <v>2540</v>
      </c>
      <c r="D17" s="510">
        <v>20758</v>
      </c>
      <c r="E17" s="510" t="s">
        <v>3492</v>
      </c>
      <c r="F17" s="418" t="s">
        <v>3493</v>
      </c>
    </row>
    <row r="18" spans="1:6" x14ac:dyDescent="0.25">
      <c r="A18" s="417" t="s">
        <v>3069</v>
      </c>
      <c r="B18" s="417" t="s">
        <v>2540</v>
      </c>
      <c r="D18" s="510">
        <v>23125</v>
      </c>
      <c r="E18" s="510" t="s">
        <v>3069</v>
      </c>
      <c r="F18" s="418" t="s">
        <v>3070</v>
      </c>
    </row>
    <row r="19" spans="1:6" x14ac:dyDescent="0.25">
      <c r="A19" s="417" t="s">
        <v>3222</v>
      </c>
      <c r="B19" s="417" t="s">
        <v>2540</v>
      </c>
      <c r="D19" s="510">
        <v>23125</v>
      </c>
      <c r="E19" s="510" t="s">
        <v>3222</v>
      </c>
      <c r="F19" s="420" t="s">
        <v>3223</v>
      </c>
    </row>
    <row r="20" spans="1:6" x14ac:dyDescent="0.25">
      <c r="A20" s="417" t="s">
        <v>2659</v>
      </c>
      <c r="B20" s="417" t="s">
        <v>2549</v>
      </c>
      <c r="D20" s="510">
        <v>25566</v>
      </c>
      <c r="E20" s="510" t="s">
        <v>2659</v>
      </c>
      <c r="F20" s="418" t="s">
        <v>2660</v>
      </c>
    </row>
    <row r="21" spans="1:6" x14ac:dyDescent="0.25">
      <c r="A21" s="417" t="s">
        <v>2663</v>
      </c>
      <c r="B21" s="417" t="s">
        <v>2040</v>
      </c>
      <c r="D21" s="510">
        <v>28295</v>
      </c>
      <c r="E21" s="510" t="s">
        <v>2663</v>
      </c>
      <c r="F21" s="418" t="s">
        <v>2664</v>
      </c>
    </row>
    <row r="22" spans="1:6" x14ac:dyDescent="0.25">
      <c r="A22" s="417" t="s">
        <v>2695</v>
      </c>
      <c r="B22" s="417" t="s">
        <v>2040</v>
      </c>
      <c r="D22" s="510">
        <v>28474</v>
      </c>
      <c r="E22" s="510" t="s">
        <v>2695</v>
      </c>
      <c r="F22" s="418" t="s">
        <v>2696</v>
      </c>
    </row>
    <row r="23" spans="1:6" x14ac:dyDescent="0.25">
      <c r="A23" s="417" t="s">
        <v>2544</v>
      </c>
      <c r="B23" s="417" t="s">
        <v>2540</v>
      </c>
      <c r="D23" s="510">
        <v>28487</v>
      </c>
      <c r="E23" s="510" t="s">
        <v>2544</v>
      </c>
      <c r="F23" s="418" t="s">
        <v>2545</v>
      </c>
    </row>
    <row r="24" spans="1:6" x14ac:dyDescent="0.25">
      <c r="A24" s="417" t="s">
        <v>2677</v>
      </c>
      <c r="B24" s="417" t="s">
        <v>2540</v>
      </c>
      <c r="D24" s="510">
        <v>28552</v>
      </c>
      <c r="E24" s="510" t="s">
        <v>2677</v>
      </c>
      <c r="F24" s="418" t="s">
        <v>2678</v>
      </c>
    </row>
    <row r="25" spans="1:6" x14ac:dyDescent="0.25">
      <c r="A25" s="417" t="s">
        <v>2625</v>
      </c>
      <c r="B25" s="417" t="s">
        <v>2540</v>
      </c>
      <c r="D25" s="510">
        <v>28570</v>
      </c>
      <c r="E25" s="510" t="s">
        <v>2625</v>
      </c>
      <c r="F25" s="418" t="s">
        <v>2626</v>
      </c>
    </row>
    <row r="26" spans="1:6" x14ac:dyDescent="0.25">
      <c r="A26" s="417" t="s">
        <v>2657</v>
      </c>
      <c r="B26" s="417" t="s">
        <v>2040</v>
      </c>
      <c r="D26" s="510">
        <v>28702</v>
      </c>
      <c r="E26" s="510" t="s">
        <v>2657</v>
      </c>
      <c r="F26" s="418" t="s">
        <v>2658</v>
      </c>
    </row>
    <row r="27" spans="1:6" x14ac:dyDescent="0.25">
      <c r="A27" s="417" t="s">
        <v>2629</v>
      </c>
      <c r="B27" s="417" t="s">
        <v>2540</v>
      </c>
      <c r="D27" s="510">
        <v>28726</v>
      </c>
      <c r="E27" s="510" t="s">
        <v>2629</v>
      </c>
      <c r="F27" s="418" t="s">
        <v>2630</v>
      </c>
    </row>
    <row r="28" spans="1:6" x14ac:dyDescent="0.25">
      <c r="A28" s="417" t="s">
        <v>2627</v>
      </c>
      <c r="B28" s="417" t="s">
        <v>2540</v>
      </c>
      <c r="D28" s="510">
        <v>28727</v>
      </c>
      <c r="E28" s="510" t="s">
        <v>2627</v>
      </c>
      <c r="F28" s="418" t="s">
        <v>2628</v>
      </c>
    </row>
    <row r="29" spans="1:6" x14ac:dyDescent="0.25">
      <c r="A29" s="417" t="s">
        <v>2681</v>
      </c>
      <c r="B29" s="417" t="s">
        <v>2540</v>
      </c>
      <c r="D29" s="510">
        <v>28752</v>
      </c>
      <c r="E29" s="510" t="s">
        <v>2681</v>
      </c>
      <c r="F29" s="418" t="s">
        <v>2682</v>
      </c>
    </row>
    <row r="30" spans="1:6" x14ac:dyDescent="0.25">
      <c r="A30" s="417" t="s">
        <v>2673</v>
      </c>
      <c r="B30" s="417" t="s">
        <v>2540</v>
      </c>
      <c r="D30" s="510">
        <v>28865</v>
      </c>
      <c r="E30" s="510" t="s">
        <v>2673</v>
      </c>
      <c r="F30" s="418" t="s">
        <v>2674</v>
      </c>
    </row>
    <row r="31" spans="1:6" x14ac:dyDescent="0.25">
      <c r="A31" s="417" t="s">
        <v>2653</v>
      </c>
      <c r="B31" s="417" t="s">
        <v>2040</v>
      </c>
      <c r="D31" s="510">
        <v>29008</v>
      </c>
      <c r="E31" s="510" t="s">
        <v>2653</v>
      </c>
      <c r="F31" s="418" t="s">
        <v>2654</v>
      </c>
    </row>
    <row r="32" spans="1:6" x14ac:dyDescent="0.25">
      <c r="A32" s="417" t="s">
        <v>2994</v>
      </c>
      <c r="B32" s="417" t="s">
        <v>2040</v>
      </c>
      <c r="D32" s="510">
        <v>29010</v>
      </c>
      <c r="E32" s="510" t="s">
        <v>2994</v>
      </c>
      <c r="F32" s="418" t="s">
        <v>2995</v>
      </c>
    </row>
    <row r="33" spans="1:6" x14ac:dyDescent="0.25">
      <c r="A33" s="417" t="s">
        <v>3146</v>
      </c>
      <c r="B33" s="417" t="s">
        <v>2040</v>
      </c>
      <c r="D33" s="510">
        <v>29010</v>
      </c>
      <c r="E33" s="510" t="s">
        <v>3146</v>
      </c>
      <c r="F33" s="420" t="s">
        <v>3147</v>
      </c>
    </row>
    <row r="34" spans="1:6" x14ac:dyDescent="0.25">
      <c r="A34" s="417" t="s">
        <v>3146</v>
      </c>
      <c r="B34" s="417" t="s">
        <v>2040</v>
      </c>
      <c r="D34" s="510">
        <v>29010</v>
      </c>
      <c r="E34" s="510" t="s">
        <v>3146</v>
      </c>
      <c r="F34" s="420" t="s">
        <v>3147</v>
      </c>
    </row>
    <row r="35" spans="1:6" x14ac:dyDescent="0.25">
      <c r="A35" s="417" t="s">
        <v>2574</v>
      </c>
      <c r="B35" s="417" t="s">
        <v>2034</v>
      </c>
      <c r="D35" s="510">
        <v>29012</v>
      </c>
      <c r="E35" s="510" t="s">
        <v>2574</v>
      </c>
      <c r="F35" s="418" t="s">
        <v>2575</v>
      </c>
    </row>
    <row r="36" spans="1:6" x14ac:dyDescent="0.25">
      <c r="A36" s="417" t="s">
        <v>2661</v>
      </c>
      <c r="B36" s="417" t="s">
        <v>2040</v>
      </c>
      <c r="D36" s="510">
        <v>29013</v>
      </c>
      <c r="E36" s="510" t="s">
        <v>2661</v>
      </c>
      <c r="F36" s="418" t="s">
        <v>2662</v>
      </c>
    </row>
    <row r="37" spans="1:6" x14ac:dyDescent="0.25">
      <c r="A37" s="417" t="s">
        <v>3319</v>
      </c>
      <c r="B37" s="417" t="s">
        <v>2540</v>
      </c>
      <c r="D37" s="510">
        <v>29807</v>
      </c>
      <c r="E37" s="510" t="s">
        <v>3319</v>
      </c>
      <c r="F37" s="420" t="s">
        <v>3320</v>
      </c>
    </row>
    <row r="38" spans="1:6" x14ac:dyDescent="0.25">
      <c r="A38" s="417" t="s">
        <v>2619</v>
      </c>
      <c r="B38" s="417" t="s">
        <v>2540</v>
      </c>
      <c r="D38" s="510">
        <v>29822</v>
      </c>
      <c r="E38" s="510" t="s">
        <v>2619</v>
      </c>
      <c r="F38" s="418" t="s">
        <v>2620</v>
      </c>
    </row>
    <row r="39" spans="1:6" x14ac:dyDescent="0.25">
      <c r="A39" s="417" t="s">
        <v>2875</v>
      </c>
      <c r="B39" s="417" t="s">
        <v>2540</v>
      </c>
      <c r="D39" s="510">
        <v>30162</v>
      </c>
      <c r="E39" s="510" t="s">
        <v>2875</v>
      </c>
      <c r="F39" s="418" t="s">
        <v>2876</v>
      </c>
    </row>
    <row r="40" spans="1:6" x14ac:dyDescent="0.25">
      <c r="A40" s="417" t="s">
        <v>3164</v>
      </c>
      <c r="B40" s="417" t="s">
        <v>2540</v>
      </c>
      <c r="D40" s="510">
        <v>30163</v>
      </c>
      <c r="E40" s="510" t="s">
        <v>3164</v>
      </c>
      <c r="F40" s="418" t="s">
        <v>3165</v>
      </c>
    </row>
    <row r="41" spans="1:6" x14ac:dyDescent="0.25">
      <c r="A41" s="417" t="s">
        <v>2576</v>
      </c>
      <c r="B41" s="417" t="s">
        <v>2540</v>
      </c>
      <c r="D41" s="510">
        <v>31203</v>
      </c>
      <c r="E41" s="510" t="s">
        <v>2576</v>
      </c>
      <c r="F41" s="418" t="s">
        <v>2577</v>
      </c>
    </row>
    <row r="42" spans="1:6" x14ac:dyDescent="0.25">
      <c r="A42" s="417" t="s">
        <v>2679</v>
      </c>
      <c r="B42" s="417" t="s">
        <v>2540</v>
      </c>
      <c r="D42" s="510">
        <v>31244</v>
      </c>
      <c r="E42" s="510" t="s">
        <v>2679</v>
      </c>
      <c r="F42" s="418" t="s">
        <v>2680</v>
      </c>
    </row>
    <row r="43" spans="1:6" x14ac:dyDescent="0.25">
      <c r="A43" s="417" t="s">
        <v>3101</v>
      </c>
      <c r="B43" s="417" t="s">
        <v>2540</v>
      </c>
      <c r="D43" s="510">
        <v>31246</v>
      </c>
      <c r="E43" s="510" t="s">
        <v>3101</v>
      </c>
      <c r="F43" s="418" t="s">
        <v>3102</v>
      </c>
    </row>
    <row r="44" spans="1:6" x14ac:dyDescent="0.25">
      <c r="A44" s="417" t="s">
        <v>2578</v>
      </c>
      <c r="B44" s="417" t="s">
        <v>2540</v>
      </c>
      <c r="D44" s="510">
        <v>32442</v>
      </c>
      <c r="E44" s="510" t="s">
        <v>2578</v>
      </c>
      <c r="F44" s="418" t="s">
        <v>2579</v>
      </c>
    </row>
    <row r="45" spans="1:6" x14ac:dyDescent="0.25">
      <c r="A45" s="417" t="s">
        <v>2969</v>
      </c>
      <c r="B45" s="417" t="s">
        <v>2540</v>
      </c>
      <c r="D45" s="510">
        <v>33142</v>
      </c>
      <c r="E45" s="510" t="s">
        <v>2969</v>
      </c>
      <c r="F45" s="418" t="s">
        <v>2970</v>
      </c>
    </row>
    <row r="46" spans="1:6" x14ac:dyDescent="0.25">
      <c r="A46" s="417" t="s">
        <v>3351</v>
      </c>
      <c r="B46" s="417" t="s">
        <v>2540</v>
      </c>
      <c r="D46" s="510">
        <v>33142</v>
      </c>
      <c r="E46" s="510" t="s">
        <v>3351</v>
      </c>
      <c r="F46" s="420" t="s">
        <v>3352</v>
      </c>
    </row>
    <row r="47" spans="1:6" x14ac:dyDescent="0.25">
      <c r="A47" s="417" t="s">
        <v>3083</v>
      </c>
      <c r="B47" s="417" t="s">
        <v>2540</v>
      </c>
      <c r="D47" s="510">
        <v>33624</v>
      </c>
      <c r="E47" s="510" t="s">
        <v>3083</v>
      </c>
      <c r="F47" s="418" t="s">
        <v>3084</v>
      </c>
    </row>
    <row r="48" spans="1:6" x14ac:dyDescent="0.25">
      <c r="A48" s="417" t="s">
        <v>2623</v>
      </c>
      <c r="B48" s="417" t="s">
        <v>2540</v>
      </c>
      <c r="D48" s="510">
        <v>33942</v>
      </c>
      <c r="E48" s="510" t="s">
        <v>2623</v>
      </c>
      <c r="F48" s="418" t="s">
        <v>2624</v>
      </c>
    </row>
    <row r="49" spans="1:6" x14ac:dyDescent="0.25">
      <c r="A49" s="417" t="s">
        <v>2752</v>
      </c>
      <c r="B49" s="417" t="s">
        <v>2540</v>
      </c>
      <c r="D49" s="510">
        <v>34182</v>
      </c>
      <c r="E49" s="510" t="s">
        <v>2752</v>
      </c>
      <c r="F49" s="418" t="s">
        <v>2753</v>
      </c>
    </row>
    <row r="50" spans="1:6" x14ac:dyDescent="0.25">
      <c r="A50" s="417" t="s">
        <v>2754</v>
      </c>
      <c r="B50" s="417" t="s">
        <v>2540</v>
      </c>
      <c r="D50" s="510">
        <v>34202</v>
      </c>
      <c r="E50" s="510" t="s">
        <v>2754</v>
      </c>
      <c r="F50" s="418" t="s">
        <v>2755</v>
      </c>
    </row>
    <row r="51" spans="1:6" x14ac:dyDescent="0.25">
      <c r="A51" s="417" t="s">
        <v>2756</v>
      </c>
      <c r="B51" s="417" t="s">
        <v>2540</v>
      </c>
      <c r="D51" s="510">
        <v>34222</v>
      </c>
      <c r="E51" s="510" t="s">
        <v>2756</v>
      </c>
      <c r="F51" s="418" t="s">
        <v>2757</v>
      </c>
    </row>
    <row r="52" spans="1:6" x14ac:dyDescent="0.25">
      <c r="A52" s="417" t="s">
        <v>2758</v>
      </c>
      <c r="B52" s="417" t="s">
        <v>2540</v>
      </c>
      <c r="D52" s="510">
        <v>34223</v>
      </c>
      <c r="E52" s="510" t="s">
        <v>2758</v>
      </c>
      <c r="F52" s="418" t="s">
        <v>2759</v>
      </c>
    </row>
    <row r="53" spans="1:6" x14ac:dyDescent="0.25">
      <c r="A53" s="417" t="s">
        <v>2760</v>
      </c>
      <c r="B53" s="417" t="s">
        <v>2540</v>
      </c>
      <c r="D53" s="510">
        <v>34224</v>
      </c>
      <c r="E53" s="510" t="s">
        <v>2760</v>
      </c>
      <c r="F53" s="418" t="s">
        <v>2761</v>
      </c>
    </row>
    <row r="54" spans="1:6" x14ac:dyDescent="0.25">
      <c r="A54" s="417" t="s">
        <v>2762</v>
      </c>
      <c r="B54" s="417" t="s">
        <v>2540</v>
      </c>
      <c r="D54" s="510">
        <v>34242</v>
      </c>
      <c r="E54" s="510" t="s">
        <v>2762</v>
      </c>
      <c r="F54" s="418" t="s">
        <v>2763</v>
      </c>
    </row>
    <row r="55" spans="1:6" x14ac:dyDescent="0.25">
      <c r="A55" s="417" t="s">
        <v>2693</v>
      </c>
      <c r="B55" s="417" t="s">
        <v>2549</v>
      </c>
      <c r="D55" s="510">
        <v>34583</v>
      </c>
      <c r="E55" s="510" t="s">
        <v>2693</v>
      </c>
      <c r="F55" s="418" t="s">
        <v>2694</v>
      </c>
    </row>
    <row r="56" spans="1:6" x14ac:dyDescent="0.25">
      <c r="A56" s="417" t="s">
        <v>2723</v>
      </c>
      <c r="B56" s="417" t="s">
        <v>2549</v>
      </c>
      <c r="D56" s="510">
        <v>34843</v>
      </c>
      <c r="E56" s="510" t="s">
        <v>2723</v>
      </c>
      <c r="F56" s="418" t="s">
        <v>2724</v>
      </c>
    </row>
    <row r="57" spans="1:6" x14ac:dyDescent="0.25">
      <c r="A57" s="417" t="s">
        <v>3103</v>
      </c>
      <c r="B57" s="417" t="s">
        <v>2540</v>
      </c>
      <c r="D57" s="510">
        <v>36902</v>
      </c>
      <c r="E57" s="510" t="s">
        <v>3103</v>
      </c>
      <c r="F57" s="418" t="s">
        <v>3104</v>
      </c>
    </row>
    <row r="58" spans="1:6" x14ac:dyDescent="0.25">
      <c r="A58" s="417" t="s">
        <v>2580</v>
      </c>
      <c r="B58" s="417" t="s">
        <v>2540</v>
      </c>
      <c r="D58" s="510">
        <v>37609</v>
      </c>
      <c r="E58" s="510" t="s">
        <v>2580</v>
      </c>
      <c r="F58" s="418" t="s">
        <v>2581</v>
      </c>
    </row>
    <row r="59" spans="1:6" x14ac:dyDescent="0.25">
      <c r="A59" s="417" t="s">
        <v>2665</v>
      </c>
      <c r="B59" s="417" t="s">
        <v>2040</v>
      </c>
      <c r="D59" s="510">
        <v>38022</v>
      </c>
      <c r="E59" s="510" t="s">
        <v>2665</v>
      </c>
      <c r="F59" s="418" t="s">
        <v>2666</v>
      </c>
    </row>
    <row r="60" spans="1:6" x14ac:dyDescent="0.25">
      <c r="A60" s="417" t="s">
        <v>2965</v>
      </c>
      <c r="B60" s="417" t="s">
        <v>2540</v>
      </c>
      <c r="D60" s="510">
        <v>38108</v>
      </c>
      <c r="E60" s="510" t="s">
        <v>2965</v>
      </c>
      <c r="F60" s="418" t="s">
        <v>2966</v>
      </c>
    </row>
    <row r="61" spans="1:6" x14ac:dyDescent="0.25">
      <c r="A61" s="417" t="s">
        <v>2744</v>
      </c>
      <c r="B61" s="417" t="s">
        <v>2540</v>
      </c>
      <c r="D61" s="510">
        <v>38163</v>
      </c>
      <c r="E61" s="510" t="s">
        <v>2744</v>
      </c>
      <c r="F61" s="418" t="s">
        <v>2745</v>
      </c>
    </row>
    <row r="62" spans="1:6" x14ac:dyDescent="0.25">
      <c r="A62" s="417" t="s">
        <v>2671</v>
      </c>
      <c r="B62" s="417" t="s">
        <v>2540</v>
      </c>
      <c r="D62" s="510">
        <v>38362</v>
      </c>
      <c r="E62" s="510" t="s">
        <v>2671</v>
      </c>
      <c r="F62" s="418" t="s">
        <v>2672</v>
      </c>
    </row>
    <row r="63" spans="1:6" x14ac:dyDescent="0.25">
      <c r="A63" s="417" t="s">
        <v>2582</v>
      </c>
      <c r="B63" s="417" t="s">
        <v>2540</v>
      </c>
      <c r="D63" s="510">
        <v>38442</v>
      </c>
      <c r="E63" s="510" t="s">
        <v>2582</v>
      </c>
      <c r="F63" s="418" t="s">
        <v>2583</v>
      </c>
    </row>
    <row r="64" spans="1:6" x14ac:dyDescent="0.25">
      <c r="A64" s="417" t="s">
        <v>2615</v>
      </c>
      <c r="B64" s="417" t="s">
        <v>2040</v>
      </c>
      <c r="D64" s="510">
        <v>38732</v>
      </c>
      <c r="E64" s="510" t="s">
        <v>2615</v>
      </c>
      <c r="F64" s="418" t="s">
        <v>2616</v>
      </c>
    </row>
    <row r="65" spans="1:6" x14ac:dyDescent="0.25">
      <c r="A65" s="417" t="s">
        <v>2539</v>
      </c>
      <c r="B65" s="417" t="s">
        <v>2540</v>
      </c>
      <c r="D65" s="510">
        <v>38826</v>
      </c>
      <c r="E65" s="510" t="s">
        <v>2539</v>
      </c>
      <c r="F65" s="418" t="s">
        <v>2541</v>
      </c>
    </row>
    <row r="66" spans="1:6" x14ac:dyDescent="0.25">
      <c r="A66" s="417" t="s">
        <v>2617</v>
      </c>
      <c r="B66" s="417" t="s">
        <v>2540</v>
      </c>
      <c r="D66" s="510">
        <v>38826</v>
      </c>
      <c r="E66" s="510" t="s">
        <v>2617</v>
      </c>
      <c r="F66" s="418" t="s">
        <v>2618</v>
      </c>
    </row>
    <row r="67" spans="1:6" x14ac:dyDescent="0.25">
      <c r="A67" s="417" t="s">
        <v>2542</v>
      </c>
      <c r="B67" s="417" t="s">
        <v>2540</v>
      </c>
      <c r="D67" s="510">
        <v>38834</v>
      </c>
      <c r="E67" s="510" t="s">
        <v>2542</v>
      </c>
      <c r="F67" s="418" t="s">
        <v>2543</v>
      </c>
    </row>
    <row r="68" spans="1:6" x14ac:dyDescent="0.25">
      <c r="A68" s="417" t="s">
        <v>2566</v>
      </c>
      <c r="B68" s="417" t="s">
        <v>2540</v>
      </c>
      <c r="D68" s="510">
        <v>38834</v>
      </c>
      <c r="E68" s="510" t="s">
        <v>2566</v>
      </c>
      <c r="F68" s="418" t="s">
        <v>2567</v>
      </c>
    </row>
    <row r="69" spans="1:6" x14ac:dyDescent="0.25">
      <c r="A69" s="417" t="s">
        <v>2971</v>
      </c>
      <c r="B69" s="417" t="s">
        <v>2040</v>
      </c>
      <c r="D69" s="510">
        <v>38888</v>
      </c>
      <c r="E69" s="510" t="s">
        <v>2971</v>
      </c>
      <c r="F69" s="418" t="s">
        <v>2972</v>
      </c>
    </row>
    <row r="70" spans="1:6" x14ac:dyDescent="0.25">
      <c r="A70" s="417" t="s">
        <v>3365</v>
      </c>
      <c r="B70" s="417" t="s">
        <v>2540</v>
      </c>
      <c r="D70" s="510">
        <v>38931</v>
      </c>
      <c r="E70" s="510" t="s">
        <v>3365</v>
      </c>
      <c r="F70" s="420" t="s">
        <v>3366</v>
      </c>
    </row>
    <row r="71" spans="1:6" x14ac:dyDescent="0.25">
      <c r="A71" s="417" t="s">
        <v>2675</v>
      </c>
      <c r="B71" s="417" t="s">
        <v>2540</v>
      </c>
      <c r="D71" s="510">
        <v>38942</v>
      </c>
      <c r="E71" s="510" t="s">
        <v>2675</v>
      </c>
      <c r="F71" s="418" t="s">
        <v>2676</v>
      </c>
    </row>
    <row r="72" spans="1:6" x14ac:dyDescent="0.25">
      <c r="A72" s="417" t="s">
        <v>2584</v>
      </c>
      <c r="B72" s="417" t="s">
        <v>2540</v>
      </c>
      <c r="D72" s="510">
        <v>38943</v>
      </c>
      <c r="E72" s="510" t="s">
        <v>2584</v>
      </c>
      <c r="F72" s="418" t="s">
        <v>2585</v>
      </c>
    </row>
    <row r="73" spans="1:6" x14ac:dyDescent="0.25">
      <c r="A73" s="417" t="s">
        <v>2655</v>
      </c>
      <c r="B73" s="417" t="s">
        <v>2040</v>
      </c>
      <c r="D73" s="510">
        <v>39270</v>
      </c>
      <c r="E73" s="510" t="s">
        <v>2655</v>
      </c>
      <c r="F73" s="418" t="s">
        <v>2656</v>
      </c>
    </row>
    <row r="74" spans="1:6" x14ac:dyDescent="0.25">
      <c r="A74" s="417" t="s">
        <v>2669</v>
      </c>
      <c r="B74" s="417" t="s">
        <v>2540</v>
      </c>
      <c r="D74" s="510">
        <v>39529</v>
      </c>
      <c r="E74" s="510" t="s">
        <v>2669</v>
      </c>
      <c r="F74" s="418" t="s">
        <v>2670</v>
      </c>
    </row>
    <row r="75" spans="1:6" x14ac:dyDescent="0.25">
      <c r="A75" s="417" t="s">
        <v>2553</v>
      </c>
      <c r="B75" s="417" t="s">
        <v>2540</v>
      </c>
      <c r="D75" s="510">
        <v>39783</v>
      </c>
      <c r="E75" s="510" t="s">
        <v>2553</v>
      </c>
      <c r="F75" s="418" t="s">
        <v>4730</v>
      </c>
    </row>
    <row r="76" spans="1:6" x14ac:dyDescent="0.25">
      <c r="A76" s="417" t="s">
        <v>2707</v>
      </c>
      <c r="B76" s="417" t="s">
        <v>2540</v>
      </c>
      <c r="D76" s="510">
        <v>39803</v>
      </c>
      <c r="E76" s="510" t="s">
        <v>2707</v>
      </c>
      <c r="F76" s="418" t="s">
        <v>2708</v>
      </c>
    </row>
    <row r="77" spans="1:6" x14ac:dyDescent="0.25">
      <c r="A77" s="417" t="s">
        <v>3105</v>
      </c>
      <c r="B77" s="417" t="s">
        <v>2540</v>
      </c>
      <c r="D77" s="510">
        <v>39932</v>
      </c>
      <c r="E77" s="510" t="s">
        <v>3105</v>
      </c>
      <c r="F77" s="418" t="s">
        <v>3106</v>
      </c>
    </row>
    <row r="78" spans="1:6" x14ac:dyDescent="0.25">
      <c r="A78" s="417" t="s">
        <v>2586</v>
      </c>
      <c r="B78" s="417" t="s">
        <v>2587</v>
      </c>
      <c r="D78" s="510">
        <v>40224</v>
      </c>
      <c r="E78" s="510" t="s">
        <v>2586</v>
      </c>
      <c r="F78" s="418" t="s">
        <v>2588</v>
      </c>
    </row>
    <row r="79" spans="1:6" x14ac:dyDescent="0.25">
      <c r="A79" s="417" t="s">
        <v>2651</v>
      </c>
      <c r="B79" s="417" t="s">
        <v>2040</v>
      </c>
      <c r="D79" s="510">
        <v>40224</v>
      </c>
      <c r="E79" s="510" t="s">
        <v>2651</v>
      </c>
      <c r="F79" s="418" t="s">
        <v>2652</v>
      </c>
    </row>
    <row r="80" spans="1:6" x14ac:dyDescent="0.25">
      <c r="A80" s="417" t="s">
        <v>3081</v>
      </c>
      <c r="B80" s="417" t="s">
        <v>2034</v>
      </c>
      <c r="D80" s="510">
        <v>40260</v>
      </c>
      <c r="E80" s="510" t="s">
        <v>3081</v>
      </c>
      <c r="F80" s="418" t="s">
        <v>3082</v>
      </c>
    </row>
    <row r="81" spans="1:6" x14ac:dyDescent="0.25">
      <c r="A81" s="417" t="s">
        <v>3056</v>
      </c>
      <c r="B81" s="417" t="s">
        <v>2540</v>
      </c>
      <c r="D81" s="510">
        <v>40271</v>
      </c>
      <c r="E81" s="510" t="s">
        <v>3056</v>
      </c>
      <c r="F81" s="420" t="s">
        <v>3057</v>
      </c>
    </row>
    <row r="82" spans="1:6" x14ac:dyDescent="0.25">
      <c r="A82" s="417" t="s">
        <v>2721</v>
      </c>
      <c r="B82" s="417" t="s">
        <v>2549</v>
      </c>
      <c r="D82" s="510">
        <v>40278</v>
      </c>
      <c r="E82" s="510" t="s">
        <v>2721</v>
      </c>
      <c r="F82" s="418" t="s">
        <v>2722</v>
      </c>
    </row>
    <row r="83" spans="1:6" x14ac:dyDescent="0.25">
      <c r="A83" s="417" t="s">
        <v>2709</v>
      </c>
      <c r="B83" s="417" t="s">
        <v>2034</v>
      </c>
      <c r="D83" s="510">
        <v>40280</v>
      </c>
      <c r="E83" s="510" t="s">
        <v>2709</v>
      </c>
      <c r="F83" s="418" t="s">
        <v>2710</v>
      </c>
    </row>
    <row r="84" spans="1:6" x14ac:dyDescent="0.25">
      <c r="A84" s="417" t="s">
        <v>2667</v>
      </c>
      <c r="B84" s="417" t="s">
        <v>2034</v>
      </c>
      <c r="D84" s="510">
        <v>40281</v>
      </c>
      <c r="E84" s="510" t="s">
        <v>2667</v>
      </c>
      <c r="F84" s="418" t="s">
        <v>2668</v>
      </c>
    </row>
    <row r="85" spans="1:6" x14ac:dyDescent="0.25">
      <c r="A85" s="417" t="s">
        <v>2881</v>
      </c>
      <c r="B85" s="417" t="s">
        <v>2540</v>
      </c>
      <c r="D85" s="510">
        <v>40283</v>
      </c>
      <c r="E85" s="510" t="s">
        <v>2881</v>
      </c>
      <c r="F85" s="418" t="s">
        <v>2882</v>
      </c>
    </row>
    <row r="86" spans="1:6" x14ac:dyDescent="0.25">
      <c r="A86" s="417" t="s">
        <v>2711</v>
      </c>
      <c r="B86" s="417" t="s">
        <v>2034</v>
      </c>
      <c r="D86" s="510">
        <v>40287</v>
      </c>
      <c r="E86" s="510" t="s">
        <v>2711</v>
      </c>
      <c r="F86" s="418" t="s">
        <v>2712</v>
      </c>
    </row>
    <row r="87" spans="1:6" x14ac:dyDescent="0.25">
      <c r="A87" s="417" t="s">
        <v>3107</v>
      </c>
      <c r="B87" s="417" t="s">
        <v>2540</v>
      </c>
      <c r="D87" s="510">
        <v>40308</v>
      </c>
      <c r="E87" s="510" t="s">
        <v>3107</v>
      </c>
      <c r="F87" s="418" t="s">
        <v>3108</v>
      </c>
    </row>
    <row r="88" spans="1:6" x14ac:dyDescent="0.25">
      <c r="A88" s="417" t="s">
        <v>2738</v>
      </c>
      <c r="B88" s="417" t="s">
        <v>2040</v>
      </c>
      <c r="D88" s="510">
        <v>40310</v>
      </c>
      <c r="E88" s="510" t="s">
        <v>2738</v>
      </c>
      <c r="F88" s="418" t="s">
        <v>2739</v>
      </c>
    </row>
    <row r="89" spans="1:6" x14ac:dyDescent="0.25">
      <c r="A89" s="417" t="s">
        <v>3109</v>
      </c>
      <c r="B89" s="417" t="s">
        <v>2549</v>
      </c>
      <c r="D89" s="510">
        <v>40314</v>
      </c>
      <c r="E89" s="510" t="s">
        <v>3109</v>
      </c>
      <c r="F89" s="418" t="s">
        <v>3110</v>
      </c>
    </row>
    <row r="90" spans="1:6" x14ac:dyDescent="0.25">
      <c r="A90" s="417" t="s">
        <v>2921</v>
      </c>
      <c r="B90" s="417" t="s">
        <v>2549</v>
      </c>
      <c r="D90" s="510">
        <v>40320</v>
      </c>
      <c r="E90" s="510" t="s">
        <v>2921</v>
      </c>
      <c r="F90" s="418" t="s">
        <v>2922</v>
      </c>
    </row>
    <row r="91" spans="1:6" ht="19.5" x14ac:dyDescent="0.45">
      <c r="A91" s="417" t="s">
        <v>2788</v>
      </c>
      <c r="B91" s="417" t="s">
        <v>2549</v>
      </c>
      <c r="D91" s="510">
        <v>40648</v>
      </c>
      <c r="E91" s="510" t="s">
        <v>2788</v>
      </c>
      <c r="F91" s="419" t="s">
        <v>2789</v>
      </c>
    </row>
    <row r="92" spans="1:6" x14ac:dyDescent="0.25">
      <c r="A92" s="417" t="s">
        <v>3085</v>
      </c>
      <c r="B92" s="417" t="s">
        <v>2040</v>
      </c>
      <c r="D92" s="510">
        <v>40868</v>
      </c>
      <c r="E92" s="510" t="s">
        <v>3085</v>
      </c>
      <c r="F92" s="418" t="s">
        <v>3086</v>
      </c>
    </row>
    <row r="93" spans="1:6" x14ac:dyDescent="0.25">
      <c r="A93" s="417" t="s">
        <v>2591</v>
      </c>
      <c r="B93" s="417" t="s">
        <v>2525</v>
      </c>
      <c r="D93" s="510">
        <v>40906</v>
      </c>
      <c r="E93" s="510" t="s">
        <v>2591</v>
      </c>
      <c r="F93" s="418" t="s">
        <v>2592</v>
      </c>
    </row>
    <row r="94" spans="1:6" x14ac:dyDescent="0.25">
      <c r="A94" s="417" t="s">
        <v>2609</v>
      </c>
      <c r="B94" s="417" t="s">
        <v>2540</v>
      </c>
      <c r="D94" s="510">
        <v>41126</v>
      </c>
      <c r="E94" s="510" t="s">
        <v>2609</v>
      </c>
      <c r="F94" s="418" t="s">
        <v>2610</v>
      </c>
    </row>
    <row r="95" spans="1:6" x14ac:dyDescent="0.25">
      <c r="A95" s="417" t="s">
        <v>2877</v>
      </c>
      <c r="B95" s="417" t="s">
        <v>2540</v>
      </c>
      <c r="D95" s="510">
        <v>41130</v>
      </c>
      <c r="E95" s="510" t="s">
        <v>2877</v>
      </c>
      <c r="F95" s="418" t="s">
        <v>2878</v>
      </c>
    </row>
    <row r="96" spans="1:6" x14ac:dyDescent="0.25">
      <c r="A96" s="417" t="s">
        <v>3462</v>
      </c>
      <c r="B96" s="417" t="s">
        <v>2540</v>
      </c>
      <c r="D96" s="510">
        <v>41139</v>
      </c>
      <c r="E96" s="510" t="s">
        <v>3462</v>
      </c>
      <c r="F96" s="420" t="s">
        <v>3463</v>
      </c>
    </row>
    <row r="97" spans="1:6" x14ac:dyDescent="0.25">
      <c r="A97" s="417" t="s">
        <v>2562</v>
      </c>
      <c r="B97" s="417" t="s">
        <v>2540</v>
      </c>
      <c r="D97" s="510">
        <v>41141</v>
      </c>
      <c r="E97" s="510" t="s">
        <v>2562</v>
      </c>
      <c r="F97" s="418" t="s">
        <v>2563</v>
      </c>
    </row>
    <row r="98" spans="1:6" x14ac:dyDescent="0.25">
      <c r="A98" s="417" t="s">
        <v>2883</v>
      </c>
      <c r="B98" s="417" t="s">
        <v>2540</v>
      </c>
      <c r="D98" s="510">
        <v>41142</v>
      </c>
      <c r="E98" s="510" t="s">
        <v>2883</v>
      </c>
      <c r="F98" s="418" t="s">
        <v>2884</v>
      </c>
    </row>
    <row r="99" spans="1:6" x14ac:dyDescent="0.25">
      <c r="A99" s="417" t="s">
        <v>3182</v>
      </c>
      <c r="B99" s="417" t="s">
        <v>2540</v>
      </c>
      <c r="D99" s="510">
        <v>41142</v>
      </c>
      <c r="E99" s="510" t="s">
        <v>3182</v>
      </c>
      <c r="F99" s="418" t="s">
        <v>3183</v>
      </c>
    </row>
    <row r="100" spans="1:6" x14ac:dyDescent="0.25">
      <c r="A100" s="417" t="s">
        <v>2613</v>
      </c>
      <c r="B100" s="417" t="s">
        <v>2540</v>
      </c>
      <c r="D100" s="510">
        <v>41228</v>
      </c>
      <c r="E100" s="510" t="s">
        <v>2613</v>
      </c>
      <c r="F100" s="418" t="s">
        <v>2614</v>
      </c>
    </row>
    <row r="101" spans="1:6" x14ac:dyDescent="0.25">
      <c r="A101" s="417" t="s">
        <v>2558</v>
      </c>
      <c r="B101" s="417" t="s">
        <v>2540</v>
      </c>
      <c r="D101" s="510">
        <v>41234</v>
      </c>
      <c r="E101" s="510" t="s">
        <v>2558</v>
      </c>
      <c r="F101" s="418" t="s">
        <v>2559</v>
      </c>
    </row>
    <row r="102" spans="1:6" x14ac:dyDescent="0.25">
      <c r="A102" s="417" t="s">
        <v>2556</v>
      </c>
      <c r="B102" s="417" t="s">
        <v>2540</v>
      </c>
      <c r="D102" s="510">
        <v>41235</v>
      </c>
      <c r="E102" s="510" t="s">
        <v>2556</v>
      </c>
      <c r="F102" s="418" t="s">
        <v>2557</v>
      </c>
    </row>
    <row r="103" spans="1:6" x14ac:dyDescent="0.25">
      <c r="A103" s="417" t="s">
        <v>2554</v>
      </c>
      <c r="B103" s="417" t="s">
        <v>2540</v>
      </c>
      <c r="D103" s="510">
        <v>41248</v>
      </c>
      <c r="E103" s="510" t="s">
        <v>2554</v>
      </c>
      <c r="F103" s="418" t="s">
        <v>2555</v>
      </c>
    </row>
    <row r="104" spans="1:6" x14ac:dyDescent="0.25">
      <c r="A104" s="417" t="s">
        <v>2774</v>
      </c>
      <c r="B104" s="417" t="s">
        <v>2540</v>
      </c>
      <c r="D104" s="510">
        <v>41265</v>
      </c>
      <c r="E104" s="510" t="s">
        <v>2774</v>
      </c>
      <c r="F104" s="418" t="s">
        <v>2775</v>
      </c>
    </row>
    <row r="105" spans="1:6" x14ac:dyDescent="0.25">
      <c r="A105" s="417" t="s">
        <v>2841</v>
      </c>
      <c r="B105" s="417" t="s">
        <v>2040</v>
      </c>
      <c r="D105" s="510">
        <v>41349</v>
      </c>
      <c r="E105" s="510" t="s">
        <v>2841</v>
      </c>
      <c r="F105" s="418" t="s">
        <v>2842</v>
      </c>
    </row>
    <row r="106" spans="1:6" x14ac:dyDescent="0.25">
      <c r="A106" s="417" t="s">
        <v>3087</v>
      </c>
      <c r="B106" s="417" t="s">
        <v>2040</v>
      </c>
      <c r="D106" s="510">
        <v>41351</v>
      </c>
      <c r="E106" s="510" t="s">
        <v>3087</v>
      </c>
      <c r="F106" s="418" t="s">
        <v>3088</v>
      </c>
    </row>
    <row r="107" spans="1:6" x14ac:dyDescent="0.25">
      <c r="A107" s="417" t="s">
        <v>2611</v>
      </c>
      <c r="B107" s="417" t="s">
        <v>2549</v>
      </c>
      <c r="D107" s="510">
        <v>41403</v>
      </c>
      <c r="E107" s="510" t="s">
        <v>2611</v>
      </c>
      <c r="F107" s="418" t="s">
        <v>2612</v>
      </c>
    </row>
    <row r="108" spans="1:6" x14ac:dyDescent="0.25">
      <c r="A108" s="417" t="s">
        <v>2986</v>
      </c>
      <c r="B108" s="417" t="s">
        <v>2549</v>
      </c>
      <c r="D108" s="510">
        <v>41425</v>
      </c>
      <c r="E108" s="510" t="s">
        <v>2986</v>
      </c>
      <c r="F108" s="418" t="s">
        <v>4709</v>
      </c>
    </row>
    <row r="109" spans="1:6" x14ac:dyDescent="0.25">
      <c r="A109" s="417" t="s">
        <v>3089</v>
      </c>
      <c r="B109" s="417" t="s">
        <v>2587</v>
      </c>
      <c r="C109" s="417" t="s">
        <v>2450</v>
      </c>
      <c r="D109" s="510">
        <v>41429</v>
      </c>
      <c r="E109" s="510" t="s">
        <v>3089</v>
      </c>
      <c r="F109" s="418" t="s">
        <v>3090</v>
      </c>
    </row>
    <row r="110" spans="1:6" x14ac:dyDescent="0.25">
      <c r="A110" s="417" t="s">
        <v>2900</v>
      </c>
      <c r="B110" s="417" t="s">
        <v>2549</v>
      </c>
      <c r="D110" s="510">
        <v>41432</v>
      </c>
      <c r="E110" s="510" t="s">
        <v>2900</v>
      </c>
      <c r="F110" s="418" t="s">
        <v>4700</v>
      </c>
    </row>
    <row r="111" spans="1:6" x14ac:dyDescent="0.25">
      <c r="A111" s="417" t="s">
        <v>3091</v>
      </c>
      <c r="B111" s="417" t="s">
        <v>2587</v>
      </c>
      <c r="D111" s="510">
        <v>41434</v>
      </c>
      <c r="E111" s="510" t="s">
        <v>3091</v>
      </c>
      <c r="F111" s="418" t="s">
        <v>3092</v>
      </c>
    </row>
    <row r="112" spans="1:6" x14ac:dyDescent="0.25">
      <c r="A112" s="417" t="s">
        <v>3030</v>
      </c>
      <c r="B112" s="417" t="s">
        <v>2040</v>
      </c>
      <c r="D112" s="510">
        <v>41437</v>
      </c>
      <c r="E112" s="510" t="s">
        <v>3030</v>
      </c>
      <c r="F112" s="418" t="s">
        <v>3031</v>
      </c>
    </row>
    <row r="113" spans="1:6" x14ac:dyDescent="0.25">
      <c r="A113" s="417" t="s">
        <v>2937</v>
      </c>
      <c r="B113" s="417" t="s">
        <v>2034</v>
      </c>
      <c r="D113" s="510">
        <v>41438</v>
      </c>
      <c r="E113" s="510" t="s">
        <v>2937</v>
      </c>
      <c r="F113" s="418" t="s">
        <v>2938</v>
      </c>
    </row>
    <row r="114" spans="1:6" x14ac:dyDescent="0.25">
      <c r="A114" s="417" t="s">
        <v>2837</v>
      </c>
      <c r="B114" s="417" t="s">
        <v>2540</v>
      </c>
      <c r="D114" s="510">
        <v>41525</v>
      </c>
      <c r="E114" s="510" t="s">
        <v>2837</v>
      </c>
      <c r="F114" s="418" t="s">
        <v>2838</v>
      </c>
    </row>
    <row r="115" spans="1:6" x14ac:dyDescent="0.25">
      <c r="A115" s="417" t="s">
        <v>2691</v>
      </c>
      <c r="B115" s="417" t="s">
        <v>2040</v>
      </c>
      <c r="D115" s="510">
        <v>41534</v>
      </c>
      <c r="E115" s="510" t="s">
        <v>2691</v>
      </c>
      <c r="F115" s="418" t="s">
        <v>2692</v>
      </c>
    </row>
    <row r="116" spans="1:6" x14ac:dyDescent="0.25">
      <c r="A116" s="417" t="s">
        <v>3042</v>
      </c>
      <c r="B116" s="417" t="s">
        <v>2034</v>
      </c>
      <c r="C116" s="417" t="s">
        <v>2450</v>
      </c>
      <c r="D116" s="510">
        <v>41535</v>
      </c>
      <c r="E116" s="510" t="s">
        <v>3042</v>
      </c>
      <c r="F116" s="418" t="s">
        <v>3043</v>
      </c>
    </row>
    <row r="117" spans="1:6" x14ac:dyDescent="0.25">
      <c r="A117" s="417" t="s">
        <v>2589</v>
      </c>
      <c r="B117" s="417" t="s">
        <v>2034</v>
      </c>
      <c r="D117" s="510">
        <v>41536</v>
      </c>
      <c r="E117" s="510" t="s">
        <v>2589</v>
      </c>
      <c r="F117" s="418" t="s">
        <v>2590</v>
      </c>
    </row>
    <row r="118" spans="1:6" x14ac:dyDescent="0.25">
      <c r="A118" s="417" t="s">
        <v>2560</v>
      </c>
      <c r="B118" s="417" t="s">
        <v>2034</v>
      </c>
      <c r="D118" s="510">
        <v>41537</v>
      </c>
      <c r="E118" s="510" t="s">
        <v>2560</v>
      </c>
      <c r="F118" s="418" t="s">
        <v>2561</v>
      </c>
    </row>
    <row r="119" spans="1:6" x14ac:dyDescent="0.25">
      <c r="A119" s="417" t="s">
        <v>2914</v>
      </c>
      <c r="B119" s="417" t="s">
        <v>2040</v>
      </c>
      <c r="D119" s="510">
        <v>41672</v>
      </c>
      <c r="E119" s="510" t="s">
        <v>2914</v>
      </c>
      <c r="F119" s="418" t="s">
        <v>2915</v>
      </c>
    </row>
    <row r="120" spans="1:6" x14ac:dyDescent="0.25">
      <c r="A120" s="417" t="s">
        <v>2823</v>
      </c>
      <c r="B120" s="417" t="s">
        <v>2540</v>
      </c>
      <c r="D120" s="510">
        <v>41705</v>
      </c>
      <c r="E120" s="510" t="s">
        <v>2823</v>
      </c>
      <c r="F120" s="418" t="s">
        <v>2824</v>
      </c>
    </row>
    <row r="121" spans="1:6" x14ac:dyDescent="0.25">
      <c r="A121" s="417" t="s">
        <v>2537</v>
      </c>
      <c r="B121" s="417" t="s">
        <v>2040</v>
      </c>
      <c r="D121" s="510">
        <v>41797</v>
      </c>
      <c r="E121" s="510" t="s">
        <v>2537</v>
      </c>
      <c r="F121" s="418" t="s">
        <v>2538</v>
      </c>
    </row>
    <row r="122" spans="1:6" x14ac:dyDescent="0.25">
      <c r="A122" s="417" t="s">
        <v>2903</v>
      </c>
      <c r="B122" s="417" t="s">
        <v>2040</v>
      </c>
      <c r="D122" s="510">
        <v>41797</v>
      </c>
      <c r="E122" s="510" t="s">
        <v>2903</v>
      </c>
      <c r="F122" s="419" t="s">
        <v>2904</v>
      </c>
    </row>
    <row r="123" spans="1:6" x14ac:dyDescent="0.25">
      <c r="A123" s="417" t="s">
        <v>2687</v>
      </c>
      <c r="B123" s="417" t="s">
        <v>2540</v>
      </c>
      <c r="D123" s="510">
        <v>41843</v>
      </c>
      <c r="E123" s="510" t="s">
        <v>2687</v>
      </c>
      <c r="F123" s="418" t="s">
        <v>2688</v>
      </c>
    </row>
    <row r="124" spans="1:6" x14ac:dyDescent="0.25">
      <c r="A124" s="417" t="s">
        <v>3073</v>
      </c>
      <c r="B124" s="417" t="s">
        <v>2540</v>
      </c>
      <c r="D124" s="510">
        <v>41988</v>
      </c>
      <c r="E124" s="510" t="s">
        <v>3073</v>
      </c>
      <c r="F124" s="418" t="s">
        <v>3074</v>
      </c>
    </row>
    <row r="125" spans="1:6" x14ac:dyDescent="0.25">
      <c r="A125" s="417" t="s">
        <v>2683</v>
      </c>
      <c r="B125" s="417" t="s">
        <v>2540</v>
      </c>
      <c r="D125" s="510">
        <v>42127</v>
      </c>
      <c r="E125" s="510" t="s">
        <v>2683</v>
      </c>
      <c r="F125" s="418" t="s">
        <v>2684</v>
      </c>
    </row>
    <row r="126" spans="1:6" x14ac:dyDescent="0.25">
      <c r="A126" s="417" t="s">
        <v>2701</v>
      </c>
      <c r="B126" s="417" t="s">
        <v>2540</v>
      </c>
      <c r="D126" s="510">
        <v>42648</v>
      </c>
      <c r="E126" s="510" t="s">
        <v>2701</v>
      </c>
      <c r="F126" s="418" t="s">
        <v>2702</v>
      </c>
    </row>
    <row r="127" spans="1:6" x14ac:dyDescent="0.25">
      <c r="A127" s="417" t="s">
        <v>2839</v>
      </c>
      <c r="B127" s="417" t="s">
        <v>2540</v>
      </c>
      <c r="D127" s="510">
        <v>42666</v>
      </c>
      <c r="E127" s="510" t="s">
        <v>2839</v>
      </c>
      <c r="F127" s="418" t="s">
        <v>2840</v>
      </c>
    </row>
    <row r="128" spans="1:6" x14ac:dyDescent="0.25">
      <c r="A128" s="417" t="s">
        <v>2599</v>
      </c>
      <c r="B128" s="417" t="s">
        <v>2540</v>
      </c>
      <c r="D128" s="510">
        <v>42868</v>
      </c>
      <c r="E128" s="510" t="s">
        <v>2599</v>
      </c>
      <c r="F128" s="418" t="s">
        <v>2600</v>
      </c>
    </row>
    <row r="129" spans="1:6" x14ac:dyDescent="0.25">
      <c r="A129" s="417" t="s">
        <v>2603</v>
      </c>
      <c r="B129" s="417" t="s">
        <v>2540</v>
      </c>
      <c r="D129" s="510">
        <v>42907</v>
      </c>
      <c r="E129" s="510" t="s">
        <v>2603</v>
      </c>
      <c r="F129" s="418" t="s">
        <v>2604</v>
      </c>
    </row>
    <row r="130" spans="1:6" ht="19.5" x14ac:dyDescent="0.45">
      <c r="A130" s="417" t="s">
        <v>2790</v>
      </c>
      <c r="B130" s="417" t="s">
        <v>2540</v>
      </c>
      <c r="D130" s="510">
        <v>42982</v>
      </c>
      <c r="E130" s="510" t="s">
        <v>2790</v>
      </c>
      <c r="F130" s="419" t="s">
        <v>2791</v>
      </c>
    </row>
    <row r="131" spans="1:6" x14ac:dyDescent="0.25">
      <c r="A131" s="417" t="s">
        <v>2605</v>
      </c>
      <c r="B131" s="417" t="s">
        <v>2540</v>
      </c>
      <c r="D131" s="510">
        <v>42991</v>
      </c>
      <c r="E131" s="510" t="s">
        <v>2605</v>
      </c>
      <c r="F131" s="418" t="s">
        <v>2606</v>
      </c>
    </row>
    <row r="132" spans="1:6" x14ac:dyDescent="0.25">
      <c r="A132" s="417" t="s">
        <v>2750</v>
      </c>
      <c r="B132" s="417" t="s">
        <v>2540</v>
      </c>
      <c r="D132" s="510">
        <v>43008</v>
      </c>
      <c r="E132" s="510" t="s">
        <v>2750</v>
      </c>
      <c r="F132" s="418" t="s">
        <v>2751</v>
      </c>
    </row>
    <row r="133" spans="1:6" x14ac:dyDescent="0.25">
      <c r="A133" s="417" t="s">
        <v>3006</v>
      </c>
      <c r="B133" s="417" t="s">
        <v>2540</v>
      </c>
      <c r="D133" s="510">
        <v>43027</v>
      </c>
      <c r="E133" s="510" t="s">
        <v>3006</v>
      </c>
      <c r="F133" s="418" t="s">
        <v>3007</v>
      </c>
    </row>
    <row r="134" spans="1:6" x14ac:dyDescent="0.25">
      <c r="A134" s="417" t="s">
        <v>2809</v>
      </c>
      <c r="B134" s="417" t="s">
        <v>2540</v>
      </c>
      <c r="D134" s="510">
        <v>43067</v>
      </c>
      <c r="E134" s="510" t="s">
        <v>2809</v>
      </c>
      <c r="F134" s="418" t="s">
        <v>2810</v>
      </c>
    </row>
    <row r="135" spans="1:6" x14ac:dyDescent="0.25">
      <c r="A135" s="417" t="s">
        <v>2987</v>
      </c>
      <c r="B135" s="417" t="s">
        <v>2540</v>
      </c>
      <c r="D135" s="510">
        <v>43088</v>
      </c>
      <c r="E135" s="510" t="s">
        <v>2987</v>
      </c>
      <c r="F135" s="418" t="s">
        <v>4710</v>
      </c>
    </row>
    <row r="136" spans="1:6" x14ac:dyDescent="0.25">
      <c r="A136" s="417" t="s">
        <v>2601</v>
      </c>
      <c r="B136" s="417" t="s">
        <v>2540</v>
      </c>
      <c r="D136" s="510">
        <v>43089</v>
      </c>
      <c r="E136" s="510" t="s">
        <v>2601</v>
      </c>
      <c r="F136" s="418" t="s">
        <v>2602</v>
      </c>
    </row>
    <row r="137" spans="1:6" x14ac:dyDescent="0.25">
      <c r="A137" s="417" t="s">
        <v>2593</v>
      </c>
      <c r="B137" s="417" t="s">
        <v>2040</v>
      </c>
      <c r="D137" s="510">
        <v>43106</v>
      </c>
      <c r="E137" s="510" t="s">
        <v>2593</v>
      </c>
      <c r="F137" s="418" t="s">
        <v>2594</v>
      </c>
    </row>
    <row r="138" spans="1:6" x14ac:dyDescent="0.25">
      <c r="A138" s="417" t="s">
        <v>2647</v>
      </c>
      <c r="B138" s="417" t="s">
        <v>2540</v>
      </c>
      <c r="D138" s="510">
        <v>43116</v>
      </c>
      <c r="E138" s="510" t="s">
        <v>2647</v>
      </c>
      <c r="F138" s="418" t="s">
        <v>2648</v>
      </c>
    </row>
    <row r="139" spans="1:6" x14ac:dyDescent="0.25">
      <c r="A139" s="417" t="s">
        <v>2685</v>
      </c>
      <c r="B139" s="417" t="s">
        <v>2540</v>
      </c>
      <c r="D139" s="510">
        <v>43121</v>
      </c>
      <c r="E139" s="510" t="s">
        <v>2685</v>
      </c>
      <c r="F139" s="418" t="s">
        <v>2686</v>
      </c>
    </row>
    <row r="140" spans="1:6" x14ac:dyDescent="0.25">
      <c r="A140" s="417" t="s">
        <v>3093</v>
      </c>
      <c r="B140" s="417" t="s">
        <v>2040</v>
      </c>
      <c r="D140" s="510">
        <v>43126</v>
      </c>
      <c r="E140" s="510" t="s">
        <v>3093</v>
      </c>
      <c r="F140" s="418" t="s">
        <v>3094</v>
      </c>
    </row>
    <row r="141" spans="1:6" x14ac:dyDescent="0.25">
      <c r="A141" s="417" t="s">
        <v>2960</v>
      </c>
      <c r="B141" s="417" t="s">
        <v>2540</v>
      </c>
      <c r="D141" s="510">
        <v>43128</v>
      </c>
      <c r="E141" s="510" t="s">
        <v>2960</v>
      </c>
      <c r="F141" s="418" t="s">
        <v>4706</v>
      </c>
    </row>
    <row r="142" spans="1:6" x14ac:dyDescent="0.25">
      <c r="A142" s="417" t="s">
        <v>3261</v>
      </c>
      <c r="B142" s="417" t="s">
        <v>2540</v>
      </c>
      <c r="D142" s="510">
        <v>43128</v>
      </c>
      <c r="E142" s="510" t="s">
        <v>3261</v>
      </c>
      <c r="F142" s="420" t="s">
        <v>3262</v>
      </c>
    </row>
    <row r="143" spans="1:6" x14ac:dyDescent="0.25">
      <c r="A143" s="417" t="s">
        <v>2990</v>
      </c>
      <c r="B143" s="417" t="s">
        <v>2540</v>
      </c>
      <c r="D143" s="510">
        <v>43136</v>
      </c>
      <c r="E143" s="510" t="s">
        <v>2990</v>
      </c>
      <c r="F143" s="418" t="s">
        <v>2991</v>
      </c>
    </row>
    <row r="144" spans="1:6" x14ac:dyDescent="0.25">
      <c r="A144" s="417" t="s">
        <v>2742</v>
      </c>
      <c r="B144" s="417" t="s">
        <v>2540</v>
      </c>
      <c r="D144" s="510">
        <v>43165</v>
      </c>
      <c r="E144" s="510" t="s">
        <v>2742</v>
      </c>
      <c r="F144" s="418" t="s">
        <v>2743</v>
      </c>
    </row>
    <row r="145" spans="1:6" x14ac:dyDescent="0.25">
      <c r="A145" s="417" t="s">
        <v>2740</v>
      </c>
      <c r="B145" s="417" t="s">
        <v>2540</v>
      </c>
      <c r="D145" s="510">
        <v>43166</v>
      </c>
      <c r="E145" s="510" t="s">
        <v>2740</v>
      </c>
      <c r="F145" s="418" t="s">
        <v>2741</v>
      </c>
    </row>
    <row r="146" spans="1:6" x14ac:dyDescent="0.25">
      <c r="A146" s="417" t="s">
        <v>2595</v>
      </c>
      <c r="B146" s="417" t="s">
        <v>2040</v>
      </c>
      <c r="D146" s="510">
        <v>43176</v>
      </c>
      <c r="E146" s="510" t="s">
        <v>2595</v>
      </c>
      <c r="F146" s="418" t="s">
        <v>2596</v>
      </c>
    </row>
    <row r="147" spans="1:6" x14ac:dyDescent="0.25">
      <c r="A147" s="417" t="s">
        <v>2645</v>
      </c>
      <c r="B147" s="417" t="s">
        <v>2034</v>
      </c>
      <c r="D147" s="510">
        <v>43187</v>
      </c>
      <c r="E147" s="510" t="s">
        <v>2645</v>
      </c>
      <c r="F147" s="418" t="s">
        <v>2646</v>
      </c>
    </row>
    <row r="148" spans="1:6" x14ac:dyDescent="0.25">
      <c r="A148" s="417" t="s">
        <v>3190</v>
      </c>
      <c r="B148" s="417" t="s">
        <v>2549</v>
      </c>
      <c r="D148" s="510">
        <v>43202</v>
      </c>
      <c r="E148" s="510" t="s">
        <v>3190</v>
      </c>
      <c r="F148" s="420" t="s">
        <v>3191</v>
      </c>
    </row>
    <row r="149" spans="1:6" x14ac:dyDescent="0.25">
      <c r="A149" s="417" t="s">
        <v>3315</v>
      </c>
      <c r="B149" s="417" t="s">
        <v>2034</v>
      </c>
      <c r="D149" s="510">
        <v>43205</v>
      </c>
      <c r="E149" s="510" t="s">
        <v>3315</v>
      </c>
      <c r="F149" s="418" t="s">
        <v>3316</v>
      </c>
    </row>
    <row r="150" spans="1:6" x14ac:dyDescent="0.25">
      <c r="A150" s="417" t="s">
        <v>3095</v>
      </c>
      <c r="B150" s="417" t="s">
        <v>2587</v>
      </c>
      <c r="C150" s="417" t="s">
        <v>2450</v>
      </c>
      <c r="D150" s="510">
        <v>43231</v>
      </c>
      <c r="E150" s="510" t="s">
        <v>3095</v>
      </c>
      <c r="F150" s="418" t="s">
        <v>3096</v>
      </c>
    </row>
    <row r="151" spans="1:6" x14ac:dyDescent="0.25">
      <c r="A151" s="417" t="s">
        <v>3097</v>
      </c>
      <c r="B151" s="417" t="s">
        <v>2587</v>
      </c>
      <c r="C151" s="417" t="s">
        <v>2450</v>
      </c>
      <c r="D151" s="510">
        <v>43237</v>
      </c>
      <c r="E151" s="510" t="s">
        <v>3097</v>
      </c>
      <c r="F151" s="418" t="s">
        <v>3098</v>
      </c>
    </row>
    <row r="152" spans="1:6" x14ac:dyDescent="0.25">
      <c r="A152" s="417" t="s">
        <v>3458</v>
      </c>
      <c r="B152" s="417" t="s">
        <v>2540</v>
      </c>
      <c r="D152" s="510">
        <v>43260</v>
      </c>
      <c r="E152" s="510" t="s">
        <v>3458</v>
      </c>
      <c r="F152" s="420" t="s">
        <v>3459</v>
      </c>
    </row>
    <row r="153" spans="1:6" ht="19.5" x14ac:dyDescent="0.45">
      <c r="A153" s="417" t="s">
        <v>2532</v>
      </c>
      <c r="B153" s="417" t="s">
        <v>2040</v>
      </c>
      <c r="D153" s="510">
        <v>43278</v>
      </c>
      <c r="E153" s="510" t="s">
        <v>2532</v>
      </c>
      <c r="F153" s="419" t="s">
        <v>2796</v>
      </c>
    </row>
    <row r="154" spans="1:6" x14ac:dyDescent="0.25">
      <c r="A154" s="417" t="s">
        <v>2531</v>
      </c>
      <c r="B154" s="417" t="s">
        <v>2040</v>
      </c>
      <c r="D154" s="510">
        <v>43286</v>
      </c>
      <c r="E154" s="510" t="s">
        <v>2531</v>
      </c>
      <c r="F154" s="418" t="s">
        <v>2776</v>
      </c>
    </row>
    <row r="155" spans="1:6" x14ac:dyDescent="0.25">
      <c r="A155" s="417" t="s">
        <v>2607</v>
      </c>
      <c r="B155" s="417" t="s">
        <v>2540</v>
      </c>
      <c r="D155" s="510">
        <v>43290</v>
      </c>
      <c r="E155" s="510" t="s">
        <v>2607</v>
      </c>
      <c r="F155" s="418" t="s">
        <v>2608</v>
      </c>
    </row>
    <row r="156" spans="1:6" x14ac:dyDescent="0.25">
      <c r="A156" s="417" t="s">
        <v>2831</v>
      </c>
      <c r="B156" s="417" t="s">
        <v>2034</v>
      </c>
      <c r="D156" s="510">
        <v>43291</v>
      </c>
      <c r="E156" s="510" t="s">
        <v>2831</v>
      </c>
      <c r="F156" s="418" t="s">
        <v>2832</v>
      </c>
    </row>
    <row r="157" spans="1:6" x14ac:dyDescent="0.25">
      <c r="A157" s="417" t="s">
        <v>2925</v>
      </c>
      <c r="B157" s="417" t="s">
        <v>2034</v>
      </c>
      <c r="D157" s="510">
        <v>43291</v>
      </c>
      <c r="E157" s="510" t="s">
        <v>2925</v>
      </c>
      <c r="F157" s="418" t="s">
        <v>2926</v>
      </c>
    </row>
    <row r="158" spans="1:6" x14ac:dyDescent="0.25">
      <c r="A158" s="417" t="s">
        <v>2871</v>
      </c>
      <c r="B158" s="417" t="s">
        <v>2034</v>
      </c>
      <c r="D158" s="510">
        <v>43324</v>
      </c>
      <c r="E158" s="510" t="s">
        <v>2871</v>
      </c>
      <c r="F158" s="418" t="s">
        <v>2872</v>
      </c>
    </row>
    <row r="159" spans="1:6" x14ac:dyDescent="0.25">
      <c r="A159" s="417" t="s">
        <v>2643</v>
      </c>
      <c r="B159" s="417" t="s">
        <v>2540</v>
      </c>
      <c r="D159" s="510">
        <v>43326</v>
      </c>
      <c r="E159" s="510" t="s">
        <v>2643</v>
      </c>
      <c r="F159" s="418" t="s">
        <v>2644</v>
      </c>
    </row>
    <row r="160" spans="1:6" x14ac:dyDescent="0.25">
      <c r="A160" s="417" t="s">
        <v>3026</v>
      </c>
      <c r="B160" s="417" t="s">
        <v>2540</v>
      </c>
      <c r="D160" s="510">
        <v>43389</v>
      </c>
      <c r="E160" s="510" t="s">
        <v>3026</v>
      </c>
      <c r="F160" s="420" t="s">
        <v>3027</v>
      </c>
    </row>
    <row r="161" spans="1:6" x14ac:dyDescent="0.25">
      <c r="A161" s="417" t="s">
        <v>2697</v>
      </c>
      <c r="B161" s="417" t="s">
        <v>2540</v>
      </c>
      <c r="D161" s="510">
        <v>43419</v>
      </c>
      <c r="E161" s="510" t="s">
        <v>2697</v>
      </c>
      <c r="F161" s="418" t="s">
        <v>2698</v>
      </c>
    </row>
    <row r="162" spans="1:6" x14ac:dyDescent="0.25">
      <c r="A162" s="417" t="s">
        <v>2811</v>
      </c>
      <c r="B162" s="417" t="s">
        <v>2040</v>
      </c>
      <c r="D162" s="510">
        <v>43427</v>
      </c>
      <c r="E162" s="510" t="s">
        <v>2811</v>
      </c>
      <c r="F162" s="418" t="s">
        <v>2812</v>
      </c>
    </row>
    <row r="163" spans="1:6" ht="19.5" x14ac:dyDescent="0.45">
      <c r="A163" s="417" t="s">
        <v>2792</v>
      </c>
      <c r="B163" s="417" t="s">
        <v>2549</v>
      </c>
      <c r="D163" s="510">
        <v>43467</v>
      </c>
      <c r="E163" s="510" t="s">
        <v>2792</v>
      </c>
      <c r="F163" s="419" t="s">
        <v>2793</v>
      </c>
    </row>
    <row r="164" spans="1:6" x14ac:dyDescent="0.25">
      <c r="A164" s="417" t="s">
        <v>2597</v>
      </c>
      <c r="B164" s="417" t="s">
        <v>2540</v>
      </c>
      <c r="D164" s="510">
        <v>43469</v>
      </c>
      <c r="E164" s="510" t="s">
        <v>2597</v>
      </c>
      <c r="F164" s="418" t="s">
        <v>2598</v>
      </c>
    </row>
    <row r="165" spans="1:6" x14ac:dyDescent="0.25">
      <c r="A165" s="417" t="s">
        <v>3576</v>
      </c>
      <c r="B165" s="417" t="s">
        <v>2034</v>
      </c>
      <c r="D165" s="510">
        <v>43490</v>
      </c>
      <c r="E165" s="510" t="s">
        <v>3576</v>
      </c>
      <c r="F165" s="420" t="s">
        <v>3577</v>
      </c>
    </row>
    <row r="166" spans="1:6" x14ac:dyDescent="0.25">
      <c r="A166" s="417" t="s">
        <v>2530</v>
      </c>
      <c r="B166" s="417" t="s">
        <v>2040</v>
      </c>
      <c r="D166" s="510">
        <v>43548</v>
      </c>
      <c r="E166" s="510" t="s">
        <v>2530</v>
      </c>
      <c r="F166" s="418" t="s">
        <v>2777</v>
      </c>
    </row>
    <row r="167" spans="1:6" x14ac:dyDescent="0.25">
      <c r="A167" s="417" t="s">
        <v>2988</v>
      </c>
      <c r="B167" s="417" t="s">
        <v>2040</v>
      </c>
      <c r="D167" s="510">
        <v>43672</v>
      </c>
      <c r="E167" s="510" t="s">
        <v>2988</v>
      </c>
      <c r="F167" s="418" t="s">
        <v>2989</v>
      </c>
    </row>
    <row r="168" spans="1:6" x14ac:dyDescent="0.25">
      <c r="A168" s="417" t="s">
        <v>2803</v>
      </c>
      <c r="B168" s="417" t="s">
        <v>2034</v>
      </c>
      <c r="C168" s="417" t="s">
        <v>2450</v>
      </c>
      <c r="D168" s="510">
        <v>43681</v>
      </c>
      <c r="E168" s="510" t="s">
        <v>2803</v>
      </c>
      <c r="F168" s="418" t="s">
        <v>2804</v>
      </c>
    </row>
    <row r="169" spans="1:6" x14ac:dyDescent="0.25">
      <c r="A169" s="417" t="s">
        <v>3498</v>
      </c>
      <c r="B169" s="417" t="s">
        <v>2540</v>
      </c>
      <c r="D169" s="510">
        <v>43681</v>
      </c>
      <c r="E169" s="510" t="s">
        <v>3498</v>
      </c>
      <c r="F169" s="418" t="s">
        <v>3499</v>
      </c>
    </row>
    <row r="170" spans="1:6" x14ac:dyDescent="0.25">
      <c r="A170" s="417" t="s">
        <v>2805</v>
      </c>
      <c r="B170" s="417" t="s">
        <v>2540</v>
      </c>
      <c r="D170" s="510">
        <v>43683</v>
      </c>
      <c r="E170" s="510" t="s">
        <v>2805</v>
      </c>
      <c r="F170" s="418" t="s">
        <v>2806</v>
      </c>
    </row>
    <row r="171" spans="1:6" x14ac:dyDescent="0.25">
      <c r="A171" s="417" t="s">
        <v>3500</v>
      </c>
      <c r="B171" s="417" t="s">
        <v>2540</v>
      </c>
      <c r="D171" s="510">
        <v>43683</v>
      </c>
      <c r="E171" s="510" t="s">
        <v>3500</v>
      </c>
      <c r="F171" s="418" t="s">
        <v>3501</v>
      </c>
    </row>
    <row r="172" spans="1:6" ht="19.5" x14ac:dyDescent="0.45">
      <c r="A172" s="417" t="s">
        <v>2797</v>
      </c>
      <c r="B172" s="417" t="s">
        <v>2540</v>
      </c>
      <c r="D172" s="510">
        <v>43684</v>
      </c>
      <c r="E172" s="510" t="s">
        <v>2797</v>
      </c>
      <c r="F172" s="419" t="s">
        <v>2798</v>
      </c>
    </row>
    <row r="173" spans="1:6" ht="19.5" x14ac:dyDescent="0.45">
      <c r="A173" s="417" t="s">
        <v>2794</v>
      </c>
      <c r="B173" s="417" t="s">
        <v>2040</v>
      </c>
      <c r="D173" s="510">
        <v>43726</v>
      </c>
      <c r="E173" s="510" t="s">
        <v>2794</v>
      </c>
      <c r="F173" s="419" t="s">
        <v>2795</v>
      </c>
    </row>
    <row r="174" spans="1:6" x14ac:dyDescent="0.25">
      <c r="A174" s="417" t="s">
        <v>3099</v>
      </c>
      <c r="B174" s="417" t="s">
        <v>2040</v>
      </c>
      <c r="D174" s="510">
        <v>43726</v>
      </c>
      <c r="E174" s="510" t="s">
        <v>3099</v>
      </c>
      <c r="F174" s="418" t="s">
        <v>3100</v>
      </c>
    </row>
    <row r="175" spans="1:6" x14ac:dyDescent="0.25">
      <c r="A175" s="417" t="s">
        <v>2641</v>
      </c>
      <c r="B175" s="417" t="s">
        <v>2587</v>
      </c>
      <c r="D175" s="510">
        <v>43750</v>
      </c>
      <c r="E175" s="510" t="s">
        <v>2641</v>
      </c>
      <c r="F175" s="418" t="s">
        <v>2642</v>
      </c>
    </row>
    <row r="176" spans="1:6" x14ac:dyDescent="0.25">
      <c r="A176" s="417" t="s">
        <v>2719</v>
      </c>
      <c r="B176" s="417" t="s">
        <v>2034</v>
      </c>
      <c r="D176" s="510">
        <v>43786</v>
      </c>
      <c r="E176" s="510" t="s">
        <v>2719</v>
      </c>
      <c r="F176" s="418" t="s">
        <v>2720</v>
      </c>
    </row>
    <row r="177" spans="1:6" x14ac:dyDescent="0.25">
      <c r="A177" s="417" t="s">
        <v>2992</v>
      </c>
      <c r="B177" s="417" t="s">
        <v>2034</v>
      </c>
      <c r="D177" s="510">
        <v>43786</v>
      </c>
      <c r="E177" s="510" t="s">
        <v>2992</v>
      </c>
      <c r="F177" s="418" t="s">
        <v>2993</v>
      </c>
    </row>
    <row r="178" spans="1:6" x14ac:dyDescent="0.25">
      <c r="A178" s="417" t="s">
        <v>2639</v>
      </c>
      <c r="B178" s="417" t="s">
        <v>2540</v>
      </c>
      <c r="D178" s="510">
        <v>43826</v>
      </c>
      <c r="E178" s="510" t="s">
        <v>2639</v>
      </c>
      <c r="F178" s="418" t="s">
        <v>2640</v>
      </c>
    </row>
    <row r="179" spans="1:6" ht="19.5" x14ac:dyDescent="0.45">
      <c r="A179" s="417" t="s">
        <v>2784</v>
      </c>
      <c r="B179" s="417" t="s">
        <v>2540</v>
      </c>
      <c r="D179" s="510">
        <v>43906</v>
      </c>
      <c r="E179" s="510" t="s">
        <v>2784</v>
      </c>
      <c r="F179" s="419" t="s">
        <v>2785</v>
      </c>
    </row>
    <row r="180" spans="1:6" x14ac:dyDescent="0.25">
      <c r="A180" s="417" t="s">
        <v>2734</v>
      </c>
      <c r="B180" s="417" t="s">
        <v>2540</v>
      </c>
      <c r="D180" s="510">
        <v>44027</v>
      </c>
      <c r="E180" s="510" t="s">
        <v>2734</v>
      </c>
      <c r="F180" s="418" t="s">
        <v>2735</v>
      </c>
    </row>
    <row r="181" spans="1:6" x14ac:dyDescent="0.25">
      <c r="A181" s="417" t="s">
        <v>2772</v>
      </c>
      <c r="B181" s="417" t="s">
        <v>2540</v>
      </c>
      <c r="D181" s="510">
        <v>44027</v>
      </c>
      <c r="E181" s="510" t="s">
        <v>2772</v>
      </c>
      <c r="F181" s="418" t="s">
        <v>2773</v>
      </c>
    </row>
    <row r="182" spans="1:6" x14ac:dyDescent="0.25">
      <c r="A182" s="417" t="s">
        <v>2746</v>
      </c>
      <c r="B182" s="417" t="s">
        <v>2540</v>
      </c>
      <c r="D182" s="510">
        <v>44030</v>
      </c>
      <c r="E182" s="510" t="s">
        <v>2746</v>
      </c>
      <c r="F182" s="418" t="s">
        <v>2747</v>
      </c>
    </row>
    <row r="183" spans="1:6" x14ac:dyDescent="0.25">
      <c r="A183" s="417" t="s">
        <v>2715</v>
      </c>
      <c r="B183" s="417" t="s">
        <v>2540</v>
      </c>
      <c r="D183" s="510">
        <v>44046</v>
      </c>
      <c r="E183" s="510" t="s">
        <v>2715</v>
      </c>
      <c r="F183" s="418" t="s">
        <v>2716</v>
      </c>
    </row>
    <row r="184" spans="1:6" x14ac:dyDescent="0.25">
      <c r="A184" s="417" t="s">
        <v>2732</v>
      </c>
      <c r="B184" s="417" t="s">
        <v>2540</v>
      </c>
      <c r="D184" s="510">
        <v>44047</v>
      </c>
      <c r="E184" s="510" t="s">
        <v>2732</v>
      </c>
      <c r="F184" s="418" t="s">
        <v>2733</v>
      </c>
    </row>
    <row r="185" spans="1:6" x14ac:dyDescent="0.25">
      <c r="A185" s="417" t="s">
        <v>2689</v>
      </c>
      <c r="B185" s="417" t="s">
        <v>2540</v>
      </c>
      <c r="D185" s="510">
        <v>44066</v>
      </c>
      <c r="E185" s="510" t="s">
        <v>2689</v>
      </c>
      <c r="F185" s="418" t="s">
        <v>2690</v>
      </c>
    </row>
    <row r="186" spans="1:6" x14ac:dyDescent="0.25">
      <c r="A186" s="417" t="s">
        <v>2699</v>
      </c>
      <c r="B186" s="417" t="s">
        <v>2540</v>
      </c>
      <c r="D186" s="510">
        <v>44086</v>
      </c>
      <c r="E186" s="510" t="s">
        <v>2699</v>
      </c>
      <c r="F186" s="418" t="s">
        <v>2700</v>
      </c>
    </row>
    <row r="187" spans="1:6" x14ac:dyDescent="0.25">
      <c r="A187" s="417" t="s">
        <v>3166</v>
      </c>
      <c r="B187" s="417" t="s">
        <v>2540</v>
      </c>
      <c r="D187" s="510">
        <v>44188</v>
      </c>
      <c r="E187" s="510" t="s">
        <v>3166</v>
      </c>
      <c r="F187" s="418" t="s">
        <v>3167</v>
      </c>
    </row>
    <row r="188" spans="1:6" x14ac:dyDescent="0.25">
      <c r="A188" s="417" t="s">
        <v>3295</v>
      </c>
      <c r="B188" s="417" t="s">
        <v>2540</v>
      </c>
      <c r="D188" s="510">
        <v>44188</v>
      </c>
      <c r="E188" s="510" t="s">
        <v>3295</v>
      </c>
      <c r="F188" s="420" t="s">
        <v>3296</v>
      </c>
    </row>
    <row r="189" spans="1:6" x14ac:dyDescent="0.25">
      <c r="A189" s="417" t="s">
        <v>2730</v>
      </c>
      <c r="B189" s="417" t="s">
        <v>2540</v>
      </c>
      <c r="D189" s="510">
        <v>44247</v>
      </c>
      <c r="E189" s="510" t="s">
        <v>2730</v>
      </c>
      <c r="F189" s="418" t="s">
        <v>2731</v>
      </c>
    </row>
    <row r="190" spans="1:6" x14ac:dyDescent="0.25">
      <c r="A190" s="417" t="s">
        <v>2807</v>
      </c>
      <c r="B190" s="417" t="s">
        <v>2540</v>
      </c>
      <c r="D190" s="510">
        <v>44248</v>
      </c>
      <c r="E190" s="510" t="s">
        <v>2807</v>
      </c>
      <c r="F190" s="418" t="s">
        <v>2808</v>
      </c>
    </row>
    <row r="191" spans="1:6" x14ac:dyDescent="0.25">
      <c r="A191" s="417" t="s">
        <v>2728</v>
      </c>
      <c r="B191" s="417" t="s">
        <v>2540</v>
      </c>
      <c r="D191" s="510">
        <v>44266</v>
      </c>
      <c r="E191" s="510" t="s">
        <v>2728</v>
      </c>
      <c r="F191" s="418" t="s">
        <v>2729</v>
      </c>
    </row>
    <row r="192" spans="1:6" x14ac:dyDescent="0.25">
      <c r="A192" s="417" t="s">
        <v>2770</v>
      </c>
      <c r="B192" s="417" t="s">
        <v>2540</v>
      </c>
      <c r="D192" s="510">
        <v>44266</v>
      </c>
      <c r="E192" s="510" t="s">
        <v>2770</v>
      </c>
      <c r="F192" s="418" t="s">
        <v>2771</v>
      </c>
    </row>
    <row r="193" spans="1:6" x14ac:dyDescent="0.25">
      <c r="A193" s="417" t="s">
        <v>3331</v>
      </c>
      <c r="B193" s="417" t="s">
        <v>2540</v>
      </c>
      <c r="D193" s="510">
        <v>44267</v>
      </c>
      <c r="E193" s="510" t="s">
        <v>3331</v>
      </c>
      <c r="F193" s="420" t="s">
        <v>3332</v>
      </c>
    </row>
    <row r="194" spans="1:6" x14ac:dyDescent="0.25">
      <c r="A194" s="417" t="s">
        <v>2817</v>
      </c>
      <c r="B194" s="417" t="s">
        <v>2540</v>
      </c>
      <c r="D194" s="510">
        <v>44294</v>
      </c>
      <c r="E194" s="510" t="s">
        <v>2817</v>
      </c>
      <c r="F194" s="418" t="s">
        <v>2818</v>
      </c>
    </row>
    <row r="195" spans="1:6" x14ac:dyDescent="0.25">
      <c r="A195" s="417" t="s">
        <v>2901</v>
      </c>
      <c r="B195" s="417" t="s">
        <v>2540</v>
      </c>
      <c r="D195" s="510">
        <v>44294</v>
      </c>
      <c r="E195" s="510" t="s">
        <v>2901</v>
      </c>
      <c r="F195" s="419" t="s">
        <v>4701</v>
      </c>
    </row>
    <row r="196" spans="1:6" x14ac:dyDescent="0.25">
      <c r="A196" s="417" t="s">
        <v>2717</v>
      </c>
      <c r="B196" s="417" t="s">
        <v>2540</v>
      </c>
      <c r="D196" s="510">
        <v>44426</v>
      </c>
      <c r="E196" s="510" t="s">
        <v>2717</v>
      </c>
      <c r="F196" s="418" t="s">
        <v>2718</v>
      </c>
    </row>
    <row r="197" spans="1:6" x14ac:dyDescent="0.25">
      <c r="A197" s="417" t="s">
        <v>2768</v>
      </c>
      <c r="B197" s="417" t="s">
        <v>2549</v>
      </c>
      <c r="D197" s="510">
        <v>44446</v>
      </c>
      <c r="E197" s="510" t="s">
        <v>2768</v>
      </c>
      <c r="F197" s="418" t="s">
        <v>2769</v>
      </c>
    </row>
    <row r="198" spans="1:6" x14ac:dyDescent="0.25">
      <c r="A198" s="417" t="s">
        <v>2736</v>
      </c>
      <c r="B198" s="417" t="s">
        <v>2540</v>
      </c>
      <c r="D198" s="510">
        <v>44592</v>
      </c>
      <c r="E198" s="510" t="s">
        <v>2736</v>
      </c>
      <c r="F198" s="418" t="s">
        <v>2737</v>
      </c>
    </row>
    <row r="199" spans="1:6" x14ac:dyDescent="0.25">
      <c r="A199" s="417" t="s">
        <v>3018</v>
      </c>
      <c r="B199" s="417" t="s">
        <v>2540</v>
      </c>
      <c r="D199" s="510">
        <v>44595</v>
      </c>
      <c r="E199" s="510" t="s">
        <v>3018</v>
      </c>
      <c r="F199" s="418" t="s">
        <v>3019</v>
      </c>
    </row>
    <row r="200" spans="1:6" x14ac:dyDescent="0.25">
      <c r="A200" s="417" t="s">
        <v>3198</v>
      </c>
      <c r="B200" s="417" t="s">
        <v>2540</v>
      </c>
      <c r="D200" s="510">
        <v>44595</v>
      </c>
      <c r="E200" s="510" t="s">
        <v>3198</v>
      </c>
      <c r="F200" s="420" t="s">
        <v>3199</v>
      </c>
    </row>
    <row r="201" spans="1:6" x14ac:dyDescent="0.25">
      <c r="A201" s="417" t="s">
        <v>2918</v>
      </c>
      <c r="B201" s="417" t="s">
        <v>2540</v>
      </c>
      <c r="D201" s="510">
        <v>44669</v>
      </c>
      <c r="E201" s="510" t="s">
        <v>2918</v>
      </c>
      <c r="F201" s="418" t="s">
        <v>2919</v>
      </c>
    </row>
    <row r="202" spans="1:6" x14ac:dyDescent="0.25">
      <c r="A202" s="417" t="s">
        <v>3136</v>
      </c>
      <c r="B202" s="417" t="s">
        <v>2540</v>
      </c>
      <c r="D202" s="510">
        <v>44669</v>
      </c>
      <c r="E202" s="510" t="s">
        <v>3136</v>
      </c>
      <c r="F202" s="418" t="s">
        <v>3137</v>
      </c>
    </row>
    <row r="203" spans="1:6" x14ac:dyDescent="0.25">
      <c r="A203" s="417" t="s">
        <v>3136</v>
      </c>
      <c r="B203" s="417" t="s">
        <v>2540</v>
      </c>
      <c r="D203" s="510">
        <v>44669</v>
      </c>
      <c r="E203" s="510" t="s">
        <v>3136</v>
      </c>
      <c r="F203" s="418" t="s">
        <v>3137</v>
      </c>
    </row>
    <row r="204" spans="1:6" x14ac:dyDescent="0.25">
      <c r="A204" s="417" t="s">
        <v>3154</v>
      </c>
      <c r="B204" s="417" t="s">
        <v>2549</v>
      </c>
      <c r="D204" s="510">
        <v>44671</v>
      </c>
      <c r="E204" s="510" t="s">
        <v>3154</v>
      </c>
      <c r="F204" s="418" t="s">
        <v>3155</v>
      </c>
    </row>
    <row r="205" spans="1:6" x14ac:dyDescent="0.25">
      <c r="A205" s="417" t="s">
        <v>3154</v>
      </c>
      <c r="B205" s="417" t="s">
        <v>2549</v>
      </c>
      <c r="D205" s="510">
        <v>44671</v>
      </c>
      <c r="E205" s="510" t="s">
        <v>3154</v>
      </c>
      <c r="F205" s="418" t="s">
        <v>3155</v>
      </c>
    </row>
    <row r="206" spans="1:6" x14ac:dyDescent="0.25">
      <c r="A206" s="417" t="s">
        <v>2748</v>
      </c>
      <c r="B206" s="417" t="s">
        <v>2549</v>
      </c>
      <c r="D206" s="510">
        <v>44712</v>
      </c>
      <c r="E206" s="510" t="s">
        <v>2748</v>
      </c>
      <c r="F206" s="418" t="s">
        <v>2749</v>
      </c>
    </row>
    <row r="207" spans="1:6" x14ac:dyDescent="0.25">
      <c r="A207" s="417" t="s">
        <v>3289</v>
      </c>
      <c r="B207" s="417" t="s">
        <v>2540</v>
      </c>
      <c r="D207" s="510">
        <v>44716</v>
      </c>
      <c r="E207" s="510" t="s">
        <v>3289</v>
      </c>
      <c r="F207" s="420" t="s">
        <v>3290</v>
      </c>
    </row>
    <row r="208" spans="1:6" x14ac:dyDescent="0.25">
      <c r="A208" s="417" t="s">
        <v>3588</v>
      </c>
      <c r="B208" s="417" t="s">
        <v>2540</v>
      </c>
      <c r="D208" s="510">
        <v>44716</v>
      </c>
      <c r="E208" s="510" t="s">
        <v>3588</v>
      </c>
      <c r="F208" s="420" t="s">
        <v>3589</v>
      </c>
    </row>
    <row r="209" spans="1:6" x14ac:dyDescent="0.25">
      <c r="A209" s="417" t="s">
        <v>3367</v>
      </c>
      <c r="B209" s="417" t="s">
        <v>2034</v>
      </c>
      <c r="D209" s="510">
        <v>44749</v>
      </c>
      <c r="E209" s="510" t="s">
        <v>3367</v>
      </c>
      <c r="F209" s="420" t="s">
        <v>3368</v>
      </c>
    </row>
    <row r="210" spans="1:6" x14ac:dyDescent="0.25">
      <c r="A210" s="417" t="s">
        <v>3556</v>
      </c>
      <c r="B210" s="417" t="s">
        <v>2034</v>
      </c>
      <c r="D210" s="510">
        <v>44749</v>
      </c>
      <c r="E210" s="510" t="s">
        <v>3556</v>
      </c>
      <c r="F210" s="418" t="s">
        <v>3557</v>
      </c>
    </row>
    <row r="211" spans="1:6" x14ac:dyDescent="0.25">
      <c r="A211" s="417" t="s">
        <v>3130</v>
      </c>
      <c r="B211" s="417" t="s">
        <v>2540</v>
      </c>
      <c r="D211" s="510">
        <v>44775</v>
      </c>
      <c r="E211" s="510" t="s">
        <v>3130</v>
      </c>
      <c r="F211" s="418" t="s">
        <v>3131</v>
      </c>
    </row>
    <row r="212" spans="1:6" x14ac:dyDescent="0.25">
      <c r="A212" s="417" t="s">
        <v>3130</v>
      </c>
      <c r="B212" s="417" t="s">
        <v>2540</v>
      </c>
      <c r="D212" s="510">
        <v>44775</v>
      </c>
      <c r="E212" s="510" t="s">
        <v>3130</v>
      </c>
      <c r="F212" s="418" t="s">
        <v>3131</v>
      </c>
    </row>
    <row r="213" spans="1:6" x14ac:dyDescent="0.25">
      <c r="A213" s="417" t="s">
        <v>3313</v>
      </c>
      <c r="B213" s="417" t="s">
        <v>2540</v>
      </c>
      <c r="D213" s="510">
        <v>44776</v>
      </c>
      <c r="E213" s="510" t="s">
        <v>3313</v>
      </c>
      <c r="F213" s="418" t="s">
        <v>3314</v>
      </c>
    </row>
    <row r="214" spans="1:6" x14ac:dyDescent="0.25">
      <c r="A214" s="417" t="s">
        <v>2534</v>
      </c>
      <c r="B214" s="417" t="s">
        <v>2040</v>
      </c>
      <c r="D214" s="510">
        <v>44836</v>
      </c>
      <c r="E214" s="510" t="s">
        <v>2534</v>
      </c>
      <c r="F214" s="418" t="s">
        <v>2983</v>
      </c>
    </row>
    <row r="215" spans="1:6" x14ac:dyDescent="0.25">
      <c r="A215" s="417" t="s">
        <v>3071</v>
      </c>
      <c r="B215" s="417" t="s">
        <v>2540</v>
      </c>
      <c r="D215" s="510">
        <v>44887</v>
      </c>
      <c r="E215" s="510" t="s">
        <v>3071</v>
      </c>
      <c r="F215" s="418" t="s">
        <v>3072</v>
      </c>
    </row>
    <row r="216" spans="1:6" x14ac:dyDescent="0.25">
      <c r="A216" s="417" t="s">
        <v>2902</v>
      </c>
      <c r="D216" s="510">
        <v>44975</v>
      </c>
      <c r="E216" s="510" t="s">
        <v>2902</v>
      </c>
      <c r="F216" s="419" t="s">
        <v>4702</v>
      </c>
    </row>
    <row r="217" spans="1:6" x14ac:dyDescent="0.25">
      <c r="A217" s="417" t="s">
        <v>2939</v>
      </c>
      <c r="B217" s="417" t="s">
        <v>2540</v>
      </c>
      <c r="D217" s="510">
        <v>44978</v>
      </c>
      <c r="E217" s="510" t="s">
        <v>2939</v>
      </c>
      <c r="F217" s="418" t="s">
        <v>2940</v>
      </c>
    </row>
    <row r="218" spans="1:6" x14ac:dyDescent="0.25">
      <c r="A218" s="417" t="s">
        <v>2851</v>
      </c>
      <c r="B218" s="417" t="s">
        <v>2034</v>
      </c>
      <c r="D218" s="510">
        <v>44984</v>
      </c>
      <c r="E218" s="510" t="s">
        <v>2851</v>
      </c>
      <c r="F218" s="418" t="s">
        <v>2852</v>
      </c>
    </row>
    <row r="219" spans="1:6" x14ac:dyDescent="0.25">
      <c r="A219" s="417" t="s">
        <v>2947</v>
      </c>
      <c r="B219" s="417" t="s">
        <v>2034</v>
      </c>
      <c r="D219" s="510">
        <v>44987</v>
      </c>
      <c r="E219" s="510" t="s">
        <v>2947</v>
      </c>
      <c r="F219" s="418" t="s">
        <v>2948</v>
      </c>
    </row>
    <row r="220" spans="1:6" x14ac:dyDescent="0.25">
      <c r="A220" s="417" t="s">
        <v>2905</v>
      </c>
      <c r="B220" s="417" t="s">
        <v>2034</v>
      </c>
      <c r="D220" s="510">
        <v>45066</v>
      </c>
      <c r="E220" s="510" t="s">
        <v>2905</v>
      </c>
      <c r="F220" s="418" t="s">
        <v>2906</v>
      </c>
    </row>
    <row r="221" spans="1:6" x14ac:dyDescent="0.25">
      <c r="A221" s="417" t="s">
        <v>2859</v>
      </c>
      <c r="B221" s="417" t="s">
        <v>2034</v>
      </c>
      <c r="D221" s="510">
        <v>45067</v>
      </c>
      <c r="E221" s="510" t="s">
        <v>2859</v>
      </c>
      <c r="F221" s="418" t="s">
        <v>2860</v>
      </c>
    </row>
    <row r="222" spans="1:6" x14ac:dyDescent="0.25">
      <c r="A222" s="417" t="s">
        <v>2778</v>
      </c>
      <c r="B222" s="417" t="s">
        <v>2540</v>
      </c>
      <c r="D222" s="510">
        <v>45086</v>
      </c>
      <c r="E222" s="510" t="s">
        <v>2778</v>
      </c>
      <c r="F222" s="418" t="s">
        <v>2779</v>
      </c>
    </row>
    <row r="223" spans="1:6" x14ac:dyDescent="0.25">
      <c r="A223" s="417" t="s">
        <v>2879</v>
      </c>
      <c r="B223" s="417" t="s">
        <v>2549</v>
      </c>
      <c r="D223" s="510">
        <v>45106</v>
      </c>
      <c r="E223" s="510" t="s">
        <v>2879</v>
      </c>
      <c r="F223" s="418" t="s">
        <v>2880</v>
      </c>
    </row>
    <row r="224" spans="1:6" x14ac:dyDescent="0.25">
      <c r="A224" s="417" t="s">
        <v>2780</v>
      </c>
      <c r="B224" s="417" t="s">
        <v>2540</v>
      </c>
      <c r="D224" s="510">
        <v>45115</v>
      </c>
      <c r="E224" s="510" t="s">
        <v>2780</v>
      </c>
      <c r="F224" s="419" t="s">
        <v>2781</v>
      </c>
    </row>
    <row r="225" spans="1:6" x14ac:dyDescent="0.25">
      <c r="A225" s="417" t="s">
        <v>2895</v>
      </c>
      <c r="B225" s="417" t="s">
        <v>2540</v>
      </c>
      <c r="D225" s="510">
        <v>45171</v>
      </c>
      <c r="E225" s="510" t="s">
        <v>2895</v>
      </c>
      <c r="F225" s="418" t="s">
        <v>2896</v>
      </c>
    </row>
    <row r="226" spans="1:6" ht="19.5" x14ac:dyDescent="0.45">
      <c r="A226" s="417" t="s">
        <v>2782</v>
      </c>
      <c r="B226" s="417" t="s">
        <v>2540</v>
      </c>
      <c r="D226" s="510">
        <v>45269</v>
      </c>
      <c r="E226" s="510" t="s">
        <v>2782</v>
      </c>
      <c r="F226" s="419" t="s">
        <v>2783</v>
      </c>
    </row>
    <row r="227" spans="1:6" x14ac:dyDescent="0.25">
      <c r="A227" s="417" t="s">
        <v>2941</v>
      </c>
      <c r="B227" s="417" t="s">
        <v>2587</v>
      </c>
      <c r="D227" s="510">
        <v>45306</v>
      </c>
      <c r="E227" s="510" t="s">
        <v>2941</v>
      </c>
      <c r="F227" s="418" t="s">
        <v>2942</v>
      </c>
    </row>
    <row r="228" spans="1:6" x14ac:dyDescent="0.25">
      <c r="A228" s="417" t="s">
        <v>3024</v>
      </c>
      <c r="B228" s="417" t="s">
        <v>2540</v>
      </c>
      <c r="D228" s="510">
        <v>45330</v>
      </c>
      <c r="E228" s="510" t="s">
        <v>3024</v>
      </c>
      <c r="F228" s="420" t="s">
        <v>3025</v>
      </c>
    </row>
    <row r="229" spans="1:6" x14ac:dyDescent="0.25">
      <c r="A229" s="417" t="s">
        <v>2869</v>
      </c>
      <c r="B229" s="417" t="s">
        <v>2540</v>
      </c>
      <c r="D229" s="510">
        <v>45392</v>
      </c>
      <c r="E229" s="510" t="s">
        <v>2869</v>
      </c>
      <c r="F229" s="418" t="s">
        <v>2870</v>
      </c>
    </row>
    <row r="230" spans="1:6" x14ac:dyDescent="0.25">
      <c r="A230" s="417" t="s">
        <v>3054</v>
      </c>
      <c r="B230" s="417" t="s">
        <v>2540</v>
      </c>
      <c r="D230" s="510">
        <v>45392</v>
      </c>
      <c r="E230" s="510" t="s">
        <v>3054</v>
      </c>
      <c r="F230" s="420" t="s">
        <v>3055</v>
      </c>
    </row>
    <row r="231" spans="1:6" x14ac:dyDescent="0.25">
      <c r="A231" s="417" t="s">
        <v>2813</v>
      </c>
      <c r="B231" s="417" t="s">
        <v>2540</v>
      </c>
      <c r="D231" s="510">
        <v>45592</v>
      </c>
      <c r="E231" s="510" t="s">
        <v>2813</v>
      </c>
      <c r="F231" s="418" t="s">
        <v>2814</v>
      </c>
    </row>
    <row r="232" spans="1:6" x14ac:dyDescent="0.25">
      <c r="A232" s="417" t="s">
        <v>2833</v>
      </c>
      <c r="B232" s="417" t="s">
        <v>2540</v>
      </c>
      <c r="D232" s="510">
        <v>45611</v>
      </c>
      <c r="E232" s="510" t="s">
        <v>2833</v>
      </c>
      <c r="F232" s="418" t="s">
        <v>2834</v>
      </c>
    </row>
    <row r="233" spans="1:6" x14ac:dyDescent="0.25">
      <c r="A233" s="417" t="s">
        <v>2786</v>
      </c>
      <c r="B233" s="417" t="s">
        <v>2540</v>
      </c>
      <c r="D233" s="510">
        <v>45630</v>
      </c>
      <c r="E233" s="510" t="s">
        <v>2786</v>
      </c>
      <c r="F233" s="419" t="s">
        <v>2787</v>
      </c>
    </row>
    <row r="234" spans="1:6" x14ac:dyDescent="0.25">
      <c r="A234" s="417" t="s">
        <v>2801</v>
      </c>
      <c r="B234" s="417" t="s">
        <v>2540</v>
      </c>
      <c r="D234" s="510">
        <v>45670</v>
      </c>
      <c r="E234" s="510" t="s">
        <v>2801</v>
      </c>
      <c r="F234" s="418" t="s">
        <v>2802</v>
      </c>
    </row>
    <row r="235" spans="1:6" x14ac:dyDescent="0.25">
      <c r="A235" s="417" t="s">
        <v>2861</v>
      </c>
      <c r="B235" s="417" t="s">
        <v>2540</v>
      </c>
      <c r="D235" s="510">
        <v>45733</v>
      </c>
      <c r="E235" s="510" t="s">
        <v>2861</v>
      </c>
      <c r="F235" s="418" t="s">
        <v>2862</v>
      </c>
    </row>
    <row r="236" spans="1:6" x14ac:dyDescent="0.25">
      <c r="A236" s="417" t="s">
        <v>2949</v>
      </c>
      <c r="B236" s="417" t="s">
        <v>2034</v>
      </c>
      <c r="D236" s="510">
        <v>45795</v>
      </c>
      <c r="E236" s="510" t="s">
        <v>2949</v>
      </c>
      <c r="F236" s="418" t="s">
        <v>2950</v>
      </c>
    </row>
    <row r="237" spans="1:6" x14ac:dyDescent="0.25">
      <c r="A237" s="417" t="s">
        <v>2863</v>
      </c>
      <c r="B237" s="417" t="s">
        <v>2540</v>
      </c>
      <c r="D237" s="510">
        <v>45802</v>
      </c>
      <c r="E237" s="510" t="s">
        <v>2863</v>
      </c>
      <c r="F237" s="418" t="s">
        <v>2864</v>
      </c>
    </row>
    <row r="238" spans="1:6" x14ac:dyDescent="0.25">
      <c r="A238" s="417" t="s">
        <v>2912</v>
      </c>
      <c r="B238" s="417" t="s">
        <v>2540</v>
      </c>
      <c r="D238" s="510">
        <v>45802</v>
      </c>
      <c r="E238" s="510" t="s">
        <v>2912</v>
      </c>
      <c r="F238" s="418" t="s">
        <v>2913</v>
      </c>
    </row>
    <row r="239" spans="1:6" x14ac:dyDescent="0.25">
      <c r="A239" s="417" t="s">
        <v>2819</v>
      </c>
      <c r="B239" s="417" t="s">
        <v>2540</v>
      </c>
      <c r="D239" s="510">
        <v>45816</v>
      </c>
      <c r="E239" s="510" t="s">
        <v>2819</v>
      </c>
      <c r="F239" s="418" t="s">
        <v>2820</v>
      </c>
    </row>
    <row r="240" spans="1:6" x14ac:dyDescent="0.25">
      <c r="A240" s="417" t="s">
        <v>3446</v>
      </c>
      <c r="B240" s="417" t="s">
        <v>2540</v>
      </c>
      <c r="D240" s="510">
        <v>45816</v>
      </c>
      <c r="E240" s="510" t="s">
        <v>3446</v>
      </c>
      <c r="F240" s="420" t="s">
        <v>3447</v>
      </c>
    </row>
    <row r="241" spans="1:6" x14ac:dyDescent="0.25">
      <c r="A241" s="417" t="s">
        <v>2821</v>
      </c>
      <c r="B241" s="417" t="s">
        <v>2540</v>
      </c>
      <c r="D241" s="510">
        <v>45876</v>
      </c>
      <c r="E241" s="510" t="s">
        <v>2821</v>
      </c>
      <c r="F241" s="418" t="s">
        <v>2822</v>
      </c>
    </row>
    <row r="242" spans="1:6" x14ac:dyDescent="0.25">
      <c r="A242" s="417" t="s">
        <v>3470</v>
      </c>
      <c r="B242" s="417" t="s">
        <v>2540</v>
      </c>
      <c r="D242" s="510">
        <v>45876</v>
      </c>
      <c r="E242" s="510" t="s">
        <v>3470</v>
      </c>
      <c r="F242" s="418" t="s">
        <v>3471</v>
      </c>
    </row>
    <row r="243" spans="1:6" x14ac:dyDescent="0.25">
      <c r="A243" s="417" t="s">
        <v>2845</v>
      </c>
      <c r="B243" s="417" t="s">
        <v>2549</v>
      </c>
      <c r="D243" s="510">
        <v>45881</v>
      </c>
      <c r="E243" s="510" t="s">
        <v>2845</v>
      </c>
      <c r="F243" s="418" t="s">
        <v>2846</v>
      </c>
    </row>
    <row r="244" spans="1:6" x14ac:dyDescent="0.25">
      <c r="A244" s="417" t="s">
        <v>3111</v>
      </c>
      <c r="B244" s="417" t="s">
        <v>2549</v>
      </c>
      <c r="D244" s="510">
        <v>45881</v>
      </c>
      <c r="E244" s="510" t="s">
        <v>3111</v>
      </c>
      <c r="F244" s="418" t="s">
        <v>3112</v>
      </c>
    </row>
    <row r="245" spans="1:6" x14ac:dyDescent="0.25">
      <c r="A245" s="417" t="s">
        <v>2933</v>
      </c>
      <c r="B245" s="417" t="s">
        <v>2040</v>
      </c>
      <c r="D245" s="510">
        <v>45882</v>
      </c>
      <c r="E245" s="510" t="s">
        <v>2933</v>
      </c>
      <c r="F245" s="418" t="s">
        <v>2934</v>
      </c>
    </row>
    <row r="246" spans="1:6" x14ac:dyDescent="0.25">
      <c r="A246" s="417" t="s">
        <v>3578</v>
      </c>
      <c r="B246" s="417" t="s">
        <v>2040</v>
      </c>
      <c r="D246" s="510">
        <v>45882</v>
      </c>
      <c r="E246" s="510" t="s">
        <v>3578</v>
      </c>
      <c r="F246" s="420" t="s">
        <v>3579</v>
      </c>
    </row>
    <row r="247" spans="1:6" x14ac:dyDescent="0.25">
      <c r="A247" s="417" t="s">
        <v>2847</v>
      </c>
      <c r="B247" s="417" t="s">
        <v>2540</v>
      </c>
      <c r="D247" s="510">
        <v>45958</v>
      </c>
      <c r="E247" s="510" t="s">
        <v>2847</v>
      </c>
      <c r="F247" s="418" t="s">
        <v>2848</v>
      </c>
    </row>
    <row r="248" spans="1:6" x14ac:dyDescent="0.25">
      <c r="A248" s="417" t="s">
        <v>2865</v>
      </c>
      <c r="B248" s="417" t="s">
        <v>2540</v>
      </c>
      <c r="D248" s="510">
        <v>46065</v>
      </c>
      <c r="E248" s="510" t="s">
        <v>2865</v>
      </c>
      <c r="F248" s="418" t="s">
        <v>2866</v>
      </c>
    </row>
    <row r="249" spans="1:6" x14ac:dyDescent="0.25">
      <c r="A249" s="417" t="s">
        <v>2943</v>
      </c>
      <c r="B249" s="417" t="s">
        <v>2540</v>
      </c>
      <c r="D249" s="510">
        <v>46068</v>
      </c>
      <c r="E249" s="510" t="s">
        <v>2943</v>
      </c>
      <c r="F249" s="418" t="s">
        <v>2944</v>
      </c>
    </row>
    <row r="250" spans="1:6" x14ac:dyDescent="0.25">
      <c r="A250" s="417" t="s">
        <v>3004</v>
      </c>
      <c r="B250" s="417" t="s">
        <v>2549</v>
      </c>
      <c r="D250" s="510">
        <v>46073</v>
      </c>
      <c r="E250" s="510" t="s">
        <v>3004</v>
      </c>
      <c r="F250" s="418" t="s">
        <v>3005</v>
      </c>
    </row>
    <row r="251" spans="1:6" x14ac:dyDescent="0.25">
      <c r="A251" s="417" t="s">
        <v>2867</v>
      </c>
      <c r="B251" s="417" t="s">
        <v>2540</v>
      </c>
      <c r="D251" s="510">
        <v>46111</v>
      </c>
      <c r="E251" s="510" t="s">
        <v>2867</v>
      </c>
      <c r="F251" s="418" t="s">
        <v>2868</v>
      </c>
    </row>
    <row r="252" spans="1:6" x14ac:dyDescent="0.25">
      <c r="A252" s="417" t="s">
        <v>2849</v>
      </c>
      <c r="B252" s="417" t="s">
        <v>2540</v>
      </c>
      <c r="D252" s="510">
        <v>46171</v>
      </c>
      <c r="E252" s="510" t="s">
        <v>2849</v>
      </c>
      <c r="F252" s="418" t="s">
        <v>2850</v>
      </c>
    </row>
    <row r="253" spans="1:6" x14ac:dyDescent="0.25">
      <c r="A253" s="417" t="s">
        <v>3046</v>
      </c>
      <c r="B253" s="417" t="s">
        <v>2540</v>
      </c>
      <c r="D253" s="510">
        <v>46191</v>
      </c>
      <c r="E253" s="510" t="s">
        <v>3046</v>
      </c>
      <c r="F253" s="420" t="s">
        <v>3047</v>
      </c>
    </row>
    <row r="254" spans="1:6" x14ac:dyDescent="0.25">
      <c r="A254" s="417" t="s">
        <v>2897</v>
      </c>
      <c r="B254" s="417" t="s">
        <v>2540</v>
      </c>
      <c r="D254" s="510">
        <v>46232</v>
      </c>
      <c r="E254" s="510" t="s">
        <v>2897</v>
      </c>
      <c r="F254" s="418" t="s">
        <v>4697</v>
      </c>
    </row>
    <row r="255" spans="1:6" x14ac:dyDescent="0.25">
      <c r="A255" s="417" t="s">
        <v>3008</v>
      </c>
      <c r="B255" s="417" t="s">
        <v>2540</v>
      </c>
      <c r="D255" s="510">
        <v>46256</v>
      </c>
      <c r="E255" s="510" t="s">
        <v>3008</v>
      </c>
      <c r="F255" s="418" t="s">
        <v>3009</v>
      </c>
    </row>
    <row r="256" spans="1:6" x14ac:dyDescent="0.25">
      <c r="A256" s="417" t="s">
        <v>2835</v>
      </c>
      <c r="B256" s="417" t="s">
        <v>2540</v>
      </c>
      <c r="D256" s="510">
        <v>46294</v>
      </c>
      <c r="E256" s="510" t="s">
        <v>2835</v>
      </c>
      <c r="F256" s="418" t="s">
        <v>2836</v>
      </c>
    </row>
    <row r="257" spans="1:6" x14ac:dyDescent="0.25">
      <c r="A257" s="417" t="s">
        <v>2893</v>
      </c>
      <c r="B257" s="417" t="s">
        <v>2540</v>
      </c>
      <c r="D257" s="510">
        <v>46300</v>
      </c>
      <c r="E257" s="510" t="s">
        <v>2893</v>
      </c>
      <c r="F257" s="418" t="s">
        <v>2894</v>
      </c>
    </row>
    <row r="258" spans="1:6" x14ac:dyDescent="0.25">
      <c r="A258" s="417" t="s">
        <v>2951</v>
      </c>
      <c r="B258" s="417" t="s">
        <v>2034</v>
      </c>
      <c r="D258" s="510">
        <v>46332</v>
      </c>
      <c r="E258" s="510" t="s">
        <v>2951</v>
      </c>
      <c r="F258" s="418" t="s">
        <v>2952</v>
      </c>
    </row>
    <row r="259" spans="1:6" x14ac:dyDescent="0.25">
      <c r="A259" s="417" t="s">
        <v>2953</v>
      </c>
      <c r="B259" s="417" t="s">
        <v>2034</v>
      </c>
      <c r="D259" s="510">
        <v>46333</v>
      </c>
      <c r="E259" s="510" t="s">
        <v>2953</v>
      </c>
      <c r="F259" s="418" t="s">
        <v>2954</v>
      </c>
    </row>
    <row r="260" spans="1:6" x14ac:dyDescent="0.25">
      <c r="A260" s="417" t="s">
        <v>3263</v>
      </c>
      <c r="B260" s="417" t="s">
        <v>2540</v>
      </c>
      <c r="D260" s="510">
        <v>46352</v>
      </c>
      <c r="E260" s="510" t="s">
        <v>3263</v>
      </c>
      <c r="F260" s="420" t="s">
        <v>3264</v>
      </c>
    </row>
    <row r="261" spans="1:6" x14ac:dyDescent="0.25">
      <c r="A261" s="417" t="s">
        <v>2945</v>
      </c>
      <c r="D261" s="510">
        <v>46356</v>
      </c>
      <c r="E261" s="510" t="s">
        <v>2945</v>
      </c>
      <c r="F261" s="418" t="s">
        <v>2946</v>
      </c>
    </row>
    <row r="262" spans="1:6" x14ac:dyDescent="0.25">
      <c r="A262" s="417" t="s">
        <v>3028</v>
      </c>
      <c r="B262" s="417" t="s">
        <v>2034</v>
      </c>
      <c r="D262" s="510">
        <v>46360</v>
      </c>
      <c r="E262" s="510" t="s">
        <v>3028</v>
      </c>
      <c r="F262" s="420" t="s">
        <v>3029</v>
      </c>
    </row>
    <row r="263" spans="1:6" x14ac:dyDescent="0.25">
      <c r="A263" s="417" t="s">
        <v>3125</v>
      </c>
      <c r="B263" s="417" t="s">
        <v>2540</v>
      </c>
      <c r="D263" s="510">
        <v>46374</v>
      </c>
      <c r="E263" s="510" t="s">
        <v>3125</v>
      </c>
      <c r="F263" s="418" t="s">
        <v>3126</v>
      </c>
    </row>
    <row r="264" spans="1:6" x14ac:dyDescent="0.25">
      <c r="A264" s="417" t="s">
        <v>3125</v>
      </c>
      <c r="B264" s="417" t="s">
        <v>2540</v>
      </c>
      <c r="D264" s="510">
        <v>46374</v>
      </c>
      <c r="E264" s="510" t="s">
        <v>3125</v>
      </c>
      <c r="F264" s="418" t="s">
        <v>3126</v>
      </c>
    </row>
    <row r="265" spans="1:6" x14ac:dyDescent="0.25">
      <c r="A265" s="417" t="s">
        <v>2528</v>
      </c>
      <c r="B265" s="417" t="s">
        <v>2040</v>
      </c>
      <c r="D265" s="510">
        <v>46398</v>
      </c>
      <c r="E265" s="510" t="s">
        <v>2528</v>
      </c>
      <c r="F265" s="418" t="s">
        <v>2909</v>
      </c>
    </row>
    <row r="266" spans="1:6" x14ac:dyDescent="0.25">
      <c r="A266" s="417" t="s">
        <v>2899</v>
      </c>
      <c r="B266" s="417" t="s">
        <v>2540</v>
      </c>
      <c r="D266" s="510">
        <v>46411</v>
      </c>
      <c r="E266" s="510" t="s">
        <v>2899</v>
      </c>
      <c r="F266" s="418" t="s">
        <v>4699</v>
      </c>
    </row>
    <row r="267" spans="1:6" x14ac:dyDescent="0.25">
      <c r="A267" s="417" t="s">
        <v>2923</v>
      </c>
      <c r="B267" s="417" t="s">
        <v>2540</v>
      </c>
      <c r="D267" s="510">
        <v>46422</v>
      </c>
      <c r="E267" s="510" t="s">
        <v>2923</v>
      </c>
      <c r="F267" s="418" t="s">
        <v>2924</v>
      </c>
    </row>
    <row r="268" spans="1:6" x14ac:dyDescent="0.25">
      <c r="A268" s="417" t="s">
        <v>2955</v>
      </c>
      <c r="B268" s="417" t="s">
        <v>2540</v>
      </c>
      <c r="D268" s="510">
        <v>46432</v>
      </c>
      <c r="E268" s="510" t="s">
        <v>2955</v>
      </c>
      <c r="F268" s="418" t="s">
        <v>4703</v>
      </c>
    </row>
    <row r="269" spans="1:6" x14ac:dyDescent="0.25">
      <c r="A269" s="417" t="s">
        <v>3206</v>
      </c>
      <c r="B269" s="417" t="s">
        <v>2540</v>
      </c>
      <c r="D269" s="510">
        <v>46499</v>
      </c>
      <c r="E269" s="510" t="s">
        <v>3206</v>
      </c>
      <c r="F269" s="420" t="s">
        <v>3207</v>
      </c>
    </row>
    <row r="270" spans="1:6" x14ac:dyDescent="0.25">
      <c r="A270" s="417" t="s">
        <v>3012</v>
      </c>
      <c r="B270" s="417" t="s">
        <v>2540</v>
      </c>
      <c r="D270" s="510">
        <v>46505</v>
      </c>
      <c r="E270" s="510" t="s">
        <v>3012</v>
      </c>
      <c r="F270" s="418" t="s">
        <v>3013</v>
      </c>
    </row>
    <row r="271" spans="1:6" x14ac:dyDescent="0.25">
      <c r="A271" s="417" t="s">
        <v>3421</v>
      </c>
      <c r="B271" s="417" t="s">
        <v>2540</v>
      </c>
      <c r="D271" s="510">
        <v>46505</v>
      </c>
      <c r="E271" s="510" t="s">
        <v>3421</v>
      </c>
      <c r="F271" s="420" t="s">
        <v>4733</v>
      </c>
    </row>
    <row r="272" spans="1:6" x14ac:dyDescent="0.25">
      <c r="A272" s="417" t="s">
        <v>2898</v>
      </c>
      <c r="B272" s="417" t="s">
        <v>2540</v>
      </c>
      <c r="D272" s="510">
        <v>46507</v>
      </c>
      <c r="E272" s="510" t="s">
        <v>2898</v>
      </c>
      <c r="F272" s="418" t="s">
        <v>4698</v>
      </c>
    </row>
    <row r="273" spans="1:6" x14ac:dyDescent="0.25">
      <c r="A273" s="417" t="s">
        <v>3460</v>
      </c>
      <c r="B273" s="417" t="s">
        <v>2034</v>
      </c>
      <c r="D273" s="510">
        <v>46513</v>
      </c>
      <c r="E273" s="510" t="s">
        <v>3460</v>
      </c>
      <c r="F273" s="420" t="s">
        <v>3461</v>
      </c>
    </row>
    <row r="274" spans="1:6" x14ac:dyDescent="0.25">
      <c r="A274" s="417" t="s">
        <v>2963</v>
      </c>
      <c r="B274" s="417" t="s">
        <v>2549</v>
      </c>
      <c r="D274" s="510">
        <v>46552</v>
      </c>
      <c r="E274" s="510" t="s">
        <v>2963</v>
      </c>
      <c r="F274" s="418" t="s">
        <v>4707</v>
      </c>
    </row>
    <row r="275" spans="1:6" x14ac:dyDescent="0.25">
      <c r="A275" s="417" t="s">
        <v>2910</v>
      </c>
      <c r="B275" s="417" t="s">
        <v>2040</v>
      </c>
      <c r="C275" s="417" t="s">
        <v>2450</v>
      </c>
      <c r="D275" s="510">
        <v>46586</v>
      </c>
      <c r="E275" s="510" t="s">
        <v>2910</v>
      </c>
      <c r="F275" s="418" t="s">
        <v>2911</v>
      </c>
    </row>
    <row r="276" spans="1:6" x14ac:dyDescent="0.25">
      <c r="A276" s="417" t="s">
        <v>2526</v>
      </c>
      <c r="B276" s="417" t="s">
        <v>2040</v>
      </c>
      <c r="D276" s="510">
        <v>46593</v>
      </c>
      <c r="E276" s="510" t="s">
        <v>2526</v>
      </c>
      <c r="F276" s="418" t="s">
        <v>2920</v>
      </c>
    </row>
    <row r="277" spans="1:6" x14ac:dyDescent="0.25">
      <c r="A277" s="417" t="s">
        <v>2527</v>
      </c>
      <c r="B277" s="417" t="s">
        <v>2040</v>
      </c>
      <c r="D277" s="510">
        <v>46651</v>
      </c>
      <c r="E277" s="510" t="s">
        <v>2527</v>
      </c>
      <c r="F277" s="418" t="s">
        <v>2976</v>
      </c>
    </row>
    <row r="278" spans="1:6" x14ac:dyDescent="0.25">
      <c r="A278" s="417" t="s">
        <v>2996</v>
      </c>
      <c r="B278" s="417" t="s">
        <v>2549</v>
      </c>
      <c r="D278" s="510">
        <v>46671</v>
      </c>
      <c r="E278" s="510" t="s">
        <v>2996</v>
      </c>
      <c r="F278" s="418" t="s">
        <v>2997</v>
      </c>
    </row>
    <row r="279" spans="1:6" x14ac:dyDescent="0.25">
      <c r="A279" s="417" t="s">
        <v>2873</v>
      </c>
      <c r="B279" s="417" t="s">
        <v>2540</v>
      </c>
      <c r="D279" s="510">
        <v>46713</v>
      </c>
      <c r="E279" s="510" t="s">
        <v>2873</v>
      </c>
      <c r="F279" s="418" t="s">
        <v>2874</v>
      </c>
    </row>
    <row r="280" spans="1:6" x14ac:dyDescent="0.25">
      <c r="A280" s="417" t="s">
        <v>2964</v>
      </c>
      <c r="B280" s="417" t="s">
        <v>2549</v>
      </c>
      <c r="D280" s="510">
        <v>46739</v>
      </c>
      <c r="E280" s="510" t="s">
        <v>2964</v>
      </c>
      <c r="F280" s="418" t="s">
        <v>4708</v>
      </c>
    </row>
    <row r="281" spans="1:6" x14ac:dyDescent="0.25">
      <c r="A281" s="417" t="s">
        <v>2891</v>
      </c>
      <c r="B281" s="417" t="s">
        <v>2540</v>
      </c>
      <c r="D281" s="510">
        <v>46791</v>
      </c>
      <c r="E281" s="510" t="s">
        <v>2891</v>
      </c>
      <c r="F281" s="418" t="s">
        <v>2892</v>
      </c>
    </row>
    <row r="282" spans="1:6" x14ac:dyDescent="0.25">
      <c r="A282" s="417" t="s">
        <v>3062</v>
      </c>
      <c r="B282" s="417" t="s">
        <v>2040</v>
      </c>
      <c r="D282" s="510">
        <v>46811</v>
      </c>
      <c r="E282" s="510" t="s">
        <v>3062</v>
      </c>
      <c r="F282" s="418" t="s">
        <v>3063</v>
      </c>
    </row>
    <row r="283" spans="1:6" x14ac:dyDescent="0.25">
      <c r="A283" s="417" t="s">
        <v>2889</v>
      </c>
      <c r="B283" s="417" t="s">
        <v>2540</v>
      </c>
      <c r="D283" s="510">
        <v>47052</v>
      </c>
      <c r="E283" s="510" t="s">
        <v>2889</v>
      </c>
      <c r="F283" s="418" t="s">
        <v>2890</v>
      </c>
    </row>
    <row r="284" spans="1:6" x14ac:dyDescent="0.25">
      <c r="A284" s="417" t="s">
        <v>3361</v>
      </c>
      <c r="B284" s="417" t="s">
        <v>2549</v>
      </c>
      <c r="D284" s="510">
        <v>47124</v>
      </c>
      <c r="E284" s="510" t="s">
        <v>3361</v>
      </c>
      <c r="F284" s="418" t="s">
        <v>3362</v>
      </c>
    </row>
    <row r="285" spans="1:6" x14ac:dyDescent="0.25">
      <c r="A285" s="417" t="s">
        <v>3174</v>
      </c>
      <c r="B285" s="417" t="s">
        <v>2549</v>
      </c>
      <c r="D285" s="510">
        <v>47124</v>
      </c>
      <c r="E285" s="510" t="s">
        <v>3174</v>
      </c>
      <c r="F285" s="418" t="s">
        <v>3175</v>
      </c>
    </row>
    <row r="286" spans="1:6" x14ac:dyDescent="0.25">
      <c r="A286" s="417" t="s">
        <v>2916</v>
      </c>
      <c r="B286" s="417" t="s">
        <v>2034</v>
      </c>
      <c r="D286" s="510">
        <v>47131</v>
      </c>
      <c r="E286" s="510" t="s">
        <v>2916</v>
      </c>
      <c r="F286" s="418" t="s">
        <v>2917</v>
      </c>
    </row>
    <row r="287" spans="1:6" x14ac:dyDescent="0.25">
      <c r="A287" s="417" t="s">
        <v>3032</v>
      </c>
      <c r="B287" s="417" t="s">
        <v>2540</v>
      </c>
      <c r="D287" s="510">
        <v>47158</v>
      </c>
      <c r="E287" s="510" t="s">
        <v>3032</v>
      </c>
      <c r="F287" s="418" t="s">
        <v>4711</v>
      </c>
    </row>
    <row r="288" spans="1:6" x14ac:dyDescent="0.25">
      <c r="A288" s="417" t="s">
        <v>3002</v>
      </c>
      <c r="B288" s="417" t="s">
        <v>2540</v>
      </c>
      <c r="D288" s="510">
        <v>47163</v>
      </c>
      <c r="E288" s="510" t="s">
        <v>3002</v>
      </c>
      <c r="F288" s="418" t="s">
        <v>3003</v>
      </c>
    </row>
    <row r="289" spans="1:6" x14ac:dyDescent="0.25">
      <c r="A289" s="417" t="s">
        <v>3022</v>
      </c>
      <c r="B289" s="417" t="s">
        <v>2540</v>
      </c>
      <c r="D289" s="510">
        <v>47167</v>
      </c>
      <c r="E289" s="510" t="s">
        <v>3022</v>
      </c>
      <c r="F289" s="420" t="s">
        <v>3023</v>
      </c>
    </row>
    <row r="290" spans="1:6" x14ac:dyDescent="0.25">
      <c r="A290" s="417" t="s">
        <v>3140</v>
      </c>
      <c r="B290" s="417" t="s">
        <v>2540</v>
      </c>
      <c r="D290" s="510">
        <v>47172</v>
      </c>
      <c r="E290" s="510" t="s">
        <v>3140</v>
      </c>
      <c r="F290" s="418" t="s">
        <v>3141</v>
      </c>
    </row>
    <row r="291" spans="1:6" x14ac:dyDescent="0.25">
      <c r="A291" s="417" t="s">
        <v>3140</v>
      </c>
      <c r="B291" s="417" t="s">
        <v>2540</v>
      </c>
      <c r="D291" s="510">
        <v>47172</v>
      </c>
      <c r="E291" s="510" t="s">
        <v>3140</v>
      </c>
      <c r="F291" s="418" t="s">
        <v>3141</v>
      </c>
    </row>
    <row r="292" spans="1:6" x14ac:dyDescent="0.25">
      <c r="A292" s="417" t="s">
        <v>2907</v>
      </c>
      <c r="B292" s="417" t="s">
        <v>2540</v>
      </c>
      <c r="D292" s="510">
        <v>47276</v>
      </c>
      <c r="E292" s="510" t="s">
        <v>2907</v>
      </c>
      <c r="F292" s="418" t="s">
        <v>2908</v>
      </c>
    </row>
    <row r="293" spans="1:6" x14ac:dyDescent="0.25">
      <c r="A293" s="417" t="s">
        <v>3317</v>
      </c>
      <c r="B293" s="417" t="s">
        <v>2540</v>
      </c>
      <c r="D293" s="510">
        <v>47331</v>
      </c>
      <c r="E293" s="510" t="s">
        <v>3317</v>
      </c>
      <c r="F293" s="418" t="s">
        <v>3318</v>
      </c>
    </row>
    <row r="294" spans="1:6" x14ac:dyDescent="0.25">
      <c r="A294" s="417" t="s">
        <v>3142</v>
      </c>
      <c r="B294" s="417" t="s">
        <v>2540</v>
      </c>
      <c r="D294" s="510">
        <v>47332</v>
      </c>
      <c r="E294" s="510" t="s">
        <v>3142</v>
      </c>
      <c r="F294" s="418" t="s">
        <v>3143</v>
      </c>
    </row>
    <row r="295" spans="1:6" x14ac:dyDescent="0.25">
      <c r="A295" s="417" t="s">
        <v>3142</v>
      </c>
      <c r="B295" s="417" t="s">
        <v>2540</v>
      </c>
      <c r="D295" s="510">
        <v>47332</v>
      </c>
      <c r="E295" s="510" t="s">
        <v>3142</v>
      </c>
      <c r="F295" s="418" t="s">
        <v>3143</v>
      </c>
    </row>
    <row r="296" spans="1:6" x14ac:dyDescent="0.25">
      <c r="A296" s="417" t="s">
        <v>3464</v>
      </c>
      <c r="B296" s="417" t="s">
        <v>2540</v>
      </c>
      <c r="D296" s="510">
        <v>47396</v>
      </c>
      <c r="E296" s="510" t="s">
        <v>3464</v>
      </c>
      <c r="F296" s="420" t="s">
        <v>3465</v>
      </c>
    </row>
    <row r="297" spans="1:6" x14ac:dyDescent="0.25">
      <c r="A297" s="417" t="s">
        <v>2931</v>
      </c>
      <c r="B297" s="417" t="s">
        <v>2540</v>
      </c>
      <c r="D297" s="510">
        <v>47400</v>
      </c>
      <c r="E297" s="510" t="s">
        <v>2931</v>
      </c>
      <c r="F297" s="418" t="s">
        <v>2932</v>
      </c>
    </row>
    <row r="298" spans="1:6" x14ac:dyDescent="0.25">
      <c r="A298" s="417" t="s">
        <v>3127</v>
      </c>
      <c r="B298" s="417" t="s">
        <v>2549</v>
      </c>
      <c r="D298" s="510">
        <v>47403</v>
      </c>
      <c r="E298" s="510" t="s">
        <v>3127</v>
      </c>
      <c r="F298" s="418" t="s">
        <v>3128</v>
      </c>
    </row>
    <row r="299" spans="1:6" x14ac:dyDescent="0.25">
      <c r="A299" s="417" t="s">
        <v>3127</v>
      </c>
      <c r="B299" s="417" t="s">
        <v>2549</v>
      </c>
      <c r="D299" s="510">
        <v>47403</v>
      </c>
      <c r="E299" s="510" t="s">
        <v>3127</v>
      </c>
      <c r="F299" s="418" t="s">
        <v>3128</v>
      </c>
    </row>
    <row r="300" spans="1:6" x14ac:dyDescent="0.25">
      <c r="A300" s="417" t="s">
        <v>2957</v>
      </c>
      <c r="B300" s="417" t="s">
        <v>2040</v>
      </c>
      <c r="D300" s="510">
        <v>47471</v>
      </c>
      <c r="E300" s="510" t="s">
        <v>2957</v>
      </c>
      <c r="F300" s="418" t="s">
        <v>2958</v>
      </c>
    </row>
    <row r="301" spans="1:6" x14ac:dyDescent="0.25">
      <c r="A301" s="417" t="s">
        <v>2956</v>
      </c>
      <c r="B301" s="417" t="s">
        <v>2540</v>
      </c>
      <c r="D301" s="510">
        <v>47476</v>
      </c>
      <c r="E301" s="510" t="s">
        <v>2956</v>
      </c>
      <c r="F301" s="418" t="s">
        <v>4704</v>
      </c>
    </row>
    <row r="302" spans="1:6" x14ac:dyDescent="0.25">
      <c r="A302" s="417" t="s">
        <v>3048</v>
      </c>
      <c r="B302" s="417" t="s">
        <v>2549</v>
      </c>
      <c r="D302" s="510">
        <v>47477</v>
      </c>
      <c r="E302" s="510" t="s">
        <v>3048</v>
      </c>
      <c r="F302" s="420" t="s">
        <v>3049</v>
      </c>
    </row>
    <row r="303" spans="1:6" x14ac:dyDescent="0.25">
      <c r="A303" s="417" t="s">
        <v>2959</v>
      </c>
      <c r="B303" s="417" t="s">
        <v>2540</v>
      </c>
      <c r="D303" s="510">
        <v>47494</v>
      </c>
      <c r="E303" s="510" t="s">
        <v>2959</v>
      </c>
      <c r="F303" s="418" t="s">
        <v>4705</v>
      </c>
    </row>
    <row r="304" spans="1:6" x14ac:dyDescent="0.25">
      <c r="A304" s="417" t="s">
        <v>3267</v>
      </c>
      <c r="B304" s="417" t="s">
        <v>2540</v>
      </c>
      <c r="D304" s="510">
        <v>47506</v>
      </c>
      <c r="E304" s="510" t="s">
        <v>3267</v>
      </c>
      <c r="F304" s="420" t="s">
        <v>3268</v>
      </c>
    </row>
    <row r="305" spans="1:6" x14ac:dyDescent="0.25">
      <c r="A305" s="417" t="s">
        <v>3285</v>
      </c>
      <c r="B305" s="417" t="s">
        <v>2540</v>
      </c>
      <c r="D305" s="510">
        <v>47531</v>
      </c>
      <c r="E305" s="510" t="s">
        <v>3285</v>
      </c>
      <c r="F305" s="420" t="s">
        <v>3286</v>
      </c>
    </row>
    <row r="306" spans="1:6" x14ac:dyDescent="0.25">
      <c r="A306" s="417" t="s">
        <v>3448</v>
      </c>
      <c r="B306" s="417" t="s">
        <v>2540</v>
      </c>
      <c r="D306" s="510">
        <v>47531</v>
      </c>
      <c r="E306" s="510" t="s">
        <v>3448</v>
      </c>
      <c r="F306" s="420" t="s">
        <v>3449</v>
      </c>
    </row>
    <row r="307" spans="1:6" x14ac:dyDescent="0.25">
      <c r="A307" s="417" t="s">
        <v>2998</v>
      </c>
      <c r="B307" s="417" t="s">
        <v>2540</v>
      </c>
      <c r="D307" s="510">
        <v>47551</v>
      </c>
      <c r="E307" s="510" t="s">
        <v>2998</v>
      </c>
      <c r="F307" s="418" t="s">
        <v>2999</v>
      </c>
    </row>
    <row r="308" spans="1:6" x14ac:dyDescent="0.25">
      <c r="A308" s="417" t="s">
        <v>3265</v>
      </c>
      <c r="B308" s="417" t="s">
        <v>2540</v>
      </c>
      <c r="D308" s="510">
        <v>47552</v>
      </c>
      <c r="E308" s="510" t="s">
        <v>3265</v>
      </c>
      <c r="F308" s="420" t="s">
        <v>3266</v>
      </c>
    </row>
    <row r="309" spans="1:6" x14ac:dyDescent="0.25">
      <c r="A309" s="417" t="s">
        <v>3208</v>
      </c>
      <c r="B309" s="417" t="s">
        <v>2540</v>
      </c>
      <c r="D309" s="510">
        <v>47553</v>
      </c>
      <c r="E309" s="510" t="s">
        <v>3208</v>
      </c>
      <c r="F309" s="420" t="s">
        <v>3209</v>
      </c>
    </row>
    <row r="310" spans="1:6" x14ac:dyDescent="0.25">
      <c r="A310" s="417" t="s">
        <v>3389</v>
      </c>
      <c r="B310" s="417" t="s">
        <v>2540</v>
      </c>
      <c r="D310" s="510">
        <v>47597</v>
      </c>
      <c r="E310" s="510" t="s">
        <v>3389</v>
      </c>
      <c r="F310" s="420" t="s">
        <v>3390</v>
      </c>
    </row>
    <row r="311" spans="1:6" x14ac:dyDescent="0.25">
      <c r="A311" s="417" t="s">
        <v>3194</v>
      </c>
      <c r="B311" s="417" t="s">
        <v>2540</v>
      </c>
      <c r="D311" s="510">
        <v>47600</v>
      </c>
      <c r="E311" s="510" t="s">
        <v>3194</v>
      </c>
      <c r="F311" s="420" t="s">
        <v>3195</v>
      </c>
    </row>
    <row r="312" spans="1:6" x14ac:dyDescent="0.25">
      <c r="A312" s="417" t="s">
        <v>3259</v>
      </c>
      <c r="B312" s="417" t="s">
        <v>2540</v>
      </c>
      <c r="D312" s="510">
        <v>47606</v>
      </c>
      <c r="E312" s="510" t="s">
        <v>3259</v>
      </c>
      <c r="F312" s="420" t="s">
        <v>3260</v>
      </c>
    </row>
    <row r="313" spans="1:6" x14ac:dyDescent="0.25">
      <c r="A313" s="417" t="s">
        <v>3158</v>
      </c>
      <c r="B313" s="417" t="s">
        <v>2540</v>
      </c>
      <c r="D313" s="510">
        <v>47613</v>
      </c>
      <c r="E313" s="510" t="s">
        <v>3158</v>
      </c>
      <c r="F313" s="418" t="s">
        <v>3159</v>
      </c>
    </row>
    <row r="314" spans="1:6" x14ac:dyDescent="0.25">
      <c r="A314" s="417" t="s">
        <v>3158</v>
      </c>
      <c r="B314" s="417" t="s">
        <v>2540</v>
      </c>
      <c r="D314" s="510">
        <v>47613</v>
      </c>
      <c r="E314" s="510" t="s">
        <v>3158</v>
      </c>
      <c r="F314" s="418" t="s">
        <v>3159</v>
      </c>
    </row>
    <row r="315" spans="1:6" x14ac:dyDescent="0.25">
      <c r="A315" s="417" t="s">
        <v>3160</v>
      </c>
      <c r="B315" s="417" t="s">
        <v>2540</v>
      </c>
      <c r="D315" s="510">
        <v>47614</v>
      </c>
      <c r="E315" s="510" t="s">
        <v>3160</v>
      </c>
      <c r="F315" s="418" t="s">
        <v>3161</v>
      </c>
    </row>
    <row r="316" spans="1:6" x14ac:dyDescent="0.25">
      <c r="A316" s="417" t="s">
        <v>3160</v>
      </c>
      <c r="B316" s="417" t="s">
        <v>2540</v>
      </c>
      <c r="D316" s="510">
        <v>47614</v>
      </c>
      <c r="E316" s="510" t="s">
        <v>3160</v>
      </c>
      <c r="F316" s="418" t="s">
        <v>3161</v>
      </c>
    </row>
    <row r="317" spans="1:6" x14ac:dyDescent="0.25">
      <c r="A317" s="417" t="s">
        <v>2935</v>
      </c>
      <c r="B317" s="417" t="s">
        <v>2034</v>
      </c>
      <c r="D317" s="510">
        <v>47631</v>
      </c>
      <c r="E317" s="510" t="s">
        <v>2935</v>
      </c>
      <c r="F317" s="418" t="s">
        <v>2936</v>
      </c>
    </row>
    <row r="318" spans="1:6" x14ac:dyDescent="0.25">
      <c r="A318" s="417" t="s">
        <v>3210</v>
      </c>
      <c r="B318" s="417" t="s">
        <v>2540</v>
      </c>
      <c r="D318" s="510">
        <v>47648</v>
      </c>
      <c r="E318" s="510" t="s">
        <v>3210</v>
      </c>
      <c r="F318" s="420" t="s">
        <v>3211</v>
      </c>
    </row>
    <row r="319" spans="1:6" x14ac:dyDescent="0.25">
      <c r="A319" s="417" t="s">
        <v>3236</v>
      </c>
      <c r="B319" s="417" t="s">
        <v>2540</v>
      </c>
      <c r="D319" s="510">
        <v>47654</v>
      </c>
      <c r="E319" s="510" t="s">
        <v>3236</v>
      </c>
      <c r="F319" s="420" t="s">
        <v>3237</v>
      </c>
    </row>
    <row r="320" spans="1:6" x14ac:dyDescent="0.25">
      <c r="A320" s="417" t="s">
        <v>3269</v>
      </c>
      <c r="B320" s="417" t="s">
        <v>2540</v>
      </c>
      <c r="D320" s="510">
        <v>47661</v>
      </c>
      <c r="E320" s="510" t="s">
        <v>3269</v>
      </c>
      <c r="F320" s="420" t="s">
        <v>3270</v>
      </c>
    </row>
    <row r="321" spans="1:6" x14ac:dyDescent="0.25">
      <c r="A321" s="417" t="s">
        <v>3238</v>
      </c>
      <c r="B321" s="417" t="s">
        <v>2540</v>
      </c>
      <c r="D321" s="510">
        <v>47682</v>
      </c>
      <c r="E321" s="510" t="s">
        <v>3238</v>
      </c>
      <c r="F321" s="420" t="s">
        <v>3239</v>
      </c>
    </row>
    <row r="322" spans="1:6" x14ac:dyDescent="0.25">
      <c r="A322" s="417" t="s">
        <v>3353</v>
      </c>
      <c r="B322" s="417" t="s">
        <v>2540</v>
      </c>
      <c r="D322" s="510">
        <v>47687</v>
      </c>
      <c r="E322" s="510" t="s">
        <v>3353</v>
      </c>
      <c r="F322" s="420" t="s">
        <v>3354</v>
      </c>
    </row>
    <row r="323" spans="1:6" x14ac:dyDescent="0.25">
      <c r="A323" s="417" t="s">
        <v>2977</v>
      </c>
      <c r="B323" s="417" t="s">
        <v>2587</v>
      </c>
      <c r="D323" s="510">
        <v>47693</v>
      </c>
      <c r="E323" s="510" t="s">
        <v>2977</v>
      </c>
      <c r="F323" s="418" t="s">
        <v>2978</v>
      </c>
    </row>
    <row r="324" spans="1:6" x14ac:dyDescent="0.25">
      <c r="A324" s="417" t="s">
        <v>3600</v>
      </c>
      <c r="B324" s="417" t="s">
        <v>2034</v>
      </c>
      <c r="D324" s="510">
        <v>47751</v>
      </c>
      <c r="E324" s="510" t="s">
        <v>3600</v>
      </c>
      <c r="F324" s="418" t="s">
        <v>3601</v>
      </c>
    </row>
    <row r="325" spans="1:6" x14ac:dyDescent="0.25">
      <c r="A325" s="417" t="s">
        <v>2984</v>
      </c>
      <c r="B325" s="417" t="s">
        <v>2040</v>
      </c>
      <c r="D325" s="510">
        <v>47753</v>
      </c>
      <c r="E325" s="510" t="s">
        <v>2984</v>
      </c>
      <c r="F325" s="418" t="s">
        <v>2985</v>
      </c>
    </row>
    <row r="326" spans="1:6" x14ac:dyDescent="0.25">
      <c r="A326" s="417" t="s">
        <v>3255</v>
      </c>
      <c r="B326" s="417" t="s">
        <v>2040</v>
      </c>
      <c r="D326" s="510">
        <v>47756</v>
      </c>
      <c r="E326" s="510" t="s">
        <v>3255</v>
      </c>
      <c r="F326" s="420" t="s">
        <v>3256</v>
      </c>
    </row>
    <row r="327" spans="1:6" x14ac:dyDescent="0.25">
      <c r="A327" s="417" t="s">
        <v>3230</v>
      </c>
      <c r="B327" s="417" t="s">
        <v>2040</v>
      </c>
      <c r="D327" s="510">
        <v>47760</v>
      </c>
      <c r="E327" s="510" t="s">
        <v>3230</v>
      </c>
      <c r="F327" s="420" t="s">
        <v>3231</v>
      </c>
    </row>
    <row r="328" spans="1:6" x14ac:dyDescent="0.25">
      <c r="A328" s="417" t="s">
        <v>2533</v>
      </c>
      <c r="B328" s="417" t="s">
        <v>2040</v>
      </c>
      <c r="D328" s="510">
        <v>47773</v>
      </c>
      <c r="E328" s="510" t="s">
        <v>2533</v>
      </c>
      <c r="F328" s="418" t="s">
        <v>2975</v>
      </c>
    </row>
    <row r="329" spans="1:6" x14ac:dyDescent="0.25">
      <c r="A329" s="417" t="s">
        <v>3162</v>
      </c>
      <c r="B329" s="417" t="s">
        <v>2040</v>
      </c>
      <c r="D329" s="510">
        <v>47776</v>
      </c>
      <c r="E329" s="510" t="s">
        <v>3162</v>
      </c>
      <c r="F329" s="418" t="s">
        <v>3163</v>
      </c>
    </row>
    <row r="330" spans="1:6" x14ac:dyDescent="0.25">
      <c r="A330" s="417" t="s">
        <v>3380</v>
      </c>
      <c r="B330" s="417" t="s">
        <v>2040</v>
      </c>
      <c r="D330" s="510">
        <v>47786</v>
      </c>
      <c r="E330" s="510" t="s">
        <v>3380</v>
      </c>
      <c r="F330" s="420" t="s">
        <v>3381</v>
      </c>
    </row>
    <row r="331" spans="1:6" x14ac:dyDescent="0.25">
      <c r="A331" s="417" t="s">
        <v>3321</v>
      </c>
      <c r="B331" s="417" t="s">
        <v>2040</v>
      </c>
      <c r="D331" s="510">
        <v>47787</v>
      </c>
      <c r="E331" s="510" t="s">
        <v>3321</v>
      </c>
      <c r="F331" s="420" t="s">
        <v>3322</v>
      </c>
    </row>
    <row r="332" spans="1:6" x14ac:dyDescent="0.25">
      <c r="A332" s="417" t="s">
        <v>3628</v>
      </c>
      <c r="B332" s="417" t="s">
        <v>2040</v>
      </c>
      <c r="D332" s="510">
        <v>47787</v>
      </c>
      <c r="E332" s="510" t="s">
        <v>3628</v>
      </c>
      <c r="F332" s="418" t="s">
        <v>3629</v>
      </c>
    </row>
    <row r="333" spans="1:6" x14ac:dyDescent="0.25">
      <c r="A333" s="417" t="s">
        <v>3014</v>
      </c>
      <c r="B333" s="417" t="s">
        <v>2540</v>
      </c>
      <c r="D333" s="510">
        <v>47814</v>
      </c>
      <c r="E333" s="510" t="s">
        <v>3014</v>
      </c>
      <c r="F333" s="418" t="s">
        <v>3015</v>
      </c>
    </row>
    <row r="334" spans="1:6" x14ac:dyDescent="0.25">
      <c r="A334" s="417" t="s">
        <v>3311</v>
      </c>
      <c r="B334" s="417" t="s">
        <v>2540</v>
      </c>
      <c r="D334" s="510">
        <v>47874</v>
      </c>
      <c r="E334" s="510" t="s">
        <v>3311</v>
      </c>
      <c r="F334" s="418" t="s">
        <v>3312</v>
      </c>
    </row>
    <row r="335" spans="1:6" x14ac:dyDescent="0.25">
      <c r="A335" s="417" t="s">
        <v>3212</v>
      </c>
      <c r="B335" s="417" t="s">
        <v>2540</v>
      </c>
      <c r="D335" s="510">
        <v>47876</v>
      </c>
      <c r="E335" s="510" t="s">
        <v>3212</v>
      </c>
      <c r="F335" s="420" t="s">
        <v>3213</v>
      </c>
    </row>
    <row r="336" spans="1:6" x14ac:dyDescent="0.25">
      <c r="A336" s="417" t="s">
        <v>3391</v>
      </c>
      <c r="B336" s="417" t="s">
        <v>2540</v>
      </c>
      <c r="D336" s="510">
        <v>47876</v>
      </c>
      <c r="E336" s="510" t="s">
        <v>3391</v>
      </c>
      <c r="F336" s="420" t="s">
        <v>3392</v>
      </c>
    </row>
    <row r="337" spans="1:6" x14ac:dyDescent="0.25">
      <c r="A337" s="417" t="s">
        <v>3196</v>
      </c>
      <c r="B337" s="417" t="s">
        <v>2540</v>
      </c>
      <c r="D337" s="510">
        <v>47933</v>
      </c>
      <c r="E337" s="510" t="s">
        <v>3196</v>
      </c>
      <c r="F337" s="420" t="s">
        <v>3197</v>
      </c>
    </row>
    <row r="338" spans="1:6" x14ac:dyDescent="0.25">
      <c r="A338" s="417" t="s">
        <v>3010</v>
      </c>
      <c r="B338" s="417" t="s">
        <v>2540</v>
      </c>
      <c r="D338" s="510">
        <v>47934</v>
      </c>
      <c r="E338" s="510" t="s">
        <v>3010</v>
      </c>
      <c r="F338" s="418" t="s">
        <v>3011</v>
      </c>
    </row>
    <row r="339" spans="1:6" x14ac:dyDescent="0.25">
      <c r="A339" s="417" t="s">
        <v>3438</v>
      </c>
      <c r="B339" s="417" t="s">
        <v>2034</v>
      </c>
      <c r="D339" s="510">
        <v>47950</v>
      </c>
      <c r="E339" s="510" t="s">
        <v>3438</v>
      </c>
      <c r="F339" s="420" t="s">
        <v>3439</v>
      </c>
    </row>
    <row r="340" spans="1:6" x14ac:dyDescent="0.25">
      <c r="A340" s="417" t="s">
        <v>3000</v>
      </c>
      <c r="B340" s="417" t="s">
        <v>2540</v>
      </c>
      <c r="D340" s="510">
        <v>48020</v>
      </c>
      <c r="E340" s="510" t="s">
        <v>3000</v>
      </c>
      <c r="F340" s="418" t="s">
        <v>3001</v>
      </c>
    </row>
    <row r="341" spans="1:6" x14ac:dyDescent="0.25">
      <c r="A341" s="417" t="s">
        <v>3075</v>
      </c>
      <c r="B341" s="417" t="s">
        <v>2040</v>
      </c>
      <c r="D341" s="510">
        <v>48022</v>
      </c>
      <c r="E341" s="510" t="s">
        <v>3075</v>
      </c>
      <c r="F341" s="418" t="s">
        <v>3076</v>
      </c>
    </row>
    <row r="342" spans="1:6" x14ac:dyDescent="0.25">
      <c r="A342" s="417" t="s">
        <v>3530</v>
      </c>
      <c r="B342" s="417" t="s">
        <v>2040</v>
      </c>
      <c r="D342" s="510">
        <v>48022</v>
      </c>
      <c r="E342" s="510" t="s">
        <v>3530</v>
      </c>
      <c r="F342" s="418" t="s">
        <v>3531</v>
      </c>
    </row>
    <row r="343" spans="1:6" x14ac:dyDescent="0.25">
      <c r="A343" s="417" t="s">
        <v>3214</v>
      </c>
      <c r="B343" s="417" t="s">
        <v>2540</v>
      </c>
      <c r="D343" s="510">
        <v>48052</v>
      </c>
      <c r="E343" s="510" t="s">
        <v>3214</v>
      </c>
      <c r="F343" s="420" t="s">
        <v>3215</v>
      </c>
    </row>
    <row r="344" spans="1:6" x14ac:dyDescent="0.25">
      <c r="A344" s="417" t="s">
        <v>2973</v>
      </c>
      <c r="B344" s="417" t="s">
        <v>2540</v>
      </c>
      <c r="D344" s="510">
        <v>48058</v>
      </c>
      <c r="E344" s="510" t="s">
        <v>2973</v>
      </c>
      <c r="F344" s="418" t="s">
        <v>2974</v>
      </c>
    </row>
    <row r="345" spans="1:6" x14ac:dyDescent="0.25">
      <c r="A345" s="417" t="s">
        <v>3064</v>
      </c>
      <c r="B345" s="417" t="s">
        <v>2040</v>
      </c>
      <c r="D345" s="510">
        <v>48061</v>
      </c>
      <c r="E345" s="510" t="s">
        <v>3064</v>
      </c>
      <c r="F345" s="418" t="s">
        <v>3065</v>
      </c>
    </row>
    <row r="346" spans="1:6" x14ac:dyDescent="0.25">
      <c r="A346" s="417" t="s">
        <v>3257</v>
      </c>
      <c r="B346" s="417" t="s">
        <v>2587</v>
      </c>
      <c r="D346" s="510">
        <v>48111</v>
      </c>
      <c r="E346" s="510" t="s">
        <v>3257</v>
      </c>
      <c r="F346" s="420" t="s">
        <v>3258</v>
      </c>
    </row>
    <row r="347" spans="1:6" x14ac:dyDescent="0.25">
      <c r="A347" s="417" t="s">
        <v>3134</v>
      </c>
      <c r="B347" s="417" t="s">
        <v>2034</v>
      </c>
      <c r="D347" s="510">
        <v>48113</v>
      </c>
      <c r="E347" s="510" t="s">
        <v>3134</v>
      </c>
      <c r="F347" s="418" t="s">
        <v>3135</v>
      </c>
    </row>
    <row r="348" spans="1:6" x14ac:dyDescent="0.25">
      <c r="A348" s="417" t="s">
        <v>3134</v>
      </c>
      <c r="B348" s="417" t="s">
        <v>2034</v>
      </c>
      <c r="C348" s="417" t="s">
        <v>2450</v>
      </c>
      <c r="D348" s="510">
        <v>48113</v>
      </c>
      <c r="E348" s="510" t="s">
        <v>3134</v>
      </c>
      <c r="F348" s="418" t="s">
        <v>3135</v>
      </c>
    </row>
    <row r="349" spans="1:6" x14ac:dyDescent="0.25">
      <c r="A349" s="417" t="s">
        <v>3293</v>
      </c>
      <c r="B349" s="417" t="s">
        <v>2034</v>
      </c>
      <c r="D349" s="510">
        <v>48114</v>
      </c>
      <c r="E349" s="510" t="s">
        <v>3293</v>
      </c>
      <c r="F349" s="420" t="s">
        <v>3294</v>
      </c>
    </row>
    <row r="350" spans="1:6" x14ac:dyDescent="0.25">
      <c r="A350" s="417" t="s">
        <v>2529</v>
      </c>
      <c r="B350" s="417" t="s">
        <v>2040</v>
      </c>
      <c r="D350" s="510">
        <v>48152</v>
      </c>
      <c r="E350" s="510" t="s">
        <v>2529</v>
      </c>
      <c r="F350" s="418" t="s">
        <v>3066</v>
      </c>
    </row>
    <row r="351" spans="1:6" x14ac:dyDescent="0.25">
      <c r="A351" s="417" t="s">
        <v>3176</v>
      </c>
      <c r="B351" s="417" t="s">
        <v>2587</v>
      </c>
      <c r="D351" s="510">
        <v>48155</v>
      </c>
      <c r="E351" s="510" t="s">
        <v>3176</v>
      </c>
      <c r="F351" s="418" t="s">
        <v>3177</v>
      </c>
    </row>
    <row r="352" spans="1:6" x14ac:dyDescent="0.25">
      <c r="A352" s="417" t="s">
        <v>3020</v>
      </c>
      <c r="B352" s="417" t="s">
        <v>2540</v>
      </c>
      <c r="D352" s="510">
        <v>48157</v>
      </c>
      <c r="E352" s="510" t="s">
        <v>3020</v>
      </c>
      <c r="F352" s="418" t="s">
        <v>3021</v>
      </c>
    </row>
    <row r="353" spans="1:6" x14ac:dyDescent="0.25">
      <c r="A353" s="417" t="s">
        <v>2967</v>
      </c>
      <c r="B353" s="417" t="s">
        <v>2540</v>
      </c>
      <c r="D353" s="510">
        <v>48194</v>
      </c>
      <c r="E353" s="510" t="s">
        <v>2967</v>
      </c>
      <c r="F353" s="418" t="s">
        <v>2968</v>
      </c>
    </row>
    <row r="354" spans="1:6" x14ac:dyDescent="0.25">
      <c r="A354" s="417" t="s">
        <v>3052</v>
      </c>
      <c r="B354" s="417" t="s">
        <v>2540</v>
      </c>
      <c r="D354" s="510">
        <v>48194</v>
      </c>
      <c r="E354" s="510" t="s">
        <v>3052</v>
      </c>
      <c r="F354" s="420" t="s">
        <v>3053</v>
      </c>
    </row>
    <row r="355" spans="1:6" x14ac:dyDescent="0.25">
      <c r="A355" s="417" t="s">
        <v>3168</v>
      </c>
      <c r="B355" s="417" t="s">
        <v>2540</v>
      </c>
      <c r="D355" s="510">
        <v>48194</v>
      </c>
      <c r="E355" s="510" t="s">
        <v>3168</v>
      </c>
      <c r="F355" s="418" t="s">
        <v>3169</v>
      </c>
    </row>
    <row r="356" spans="1:6" x14ac:dyDescent="0.25">
      <c r="A356" s="417" t="s">
        <v>2535</v>
      </c>
      <c r="B356" s="417" t="s">
        <v>2040</v>
      </c>
      <c r="D356" s="510">
        <v>48195</v>
      </c>
      <c r="E356" s="510" t="s">
        <v>2535</v>
      </c>
      <c r="F356" s="418" t="s">
        <v>3129</v>
      </c>
    </row>
    <row r="357" spans="1:6" x14ac:dyDescent="0.25">
      <c r="A357" s="417" t="s">
        <v>2535</v>
      </c>
      <c r="B357" s="417" t="s">
        <v>2040</v>
      </c>
      <c r="D357" s="510">
        <v>48195</v>
      </c>
      <c r="E357" s="510" t="s">
        <v>2535</v>
      </c>
      <c r="F357" s="418" t="s">
        <v>3129</v>
      </c>
    </row>
    <row r="358" spans="1:6" x14ac:dyDescent="0.25">
      <c r="A358" s="417" t="s">
        <v>3156</v>
      </c>
      <c r="B358" s="417" t="s">
        <v>2549</v>
      </c>
      <c r="D358" s="510">
        <v>48236</v>
      </c>
      <c r="E358" s="510" t="s">
        <v>3156</v>
      </c>
      <c r="F358" s="418" t="s">
        <v>3157</v>
      </c>
    </row>
    <row r="359" spans="1:6" x14ac:dyDescent="0.25">
      <c r="A359" s="417" t="s">
        <v>3156</v>
      </c>
      <c r="B359" s="417" t="s">
        <v>2540</v>
      </c>
      <c r="D359" s="510">
        <v>48236</v>
      </c>
      <c r="E359" s="510" t="s">
        <v>3156</v>
      </c>
      <c r="F359" s="418" t="s">
        <v>3157</v>
      </c>
    </row>
    <row r="360" spans="1:6" x14ac:dyDescent="0.25">
      <c r="A360" s="417" t="s">
        <v>3178</v>
      </c>
      <c r="B360" s="417" t="s">
        <v>2549</v>
      </c>
      <c r="D360" s="510">
        <v>48238</v>
      </c>
      <c r="E360" s="510" t="s">
        <v>3178</v>
      </c>
      <c r="F360" s="418" t="s">
        <v>3179</v>
      </c>
    </row>
    <row r="361" spans="1:6" x14ac:dyDescent="0.25">
      <c r="A361" s="417" t="s">
        <v>3050</v>
      </c>
      <c r="B361" s="417" t="s">
        <v>2549</v>
      </c>
      <c r="D361" s="510">
        <v>48254</v>
      </c>
      <c r="E361" s="510" t="s">
        <v>3050</v>
      </c>
      <c r="F361" s="420" t="s">
        <v>3051</v>
      </c>
    </row>
    <row r="362" spans="1:6" x14ac:dyDescent="0.25">
      <c r="A362" s="417" t="s">
        <v>3016</v>
      </c>
      <c r="B362" s="417" t="s">
        <v>2540</v>
      </c>
      <c r="D362" s="510">
        <v>48354</v>
      </c>
      <c r="E362" s="510" t="s">
        <v>3016</v>
      </c>
      <c r="F362" s="418" t="s">
        <v>3017</v>
      </c>
    </row>
    <row r="363" spans="1:6" x14ac:dyDescent="0.25">
      <c r="A363" s="417" t="s">
        <v>3369</v>
      </c>
      <c r="B363" s="417" t="s">
        <v>2540</v>
      </c>
      <c r="D363" s="510">
        <v>48396</v>
      </c>
      <c r="E363" s="510" t="s">
        <v>3369</v>
      </c>
      <c r="F363" s="420" t="s">
        <v>3370</v>
      </c>
    </row>
    <row r="364" spans="1:6" x14ac:dyDescent="0.25">
      <c r="A364" s="417" t="s">
        <v>3044</v>
      </c>
      <c r="B364" s="417" t="s">
        <v>2549</v>
      </c>
      <c r="D364" s="510">
        <v>48411</v>
      </c>
      <c r="E364" s="510" t="s">
        <v>3044</v>
      </c>
      <c r="F364" s="418" t="s">
        <v>3045</v>
      </c>
    </row>
    <row r="365" spans="1:6" x14ac:dyDescent="0.25">
      <c r="A365" s="417" t="s">
        <v>3079</v>
      </c>
      <c r="B365" s="417" t="s">
        <v>2540</v>
      </c>
      <c r="D365" s="510">
        <v>48438</v>
      </c>
      <c r="E365" s="510" t="s">
        <v>3079</v>
      </c>
      <c r="F365" s="418" t="s">
        <v>3080</v>
      </c>
    </row>
    <row r="366" spans="1:6" x14ac:dyDescent="0.25">
      <c r="A366" s="417" t="s">
        <v>3033</v>
      </c>
      <c r="B366" s="417" t="s">
        <v>2540</v>
      </c>
      <c r="D366" s="510">
        <v>48471</v>
      </c>
      <c r="E366" s="510" t="s">
        <v>3033</v>
      </c>
      <c r="F366" s="418" t="s">
        <v>4712</v>
      </c>
    </row>
    <row r="367" spans="1:6" x14ac:dyDescent="0.25">
      <c r="A367" s="417" t="s">
        <v>3309</v>
      </c>
      <c r="B367" s="417" t="s">
        <v>2540</v>
      </c>
      <c r="D367" s="510">
        <v>48514</v>
      </c>
      <c r="E367" s="510" t="s">
        <v>3309</v>
      </c>
      <c r="F367" s="418" t="s">
        <v>3310</v>
      </c>
    </row>
    <row r="368" spans="1:6" x14ac:dyDescent="0.25">
      <c r="A368" s="417" t="s">
        <v>3494</v>
      </c>
      <c r="B368" s="417" t="s">
        <v>2540</v>
      </c>
      <c r="D368" s="510">
        <v>48535</v>
      </c>
      <c r="E368" s="510" t="s">
        <v>3494</v>
      </c>
      <c r="F368" s="418" t="s">
        <v>3495</v>
      </c>
    </row>
    <row r="369" spans="1:6" x14ac:dyDescent="0.25">
      <c r="A369" s="417" t="s">
        <v>3170</v>
      </c>
      <c r="B369" s="417" t="s">
        <v>2040</v>
      </c>
      <c r="D369" s="510">
        <v>48610</v>
      </c>
      <c r="E369" s="510" t="s">
        <v>3170</v>
      </c>
      <c r="F369" s="418" t="s">
        <v>3171</v>
      </c>
    </row>
    <row r="370" spans="1:6" x14ac:dyDescent="0.25">
      <c r="A370" s="417" t="s">
        <v>3067</v>
      </c>
      <c r="B370" s="417" t="s">
        <v>2549</v>
      </c>
      <c r="D370" s="510">
        <v>48633</v>
      </c>
      <c r="E370" s="510" t="s">
        <v>3067</v>
      </c>
      <c r="F370" s="418" t="s">
        <v>3068</v>
      </c>
    </row>
    <row r="371" spans="1:6" x14ac:dyDescent="0.25">
      <c r="A371" s="417" t="s">
        <v>3132</v>
      </c>
      <c r="B371" s="417" t="s">
        <v>2549</v>
      </c>
      <c r="D371" s="510">
        <v>48635</v>
      </c>
      <c r="E371" s="510" t="s">
        <v>3132</v>
      </c>
      <c r="F371" s="418" t="s">
        <v>3133</v>
      </c>
    </row>
    <row r="372" spans="1:6" x14ac:dyDescent="0.25">
      <c r="A372" s="417" t="s">
        <v>3132</v>
      </c>
      <c r="B372" s="417" t="s">
        <v>2549</v>
      </c>
      <c r="D372" s="510">
        <v>48635</v>
      </c>
      <c r="E372" s="510" t="s">
        <v>3132</v>
      </c>
      <c r="F372" s="418" t="s">
        <v>3133</v>
      </c>
    </row>
    <row r="373" spans="1:6" x14ac:dyDescent="0.25">
      <c r="A373" s="417" t="s">
        <v>3442</v>
      </c>
      <c r="B373" s="417" t="s">
        <v>2540</v>
      </c>
      <c r="D373" s="510">
        <v>48791</v>
      </c>
      <c r="E373" s="510" t="s">
        <v>3442</v>
      </c>
      <c r="F373" s="420" t="s">
        <v>3443</v>
      </c>
    </row>
    <row r="374" spans="1:6" x14ac:dyDescent="0.25">
      <c r="A374" s="417" t="s">
        <v>3271</v>
      </c>
      <c r="B374" s="417" t="s">
        <v>2540</v>
      </c>
      <c r="D374" s="510">
        <v>48811</v>
      </c>
      <c r="E374" s="510" t="s">
        <v>3271</v>
      </c>
      <c r="F374" s="420" t="s">
        <v>3272</v>
      </c>
    </row>
    <row r="375" spans="1:6" x14ac:dyDescent="0.25">
      <c r="A375" s="417" t="s">
        <v>3424</v>
      </c>
      <c r="B375" s="417" t="s">
        <v>2549</v>
      </c>
      <c r="D375" s="510">
        <v>48837</v>
      </c>
      <c r="E375" s="510" t="s">
        <v>3424</v>
      </c>
      <c r="F375" s="420" t="s">
        <v>3425</v>
      </c>
    </row>
    <row r="376" spans="1:6" x14ac:dyDescent="0.25">
      <c r="A376" s="417" t="s">
        <v>3240</v>
      </c>
      <c r="B376" s="417" t="s">
        <v>2540</v>
      </c>
      <c r="D376" s="510">
        <v>48893</v>
      </c>
      <c r="E376" s="510" t="s">
        <v>3240</v>
      </c>
      <c r="F376" s="420" t="s">
        <v>3241</v>
      </c>
    </row>
    <row r="377" spans="1:6" x14ac:dyDescent="0.25">
      <c r="A377" s="417" t="s">
        <v>3419</v>
      </c>
      <c r="B377" s="417" t="s">
        <v>2540</v>
      </c>
      <c r="D377" s="510">
        <v>48893</v>
      </c>
      <c r="E377" s="510" t="s">
        <v>3419</v>
      </c>
      <c r="F377" s="420" t="s">
        <v>4731</v>
      </c>
    </row>
    <row r="378" spans="1:6" x14ac:dyDescent="0.25">
      <c r="A378" s="417" t="s">
        <v>3371</v>
      </c>
      <c r="B378" s="417" t="s">
        <v>2540</v>
      </c>
      <c r="D378" s="510">
        <v>48913</v>
      </c>
      <c r="E378" s="510" t="s">
        <v>3371</v>
      </c>
      <c r="F378" s="420" t="s">
        <v>3372</v>
      </c>
    </row>
    <row r="379" spans="1:6" x14ac:dyDescent="0.25">
      <c r="A379" s="417" t="s">
        <v>3373</v>
      </c>
      <c r="B379" s="417" t="s">
        <v>2540</v>
      </c>
      <c r="D379" s="510">
        <v>48914</v>
      </c>
      <c r="E379" s="510" t="s">
        <v>3373</v>
      </c>
      <c r="F379" s="420" t="s">
        <v>4713</v>
      </c>
    </row>
    <row r="380" spans="1:6" x14ac:dyDescent="0.25">
      <c r="A380" s="417" t="s">
        <v>3119</v>
      </c>
      <c r="B380" s="417" t="s">
        <v>2540</v>
      </c>
      <c r="D380" s="510">
        <v>48951</v>
      </c>
      <c r="E380" s="510" t="s">
        <v>3119</v>
      </c>
      <c r="F380" s="418" t="s">
        <v>3120</v>
      </c>
    </row>
    <row r="381" spans="1:6" x14ac:dyDescent="0.25">
      <c r="A381" s="417" t="s">
        <v>3119</v>
      </c>
      <c r="B381" s="417" t="s">
        <v>2540</v>
      </c>
      <c r="D381" s="510">
        <v>48951</v>
      </c>
      <c r="E381" s="510" t="s">
        <v>3119</v>
      </c>
      <c r="F381" s="418" t="s">
        <v>3120</v>
      </c>
    </row>
    <row r="382" spans="1:6" x14ac:dyDescent="0.25">
      <c r="A382" s="417" t="s">
        <v>3242</v>
      </c>
      <c r="B382" s="417" t="s">
        <v>2540</v>
      </c>
      <c r="D382" s="510">
        <v>49039</v>
      </c>
      <c r="E382" s="510" t="s">
        <v>3242</v>
      </c>
      <c r="F382" s="420" t="s">
        <v>3243</v>
      </c>
    </row>
    <row r="383" spans="1:6" x14ac:dyDescent="0.25">
      <c r="A383" s="417" t="s">
        <v>3148</v>
      </c>
      <c r="B383" s="417" t="s">
        <v>2549</v>
      </c>
      <c r="D383" s="510">
        <v>49043</v>
      </c>
      <c r="E383" s="510" t="s">
        <v>3148</v>
      </c>
      <c r="F383" s="418" t="s">
        <v>3149</v>
      </c>
    </row>
    <row r="384" spans="1:6" x14ac:dyDescent="0.25">
      <c r="A384" s="417" t="s">
        <v>3148</v>
      </c>
      <c r="B384" s="417" t="s">
        <v>2549</v>
      </c>
      <c r="D384" s="510">
        <v>49043</v>
      </c>
      <c r="E384" s="510" t="s">
        <v>3148</v>
      </c>
      <c r="F384" s="418" t="s">
        <v>3149</v>
      </c>
    </row>
    <row r="385" spans="1:6" x14ac:dyDescent="0.25">
      <c r="A385" s="417" t="s">
        <v>3188</v>
      </c>
      <c r="B385" s="417" t="s">
        <v>2540</v>
      </c>
      <c r="D385" s="510">
        <v>49061</v>
      </c>
      <c r="E385" s="510" t="s">
        <v>3188</v>
      </c>
      <c r="F385" s="418" t="s">
        <v>3189</v>
      </c>
    </row>
    <row r="386" spans="1:6" x14ac:dyDescent="0.25">
      <c r="A386" s="417" t="s">
        <v>3572</v>
      </c>
      <c r="B386" s="417" t="s">
        <v>2549</v>
      </c>
      <c r="D386" s="510">
        <v>49093</v>
      </c>
      <c r="E386" s="510" t="s">
        <v>3572</v>
      </c>
      <c r="F386" s="418" t="s">
        <v>3573</v>
      </c>
    </row>
    <row r="387" spans="1:6" x14ac:dyDescent="0.25">
      <c r="A387" s="417" t="s">
        <v>3244</v>
      </c>
      <c r="B387" s="417" t="s">
        <v>2540</v>
      </c>
      <c r="D387" s="510">
        <v>49111</v>
      </c>
      <c r="E387" s="510" t="s">
        <v>3244</v>
      </c>
      <c r="F387" s="420" t="s">
        <v>3245</v>
      </c>
    </row>
    <row r="388" spans="1:6" x14ac:dyDescent="0.25">
      <c r="A388" s="417" t="s">
        <v>3341</v>
      </c>
      <c r="B388" s="417" t="s">
        <v>2034</v>
      </c>
      <c r="D388" s="510">
        <v>49132</v>
      </c>
      <c r="E388" s="510" t="s">
        <v>3341</v>
      </c>
      <c r="F388" s="420" t="s">
        <v>3342</v>
      </c>
    </row>
    <row r="389" spans="1:6" x14ac:dyDescent="0.25">
      <c r="A389" s="417" t="s">
        <v>3060</v>
      </c>
      <c r="B389" s="417" t="s">
        <v>2549</v>
      </c>
      <c r="D389" s="510">
        <v>49212</v>
      </c>
      <c r="E389" s="510" t="s">
        <v>3060</v>
      </c>
      <c r="F389" s="420" t="s">
        <v>3061</v>
      </c>
    </row>
    <row r="390" spans="1:6" x14ac:dyDescent="0.25">
      <c r="A390" s="417" t="s">
        <v>3058</v>
      </c>
      <c r="B390" s="417" t="s">
        <v>2040</v>
      </c>
      <c r="D390" s="510">
        <v>49253</v>
      </c>
      <c r="E390" s="510" t="s">
        <v>3058</v>
      </c>
      <c r="F390" s="420" t="s">
        <v>3059</v>
      </c>
    </row>
    <row r="391" spans="1:6" x14ac:dyDescent="0.25">
      <c r="A391" s="417" t="s">
        <v>3518</v>
      </c>
      <c r="B391" s="417" t="s">
        <v>2040</v>
      </c>
      <c r="D391" s="510">
        <v>49253</v>
      </c>
      <c r="E391" s="510" t="s">
        <v>3518</v>
      </c>
      <c r="F391" s="418" t="s">
        <v>3519</v>
      </c>
    </row>
    <row r="392" spans="1:6" x14ac:dyDescent="0.25">
      <c r="A392" s="417" t="s">
        <v>3323</v>
      </c>
      <c r="B392" s="417" t="s">
        <v>2034</v>
      </c>
      <c r="D392" s="510">
        <v>49273</v>
      </c>
      <c r="E392" s="510" t="s">
        <v>3323</v>
      </c>
      <c r="F392" s="420" t="s">
        <v>3324</v>
      </c>
    </row>
    <row r="393" spans="1:6" x14ac:dyDescent="0.25">
      <c r="A393" s="417" t="s">
        <v>3077</v>
      </c>
      <c r="B393" s="417" t="s">
        <v>2040</v>
      </c>
      <c r="D393" s="510">
        <v>49311</v>
      </c>
      <c r="E393" s="510" t="s">
        <v>3077</v>
      </c>
      <c r="F393" s="418" t="s">
        <v>3078</v>
      </c>
    </row>
    <row r="394" spans="1:6" x14ac:dyDescent="0.25">
      <c r="A394" s="417" t="s">
        <v>3359</v>
      </c>
      <c r="B394" s="417" t="s">
        <v>2540</v>
      </c>
      <c r="D394" s="510">
        <v>49316</v>
      </c>
      <c r="E394" s="510" t="s">
        <v>3359</v>
      </c>
      <c r="F394" s="420" t="s">
        <v>3360</v>
      </c>
    </row>
    <row r="395" spans="1:6" x14ac:dyDescent="0.25">
      <c r="A395" s="417" t="s">
        <v>3113</v>
      </c>
      <c r="B395" s="417" t="s">
        <v>2540</v>
      </c>
      <c r="D395" s="510">
        <v>49351</v>
      </c>
      <c r="E395" s="510" t="s">
        <v>3113</v>
      </c>
      <c r="F395" s="418" t="s">
        <v>3114</v>
      </c>
    </row>
    <row r="396" spans="1:6" x14ac:dyDescent="0.25">
      <c r="A396" s="417" t="s">
        <v>3115</v>
      </c>
      <c r="B396" s="417" t="s">
        <v>2540</v>
      </c>
      <c r="D396" s="510">
        <v>49415</v>
      </c>
      <c r="E396" s="510" t="s">
        <v>3115</v>
      </c>
      <c r="F396" s="418" t="s">
        <v>3116</v>
      </c>
    </row>
    <row r="397" spans="1:6" x14ac:dyDescent="0.25">
      <c r="A397" s="417" t="s">
        <v>3115</v>
      </c>
      <c r="B397" s="417" t="s">
        <v>2540</v>
      </c>
      <c r="D397" s="510">
        <v>49415</v>
      </c>
      <c r="E397" s="510" t="s">
        <v>3115</v>
      </c>
      <c r="F397" s="418" t="s">
        <v>3116</v>
      </c>
    </row>
    <row r="398" spans="1:6" x14ac:dyDescent="0.25">
      <c r="A398" s="417" t="s">
        <v>3117</v>
      </c>
      <c r="B398" s="417" t="s">
        <v>2540</v>
      </c>
      <c r="D398" s="510">
        <v>49416</v>
      </c>
      <c r="E398" s="510" t="s">
        <v>3117</v>
      </c>
      <c r="F398" s="418" t="s">
        <v>3118</v>
      </c>
    </row>
    <row r="399" spans="1:6" x14ac:dyDescent="0.25">
      <c r="A399" s="417" t="s">
        <v>3117</v>
      </c>
      <c r="B399" s="417" t="s">
        <v>2540</v>
      </c>
      <c r="D399" s="510">
        <v>49416</v>
      </c>
      <c r="E399" s="510" t="s">
        <v>3117</v>
      </c>
      <c r="F399" s="418" t="s">
        <v>3118</v>
      </c>
    </row>
    <row r="400" spans="1:6" x14ac:dyDescent="0.25">
      <c r="A400" s="417" t="s">
        <v>3339</v>
      </c>
      <c r="B400" s="417" t="s">
        <v>2034</v>
      </c>
      <c r="D400" s="510">
        <v>49433</v>
      </c>
      <c r="E400" s="510" t="s">
        <v>3339</v>
      </c>
      <c r="F400" s="420" t="s">
        <v>3340</v>
      </c>
    </row>
    <row r="401" spans="1:6" x14ac:dyDescent="0.25">
      <c r="A401" s="417" t="s">
        <v>3307</v>
      </c>
      <c r="B401" s="417" t="s">
        <v>2540</v>
      </c>
      <c r="D401" s="510">
        <v>49438</v>
      </c>
      <c r="E401" s="510" t="s">
        <v>3307</v>
      </c>
      <c r="F401" s="418" t="s">
        <v>3308</v>
      </c>
    </row>
    <row r="402" spans="1:6" x14ac:dyDescent="0.25">
      <c r="A402" s="417" t="s">
        <v>3355</v>
      </c>
      <c r="B402" s="417" t="s">
        <v>2540</v>
      </c>
      <c r="D402" s="510">
        <v>49466</v>
      </c>
      <c r="E402" s="510" t="s">
        <v>3355</v>
      </c>
      <c r="F402" s="420" t="s">
        <v>3356</v>
      </c>
    </row>
    <row r="403" spans="1:6" x14ac:dyDescent="0.25">
      <c r="A403" s="417" t="s">
        <v>3602</v>
      </c>
      <c r="B403" s="417" t="s">
        <v>2549</v>
      </c>
      <c r="D403" s="510">
        <v>49480</v>
      </c>
      <c r="E403" s="510" t="s">
        <v>3602</v>
      </c>
      <c r="F403" s="418" t="s">
        <v>3603</v>
      </c>
    </row>
    <row r="404" spans="1:6" x14ac:dyDescent="0.25">
      <c r="A404" s="417" t="s">
        <v>3121</v>
      </c>
      <c r="B404" s="417" t="s">
        <v>2540</v>
      </c>
      <c r="D404" s="510">
        <v>49497</v>
      </c>
      <c r="E404" s="510" t="s">
        <v>3121</v>
      </c>
      <c r="F404" s="418" t="s">
        <v>3122</v>
      </c>
    </row>
    <row r="405" spans="1:6" x14ac:dyDescent="0.25">
      <c r="A405" s="417" t="s">
        <v>3121</v>
      </c>
      <c r="B405" s="417" t="s">
        <v>2540</v>
      </c>
      <c r="D405" s="510">
        <v>49497</v>
      </c>
      <c r="E405" s="510" t="s">
        <v>3121</v>
      </c>
      <c r="F405" s="418" t="s">
        <v>3122</v>
      </c>
    </row>
    <row r="406" spans="1:6" x14ac:dyDescent="0.25">
      <c r="A406" s="417" t="s">
        <v>3325</v>
      </c>
      <c r="B406" s="417" t="s">
        <v>2540</v>
      </c>
      <c r="D406" s="510">
        <v>49499</v>
      </c>
      <c r="E406" s="510" t="s">
        <v>3325</v>
      </c>
      <c r="F406" s="418" t="s">
        <v>3326</v>
      </c>
    </row>
    <row r="407" spans="1:6" x14ac:dyDescent="0.25">
      <c r="A407" s="417" t="s">
        <v>3246</v>
      </c>
      <c r="B407" s="417" t="s">
        <v>2540</v>
      </c>
      <c r="D407" s="510">
        <v>49538</v>
      </c>
      <c r="E407" s="510" t="s">
        <v>3246</v>
      </c>
      <c r="F407" s="420" t="s">
        <v>3247</v>
      </c>
    </row>
    <row r="408" spans="1:6" x14ac:dyDescent="0.25">
      <c r="A408" s="417" t="s">
        <v>3337</v>
      </c>
      <c r="B408" s="417" t="s">
        <v>2540</v>
      </c>
      <c r="D408" s="510">
        <v>49551</v>
      </c>
      <c r="E408" s="510" t="s">
        <v>3337</v>
      </c>
      <c r="F408" s="420" t="s">
        <v>3338</v>
      </c>
    </row>
    <row r="409" spans="1:6" x14ac:dyDescent="0.25">
      <c r="A409" s="417" t="s">
        <v>3329</v>
      </c>
      <c r="B409" s="417" t="s">
        <v>2540</v>
      </c>
      <c r="D409" s="510">
        <v>49553</v>
      </c>
      <c r="E409" s="510" t="s">
        <v>3329</v>
      </c>
      <c r="F409" s="420" t="s">
        <v>3330</v>
      </c>
    </row>
    <row r="410" spans="1:6" x14ac:dyDescent="0.25">
      <c r="A410" s="417" t="s">
        <v>3450</v>
      </c>
      <c r="B410" s="417" t="s">
        <v>2540</v>
      </c>
      <c r="D410" s="510">
        <v>49594</v>
      </c>
      <c r="E410" s="510" t="s">
        <v>3450</v>
      </c>
      <c r="F410" s="420" t="s">
        <v>3451</v>
      </c>
    </row>
    <row r="411" spans="1:6" x14ac:dyDescent="0.25">
      <c r="A411" s="417" t="s">
        <v>3468</v>
      </c>
      <c r="B411" s="417" t="s">
        <v>2540</v>
      </c>
      <c r="D411" s="510">
        <v>49596</v>
      </c>
      <c r="E411" s="510" t="s">
        <v>3468</v>
      </c>
      <c r="F411" s="418" t="s">
        <v>3469</v>
      </c>
    </row>
    <row r="412" spans="1:6" x14ac:dyDescent="0.25">
      <c r="A412" s="417" t="s">
        <v>3216</v>
      </c>
      <c r="B412" s="417" t="s">
        <v>2540</v>
      </c>
      <c r="D412" s="510">
        <v>49596</v>
      </c>
      <c r="E412" s="510" t="s">
        <v>3216</v>
      </c>
      <c r="F412" s="420" t="s">
        <v>3217</v>
      </c>
    </row>
    <row r="413" spans="1:6" x14ac:dyDescent="0.25">
      <c r="A413" s="417" t="s">
        <v>3248</v>
      </c>
      <c r="B413" s="417" t="s">
        <v>2540</v>
      </c>
      <c r="D413" s="510">
        <v>49598</v>
      </c>
      <c r="E413" s="510" t="s">
        <v>3248</v>
      </c>
      <c r="F413" s="420" t="s">
        <v>3249</v>
      </c>
    </row>
    <row r="414" spans="1:6" x14ac:dyDescent="0.25">
      <c r="A414" s="417" t="s">
        <v>3186</v>
      </c>
      <c r="B414" s="417" t="s">
        <v>2540</v>
      </c>
      <c r="D414" s="510">
        <v>49605</v>
      </c>
      <c r="E414" s="510" t="s">
        <v>3186</v>
      </c>
      <c r="F414" s="418" t="s">
        <v>3187</v>
      </c>
    </row>
    <row r="415" spans="1:6" x14ac:dyDescent="0.25">
      <c r="A415" s="417" t="s">
        <v>3150</v>
      </c>
      <c r="B415" s="417" t="s">
        <v>2040</v>
      </c>
      <c r="D415" s="510">
        <v>49611</v>
      </c>
      <c r="E415" s="510" t="s">
        <v>3150</v>
      </c>
      <c r="F415" s="418" t="s">
        <v>3151</v>
      </c>
    </row>
    <row r="416" spans="1:6" x14ac:dyDescent="0.25">
      <c r="A416" s="417" t="s">
        <v>3150</v>
      </c>
      <c r="B416" s="417" t="s">
        <v>2040</v>
      </c>
      <c r="D416" s="510">
        <v>49611</v>
      </c>
      <c r="E416" s="510" t="s">
        <v>3150</v>
      </c>
      <c r="F416" s="418" t="s">
        <v>3151</v>
      </c>
    </row>
    <row r="417" spans="1:6" ht="18" x14ac:dyDescent="0.25">
      <c r="A417" s="417" t="s">
        <v>3224</v>
      </c>
      <c r="B417" s="417" t="s">
        <v>2540</v>
      </c>
      <c r="D417" s="510">
        <v>49632</v>
      </c>
      <c r="E417" s="510" t="s">
        <v>3224</v>
      </c>
      <c r="F417" s="418" t="s">
        <v>3225</v>
      </c>
    </row>
    <row r="418" spans="1:6" x14ac:dyDescent="0.25">
      <c r="A418" s="417" t="s">
        <v>3226</v>
      </c>
      <c r="B418" s="417" t="s">
        <v>2540</v>
      </c>
      <c r="D418" s="510">
        <v>49633</v>
      </c>
      <c r="E418" s="510" t="s">
        <v>3226</v>
      </c>
      <c r="F418" s="420" t="s">
        <v>3227</v>
      </c>
    </row>
    <row r="419" spans="1:6" x14ac:dyDescent="0.25">
      <c r="A419" s="417" t="s">
        <v>3496</v>
      </c>
      <c r="B419" s="417" t="s">
        <v>2540</v>
      </c>
      <c r="D419" s="510">
        <v>49633</v>
      </c>
      <c r="E419" s="510" t="s">
        <v>3496</v>
      </c>
      <c r="F419" s="418" t="s">
        <v>3497</v>
      </c>
    </row>
    <row r="420" spans="1:6" x14ac:dyDescent="0.25">
      <c r="A420" s="417" t="s">
        <v>3522</v>
      </c>
      <c r="B420" s="417" t="s">
        <v>2540</v>
      </c>
      <c r="D420" s="510">
        <v>49666</v>
      </c>
      <c r="E420" s="510" t="s">
        <v>3522</v>
      </c>
      <c r="F420" s="418" t="s">
        <v>3523</v>
      </c>
    </row>
    <row r="421" spans="1:6" x14ac:dyDescent="0.25">
      <c r="A421" s="417" t="s">
        <v>3218</v>
      </c>
      <c r="B421" s="417" t="s">
        <v>2540</v>
      </c>
      <c r="D421" s="510">
        <v>49674</v>
      </c>
      <c r="E421" s="510" t="s">
        <v>3218</v>
      </c>
      <c r="F421" s="420" t="s">
        <v>3219</v>
      </c>
    </row>
    <row r="422" spans="1:6" x14ac:dyDescent="0.25">
      <c r="A422" s="417" t="s">
        <v>3349</v>
      </c>
      <c r="B422" s="417" t="s">
        <v>2540</v>
      </c>
      <c r="D422" s="510">
        <v>49693</v>
      </c>
      <c r="E422" s="510" t="s">
        <v>3349</v>
      </c>
      <c r="F422" s="420" t="s">
        <v>3350</v>
      </c>
    </row>
    <row r="423" spans="1:6" x14ac:dyDescent="0.25">
      <c r="A423" s="417" t="s">
        <v>3420</v>
      </c>
      <c r="B423" s="417" t="s">
        <v>2540</v>
      </c>
      <c r="D423" s="510">
        <v>49707</v>
      </c>
      <c r="E423" s="510" t="s">
        <v>3420</v>
      </c>
      <c r="F423" s="420" t="s">
        <v>4732</v>
      </c>
    </row>
    <row r="424" spans="1:6" x14ac:dyDescent="0.25">
      <c r="A424" s="417" t="s">
        <v>3144</v>
      </c>
      <c r="B424" s="417" t="s">
        <v>2540</v>
      </c>
      <c r="D424" s="510">
        <v>49751</v>
      </c>
      <c r="E424" s="510" t="s">
        <v>3144</v>
      </c>
      <c r="F424" s="418" t="s">
        <v>3145</v>
      </c>
    </row>
    <row r="425" spans="1:6" x14ac:dyDescent="0.25">
      <c r="A425" s="417" t="s">
        <v>3144</v>
      </c>
      <c r="B425" s="417" t="s">
        <v>2540</v>
      </c>
      <c r="D425" s="510">
        <v>49751</v>
      </c>
      <c r="E425" s="510" t="s">
        <v>3144</v>
      </c>
      <c r="F425" s="418" t="s">
        <v>3145</v>
      </c>
    </row>
    <row r="426" spans="1:6" x14ac:dyDescent="0.25">
      <c r="A426" s="417" t="s">
        <v>3415</v>
      </c>
      <c r="B426" s="417" t="s">
        <v>2034</v>
      </c>
      <c r="D426" s="510">
        <v>49778</v>
      </c>
      <c r="E426" s="510" t="s">
        <v>3415</v>
      </c>
      <c r="F426" s="420" t="s">
        <v>3416</v>
      </c>
    </row>
    <row r="427" spans="1:6" x14ac:dyDescent="0.25">
      <c r="A427" s="417" t="s">
        <v>3532</v>
      </c>
      <c r="B427" s="417" t="s">
        <v>2034</v>
      </c>
      <c r="D427" s="510">
        <v>49779</v>
      </c>
      <c r="E427" s="510" t="s">
        <v>3532</v>
      </c>
      <c r="F427" s="418" t="s">
        <v>3533</v>
      </c>
    </row>
    <row r="428" spans="1:6" x14ac:dyDescent="0.25">
      <c r="A428" s="417" t="s">
        <v>3456</v>
      </c>
      <c r="B428" s="417" t="s">
        <v>2034</v>
      </c>
      <c r="D428" s="510">
        <v>49782</v>
      </c>
      <c r="E428" s="510" t="s">
        <v>3456</v>
      </c>
      <c r="F428" s="420" t="s">
        <v>3457</v>
      </c>
    </row>
    <row r="429" spans="1:6" x14ac:dyDescent="0.25">
      <c r="A429" s="417" t="s">
        <v>3252</v>
      </c>
      <c r="B429" s="417" t="s">
        <v>2040</v>
      </c>
      <c r="C429" s="417" t="s">
        <v>3253</v>
      </c>
      <c r="D429" s="510">
        <v>49787</v>
      </c>
      <c r="E429" s="510" t="s">
        <v>3252</v>
      </c>
      <c r="F429" s="420" t="s">
        <v>3254</v>
      </c>
    </row>
    <row r="430" spans="1:6" x14ac:dyDescent="0.25">
      <c r="A430" s="417" t="s">
        <v>3548</v>
      </c>
      <c r="B430" s="417" t="s">
        <v>2587</v>
      </c>
      <c r="D430" s="510">
        <v>49793</v>
      </c>
      <c r="E430" s="510" t="s">
        <v>3548</v>
      </c>
      <c r="F430" s="418" t="s">
        <v>3549</v>
      </c>
    </row>
    <row r="431" spans="1:6" x14ac:dyDescent="0.25">
      <c r="A431" s="417" t="s">
        <v>3123</v>
      </c>
      <c r="B431" s="417" t="s">
        <v>2540</v>
      </c>
      <c r="D431" s="510">
        <v>49804</v>
      </c>
      <c r="E431" s="510" t="s">
        <v>3123</v>
      </c>
      <c r="F431" s="418" t="s">
        <v>3124</v>
      </c>
    </row>
    <row r="432" spans="1:6" x14ac:dyDescent="0.25">
      <c r="A432" s="417" t="s">
        <v>3123</v>
      </c>
      <c r="B432" s="417" t="s">
        <v>2540</v>
      </c>
      <c r="D432" s="510">
        <v>49804</v>
      </c>
      <c r="E432" s="510" t="s">
        <v>3123</v>
      </c>
      <c r="F432" s="418" t="s">
        <v>3124</v>
      </c>
    </row>
    <row r="433" spans="1:6" x14ac:dyDescent="0.25">
      <c r="A433" s="417" t="s">
        <v>3374</v>
      </c>
      <c r="B433" s="417" t="s">
        <v>2549</v>
      </c>
      <c r="D433" s="510">
        <v>49855</v>
      </c>
      <c r="E433" s="510" t="s">
        <v>3374</v>
      </c>
      <c r="F433" s="420" t="s">
        <v>3375</v>
      </c>
    </row>
    <row r="434" spans="1:6" x14ac:dyDescent="0.25">
      <c r="A434" s="417" t="s">
        <v>3384</v>
      </c>
      <c r="B434" s="417" t="s">
        <v>2549</v>
      </c>
      <c r="D434" s="510">
        <v>49857</v>
      </c>
      <c r="E434" s="510" t="s">
        <v>3384</v>
      </c>
      <c r="F434" s="420" t="s">
        <v>4716</v>
      </c>
    </row>
    <row r="435" spans="1:6" x14ac:dyDescent="0.25">
      <c r="A435" s="417" t="s">
        <v>3604</v>
      </c>
      <c r="B435" s="417" t="s">
        <v>2549</v>
      </c>
      <c r="D435" s="510">
        <v>49859</v>
      </c>
      <c r="E435" s="510" t="s">
        <v>3604</v>
      </c>
      <c r="F435" s="418" t="s">
        <v>3605</v>
      </c>
    </row>
    <row r="436" spans="1:6" x14ac:dyDescent="0.25">
      <c r="A436" s="417" t="s">
        <v>3376</v>
      </c>
      <c r="B436" s="417" t="s">
        <v>2549</v>
      </c>
      <c r="D436" s="510">
        <v>49860</v>
      </c>
      <c r="E436" s="510" t="s">
        <v>3376</v>
      </c>
      <c r="F436" s="420" t="s">
        <v>3377</v>
      </c>
    </row>
    <row r="437" spans="1:6" x14ac:dyDescent="0.25">
      <c r="A437" s="417" t="s">
        <v>3279</v>
      </c>
      <c r="B437" s="417" t="s">
        <v>2587</v>
      </c>
      <c r="D437" s="510">
        <v>49862</v>
      </c>
      <c r="E437" s="510" t="s">
        <v>3279</v>
      </c>
      <c r="F437" s="420" t="s">
        <v>3280</v>
      </c>
    </row>
    <row r="438" spans="1:6" x14ac:dyDescent="0.25">
      <c r="A438" s="417" t="s">
        <v>3184</v>
      </c>
      <c r="D438" s="510">
        <v>49869</v>
      </c>
      <c r="E438" s="510" t="s">
        <v>3184</v>
      </c>
      <c r="F438" s="418" t="s">
        <v>3185</v>
      </c>
    </row>
    <row r="439" spans="1:6" x14ac:dyDescent="0.25">
      <c r="A439" s="417" t="s">
        <v>3520</v>
      </c>
      <c r="B439" s="417" t="s">
        <v>2540</v>
      </c>
      <c r="D439" s="510">
        <v>49876</v>
      </c>
      <c r="E439" s="510" t="s">
        <v>3520</v>
      </c>
      <c r="F439" s="418" t="s">
        <v>3521</v>
      </c>
    </row>
    <row r="440" spans="1:6" x14ac:dyDescent="0.25">
      <c r="A440" s="417" t="s">
        <v>3180</v>
      </c>
      <c r="B440" s="417" t="s">
        <v>2034</v>
      </c>
      <c r="D440" s="510">
        <v>49879</v>
      </c>
      <c r="E440" s="510" t="s">
        <v>3180</v>
      </c>
      <c r="F440" s="418" t="s">
        <v>3181</v>
      </c>
    </row>
    <row r="441" spans="1:6" x14ac:dyDescent="0.25">
      <c r="A441" s="417" t="s">
        <v>3528</v>
      </c>
      <c r="B441" s="417" t="s">
        <v>2040</v>
      </c>
      <c r="D441" s="510">
        <v>49898</v>
      </c>
      <c r="E441" s="510" t="s">
        <v>3528</v>
      </c>
      <c r="F441" s="418" t="s">
        <v>3529</v>
      </c>
    </row>
    <row r="442" spans="1:6" x14ac:dyDescent="0.25">
      <c r="A442" s="417" t="s">
        <v>3192</v>
      </c>
      <c r="B442" s="417" t="s">
        <v>2587</v>
      </c>
      <c r="D442" s="510">
        <v>49922</v>
      </c>
      <c r="E442" s="510" t="s">
        <v>3192</v>
      </c>
      <c r="F442" s="420" t="s">
        <v>3193</v>
      </c>
    </row>
    <row r="443" spans="1:6" x14ac:dyDescent="0.25">
      <c r="A443" s="417" t="s">
        <v>3550</v>
      </c>
      <c r="B443" s="417" t="s">
        <v>2034</v>
      </c>
      <c r="D443" s="510">
        <v>49922</v>
      </c>
      <c r="E443" s="510" t="s">
        <v>3550</v>
      </c>
      <c r="F443" s="418" t="s">
        <v>3551</v>
      </c>
    </row>
    <row r="444" spans="1:6" x14ac:dyDescent="0.25">
      <c r="A444" s="417" t="s">
        <v>3452</v>
      </c>
      <c r="B444" s="417" t="s">
        <v>2540</v>
      </c>
      <c r="D444" s="510">
        <v>49926</v>
      </c>
      <c r="E444" s="510" t="s">
        <v>3452</v>
      </c>
      <c r="F444" s="420" t="s">
        <v>3453</v>
      </c>
    </row>
    <row r="445" spans="1:6" x14ac:dyDescent="0.25">
      <c r="A445" s="417" t="s">
        <v>3232</v>
      </c>
      <c r="B445" s="417" t="s">
        <v>2034</v>
      </c>
      <c r="D445" s="510">
        <v>49928</v>
      </c>
      <c r="E445" s="510" t="s">
        <v>3232</v>
      </c>
      <c r="F445" s="420" t="s">
        <v>3233</v>
      </c>
    </row>
    <row r="446" spans="1:6" x14ac:dyDescent="0.25">
      <c r="A446" s="417" t="s">
        <v>3417</v>
      </c>
      <c r="B446" s="417" t="s">
        <v>2034</v>
      </c>
      <c r="D446" s="510">
        <v>49928</v>
      </c>
      <c r="E446" s="510" t="s">
        <v>3417</v>
      </c>
      <c r="F446" s="420" t="s">
        <v>3418</v>
      </c>
    </row>
    <row r="447" spans="1:6" x14ac:dyDescent="0.25">
      <c r="A447" s="417" t="s">
        <v>3234</v>
      </c>
      <c r="B447" s="417" t="s">
        <v>2587</v>
      </c>
      <c r="D447" s="510">
        <v>49929</v>
      </c>
      <c r="E447" s="510" t="s">
        <v>3234</v>
      </c>
      <c r="F447" s="420" t="s">
        <v>3235</v>
      </c>
    </row>
    <row r="448" spans="1:6" x14ac:dyDescent="0.25">
      <c r="A448" s="417" t="s">
        <v>3454</v>
      </c>
      <c r="B448" s="417" t="s">
        <v>2540</v>
      </c>
      <c r="D448" s="510">
        <v>49940</v>
      </c>
      <c r="E448" s="510" t="s">
        <v>3454</v>
      </c>
      <c r="F448" s="420" t="s">
        <v>3455</v>
      </c>
    </row>
    <row r="449" spans="1:6" x14ac:dyDescent="0.25">
      <c r="A449" s="417" t="s">
        <v>3385</v>
      </c>
      <c r="B449" s="417" t="s">
        <v>2549</v>
      </c>
      <c r="D449" s="510">
        <v>49953</v>
      </c>
      <c r="E449" s="510" t="s">
        <v>3385</v>
      </c>
      <c r="F449" s="420" t="s">
        <v>4717</v>
      </c>
    </row>
    <row r="450" spans="1:6" x14ac:dyDescent="0.25">
      <c r="A450" s="417" t="s">
        <v>3305</v>
      </c>
      <c r="B450" s="417" t="s">
        <v>2540</v>
      </c>
      <c r="D450" s="510">
        <v>50017</v>
      </c>
      <c r="E450" s="510" t="s">
        <v>3305</v>
      </c>
      <c r="F450" s="418" t="s">
        <v>3306</v>
      </c>
    </row>
    <row r="451" spans="1:6" x14ac:dyDescent="0.25">
      <c r="A451" s="417" t="s">
        <v>3303</v>
      </c>
      <c r="B451" s="417" t="s">
        <v>2540</v>
      </c>
      <c r="D451" s="510">
        <v>50018</v>
      </c>
      <c r="E451" s="510" t="s">
        <v>3303</v>
      </c>
      <c r="F451" s="418" t="s">
        <v>3304</v>
      </c>
    </row>
    <row r="452" spans="1:6" x14ac:dyDescent="0.25">
      <c r="A452" s="417" t="s">
        <v>3386</v>
      </c>
      <c r="B452" s="417" t="s">
        <v>2540</v>
      </c>
      <c r="D452" s="510">
        <v>50020</v>
      </c>
      <c r="E452" s="510" t="s">
        <v>3386</v>
      </c>
      <c r="F452" s="420" t="s">
        <v>4718</v>
      </c>
    </row>
    <row r="453" spans="1:6" x14ac:dyDescent="0.25">
      <c r="A453" s="417" t="s">
        <v>3378</v>
      </c>
      <c r="B453" s="417" t="s">
        <v>2549</v>
      </c>
      <c r="D453" s="510">
        <v>50113</v>
      </c>
      <c r="E453" s="510" t="s">
        <v>3378</v>
      </c>
      <c r="F453" s="420" t="s">
        <v>4714</v>
      </c>
    </row>
    <row r="454" spans="1:6" x14ac:dyDescent="0.25">
      <c r="A454" s="417" t="s">
        <v>3172</v>
      </c>
      <c r="B454" s="417" t="s">
        <v>2540</v>
      </c>
      <c r="D454" s="510">
        <v>50151</v>
      </c>
      <c r="E454" s="510" t="s">
        <v>3172</v>
      </c>
      <c r="F454" s="418" t="s">
        <v>3173</v>
      </c>
    </row>
    <row r="455" spans="1:6" x14ac:dyDescent="0.25">
      <c r="A455" s="417" t="s">
        <v>3347</v>
      </c>
      <c r="B455" s="417" t="s">
        <v>2549</v>
      </c>
      <c r="D455" s="510">
        <v>50153</v>
      </c>
      <c r="E455" s="510" t="s">
        <v>3347</v>
      </c>
      <c r="F455" s="420" t="s">
        <v>3348</v>
      </c>
    </row>
    <row r="456" spans="1:6" x14ac:dyDescent="0.25">
      <c r="A456" s="417" t="s">
        <v>3228</v>
      </c>
      <c r="B456" s="417" t="s">
        <v>2540</v>
      </c>
      <c r="D456" s="510">
        <v>50192</v>
      </c>
      <c r="E456" s="510" t="s">
        <v>3228</v>
      </c>
      <c r="F456" s="420" t="s">
        <v>3229</v>
      </c>
    </row>
    <row r="457" spans="1:6" x14ac:dyDescent="0.25">
      <c r="A457" s="417" t="s">
        <v>3379</v>
      </c>
      <c r="B457" s="417" t="s">
        <v>2549</v>
      </c>
      <c r="D457" s="510">
        <v>50292</v>
      </c>
      <c r="E457" s="510" t="s">
        <v>3379</v>
      </c>
      <c r="F457" s="420" t="s">
        <v>4715</v>
      </c>
    </row>
    <row r="458" spans="1:6" x14ac:dyDescent="0.25">
      <c r="A458" s="417" t="s">
        <v>3345</v>
      </c>
      <c r="B458" s="417" t="s">
        <v>2549</v>
      </c>
      <c r="D458" s="510">
        <v>50295</v>
      </c>
      <c r="E458" s="510" t="s">
        <v>3345</v>
      </c>
      <c r="F458" s="420" t="s">
        <v>3346</v>
      </c>
    </row>
    <row r="459" spans="1:6" x14ac:dyDescent="0.25">
      <c r="A459" s="417" t="s">
        <v>3283</v>
      </c>
      <c r="B459" s="417" t="s">
        <v>2587</v>
      </c>
      <c r="D459" s="510">
        <v>50341</v>
      </c>
      <c r="E459" s="510" t="s">
        <v>3283</v>
      </c>
      <c r="F459" s="420" t="s">
        <v>3284</v>
      </c>
    </row>
    <row r="460" spans="1:6" x14ac:dyDescent="0.25">
      <c r="A460" s="417" t="s">
        <v>3277</v>
      </c>
      <c r="B460" s="417" t="s">
        <v>2587</v>
      </c>
      <c r="D460" s="510">
        <v>50772</v>
      </c>
      <c r="E460" s="510" t="s">
        <v>3277</v>
      </c>
      <c r="F460" s="420" t="s">
        <v>3278</v>
      </c>
    </row>
    <row r="461" spans="1:6" x14ac:dyDescent="0.25">
      <c r="A461" s="417" t="s">
        <v>3273</v>
      </c>
      <c r="B461" s="417" t="s">
        <v>2040</v>
      </c>
      <c r="D461" s="510">
        <v>50796</v>
      </c>
      <c r="E461" s="510" t="s">
        <v>3273</v>
      </c>
      <c r="F461" s="420" t="s">
        <v>3274</v>
      </c>
    </row>
    <row r="462" spans="1:6" x14ac:dyDescent="0.25">
      <c r="A462" s="417" t="s">
        <v>3275</v>
      </c>
      <c r="B462" s="417" t="s">
        <v>2587</v>
      </c>
      <c r="D462" s="510">
        <v>50800</v>
      </c>
      <c r="E462" s="510" t="s">
        <v>3275</v>
      </c>
      <c r="F462" s="420" t="s">
        <v>3276</v>
      </c>
    </row>
    <row r="463" spans="1:6" x14ac:dyDescent="0.25">
      <c r="A463" s="417" t="s">
        <v>3250</v>
      </c>
      <c r="B463" s="417" t="s">
        <v>2540</v>
      </c>
      <c r="D463" s="510">
        <v>51052</v>
      </c>
      <c r="E463" s="510" t="s">
        <v>3250</v>
      </c>
      <c r="F463" s="420" t="s">
        <v>3251</v>
      </c>
    </row>
    <row r="464" spans="1:6" x14ac:dyDescent="0.25">
      <c r="A464" s="417" t="s">
        <v>3287</v>
      </c>
      <c r="B464" s="417" t="s">
        <v>2540</v>
      </c>
      <c r="D464" s="510">
        <v>51053</v>
      </c>
      <c r="E464" s="510" t="s">
        <v>3287</v>
      </c>
      <c r="F464" s="420" t="s">
        <v>3288</v>
      </c>
    </row>
    <row r="465" spans="1:6" x14ac:dyDescent="0.25">
      <c r="A465" s="417" t="s">
        <v>3335</v>
      </c>
      <c r="B465" s="417" t="s">
        <v>2540</v>
      </c>
      <c r="D465" s="510">
        <v>51317</v>
      </c>
      <c r="E465" s="510" t="s">
        <v>3335</v>
      </c>
      <c r="F465" s="420" t="s">
        <v>3336</v>
      </c>
    </row>
    <row r="466" spans="1:6" x14ac:dyDescent="0.25">
      <c r="A466" s="417" t="s">
        <v>3357</v>
      </c>
      <c r="B466" s="417" t="s">
        <v>2034</v>
      </c>
      <c r="D466" s="510">
        <v>51404</v>
      </c>
      <c r="E466" s="510" t="s">
        <v>3357</v>
      </c>
      <c r="F466" s="420" t="s">
        <v>3358</v>
      </c>
    </row>
    <row r="467" spans="1:6" x14ac:dyDescent="0.25">
      <c r="A467" s="417" t="s">
        <v>3301</v>
      </c>
      <c r="B467" s="417" t="s">
        <v>2540</v>
      </c>
      <c r="D467" s="510">
        <v>51409</v>
      </c>
      <c r="E467" s="510" t="s">
        <v>3301</v>
      </c>
      <c r="F467" s="418" t="s">
        <v>3302</v>
      </c>
    </row>
    <row r="468" spans="1:6" x14ac:dyDescent="0.25">
      <c r="A468" s="417" t="s">
        <v>3516</v>
      </c>
      <c r="B468" s="417" t="s">
        <v>2549</v>
      </c>
      <c r="D468" s="510">
        <v>51481</v>
      </c>
      <c r="E468" s="510" t="s">
        <v>3516</v>
      </c>
      <c r="F468" s="418" t="s">
        <v>3517</v>
      </c>
    </row>
    <row r="469" spans="1:6" x14ac:dyDescent="0.25">
      <c r="A469" s="417" t="s">
        <v>3388</v>
      </c>
      <c r="B469" s="417" t="s">
        <v>2549</v>
      </c>
      <c r="D469" s="510">
        <v>51484</v>
      </c>
      <c r="E469" s="510" t="s">
        <v>3388</v>
      </c>
      <c r="F469" s="420" t="s">
        <v>4720</v>
      </c>
    </row>
    <row r="470" spans="1:6" x14ac:dyDescent="0.25">
      <c r="A470" s="417" t="s">
        <v>3387</v>
      </c>
      <c r="B470" s="417" t="s">
        <v>2549</v>
      </c>
      <c r="D470" s="510">
        <v>51485</v>
      </c>
      <c r="E470" s="510" t="s">
        <v>3387</v>
      </c>
      <c r="F470" s="420" t="s">
        <v>4719</v>
      </c>
    </row>
    <row r="471" spans="1:6" x14ac:dyDescent="0.25">
      <c r="A471" s="417" t="s">
        <v>3299</v>
      </c>
      <c r="B471" s="417" t="s">
        <v>2540</v>
      </c>
      <c r="D471" s="510">
        <v>51526</v>
      </c>
      <c r="E471" s="510" t="s">
        <v>3299</v>
      </c>
      <c r="F471" s="418" t="s">
        <v>3300</v>
      </c>
    </row>
    <row r="472" spans="1:6" x14ac:dyDescent="0.25">
      <c r="A472" s="417" t="s">
        <v>3466</v>
      </c>
      <c r="B472" s="417" t="s">
        <v>2540</v>
      </c>
      <c r="D472" s="510">
        <v>51526</v>
      </c>
      <c r="E472" s="510" t="s">
        <v>3466</v>
      </c>
      <c r="F472" s="418" t="s">
        <v>3467</v>
      </c>
    </row>
    <row r="473" spans="1:6" x14ac:dyDescent="0.25">
      <c r="A473" s="417" t="s">
        <v>3343</v>
      </c>
      <c r="B473" s="417" t="s">
        <v>2034</v>
      </c>
      <c r="D473" s="510">
        <v>51593</v>
      </c>
      <c r="E473" s="510" t="s">
        <v>3343</v>
      </c>
      <c r="F473" s="420" t="s">
        <v>3344</v>
      </c>
    </row>
    <row r="474" spans="1:6" x14ac:dyDescent="0.25">
      <c r="A474" s="417" t="s">
        <v>3333</v>
      </c>
      <c r="B474" s="417" t="s">
        <v>2540</v>
      </c>
      <c r="D474" s="510">
        <v>51711</v>
      </c>
      <c r="E474" s="510" t="s">
        <v>3333</v>
      </c>
      <c r="F474" s="420" t="s">
        <v>3334</v>
      </c>
    </row>
    <row r="475" spans="1:6" x14ac:dyDescent="0.25">
      <c r="A475" s="417" t="s">
        <v>3440</v>
      </c>
      <c r="B475" s="417" t="s">
        <v>2540</v>
      </c>
      <c r="D475" s="510">
        <v>51771</v>
      </c>
      <c r="E475" s="510" t="s">
        <v>3440</v>
      </c>
      <c r="F475" s="420" t="s">
        <v>3441</v>
      </c>
    </row>
    <row r="476" spans="1:6" x14ac:dyDescent="0.25">
      <c r="A476" s="417" t="s">
        <v>3444</v>
      </c>
      <c r="B476" s="417" t="s">
        <v>2540</v>
      </c>
      <c r="D476" s="510">
        <v>51775</v>
      </c>
      <c r="E476" s="510" t="s">
        <v>3444</v>
      </c>
      <c r="F476" s="420" t="s">
        <v>3445</v>
      </c>
    </row>
    <row r="477" spans="1:6" x14ac:dyDescent="0.25">
      <c r="A477" s="417" t="s">
        <v>3393</v>
      </c>
      <c r="B477" s="417" t="s">
        <v>2540</v>
      </c>
      <c r="D477" s="510">
        <v>51788</v>
      </c>
      <c r="E477" s="510" t="s">
        <v>3393</v>
      </c>
      <c r="F477" s="420" t="s">
        <v>3394</v>
      </c>
    </row>
    <row r="478" spans="1:6" x14ac:dyDescent="0.25">
      <c r="A478" s="417" t="s">
        <v>3395</v>
      </c>
      <c r="B478" s="417" t="s">
        <v>2540</v>
      </c>
      <c r="D478" s="510">
        <v>51791</v>
      </c>
      <c r="E478" s="510" t="s">
        <v>3395</v>
      </c>
      <c r="F478" s="420" t="s">
        <v>3396</v>
      </c>
    </row>
    <row r="479" spans="1:6" x14ac:dyDescent="0.25">
      <c r="A479" s="417" t="s">
        <v>3397</v>
      </c>
      <c r="B479" s="417" t="s">
        <v>2540</v>
      </c>
      <c r="D479" s="510">
        <v>51793</v>
      </c>
      <c r="E479" s="510" t="s">
        <v>3397</v>
      </c>
      <c r="F479" s="420" t="s">
        <v>3398</v>
      </c>
    </row>
    <row r="480" spans="1:6" x14ac:dyDescent="0.25">
      <c r="A480" s="417" t="s">
        <v>3413</v>
      </c>
      <c r="B480" s="417" t="s">
        <v>2540</v>
      </c>
      <c r="D480" s="510">
        <v>51808</v>
      </c>
      <c r="E480" s="510" t="s">
        <v>3413</v>
      </c>
      <c r="F480" s="420" t="s">
        <v>3414</v>
      </c>
    </row>
    <row r="481" spans="1:6" x14ac:dyDescent="0.25">
      <c r="A481" s="417" t="s">
        <v>3552</v>
      </c>
      <c r="B481" s="417" t="s">
        <v>2540</v>
      </c>
      <c r="D481" s="510">
        <v>51808</v>
      </c>
      <c r="E481" s="510" t="s">
        <v>3552</v>
      </c>
      <c r="F481" s="418" t="s">
        <v>3553</v>
      </c>
    </row>
    <row r="482" spans="1:6" x14ac:dyDescent="0.25">
      <c r="A482" s="417" t="s">
        <v>3399</v>
      </c>
      <c r="B482" s="417" t="s">
        <v>2540</v>
      </c>
      <c r="D482" s="510">
        <v>51870</v>
      </c>
      <c r="E482" s="510" t="s">
        <v>3399</v>
      </c>
      <c r="F482" s="420" t="s">
        <v>3400</v>
      </c>
    </row>
    <row r="483" spans="1:6" x14ac:dyDescent="0.25">
      <c r="A483" s="417" t="s">
        <v>3382</v>
      </c>
      <c r="B483" s="417" t="s">
        <v>2040</v>
      </c>
      <c r="D483" s="510">
        <v>51956</v>
      </c>
      <c r="E483" s="510" t="s">
        <v>3382</v>
      </c>
      <c r="F483" s="420" t="s">
        <v>3383</v>
      </c>
    </row>
    <row r="484" spans="1:6" x14ac:dyDescent="0.25">
      <c r="A484" s="417" t="s">
        <v>3484</v>
      </c>
      <c r="B484" s="417" t="s">
        <v>2540</v>
      </c>
      <c r="D484" s="510">
        <v>52008</v>
      </c>
      <c r="E484" s="510" t="s">
        <v>3484</v>
      </c>
      <c r="F484" s="418" t="s">
        <v>3485</v>
      </c>
    </row>
    <row r="485" spans="1:6" x14ac:dyDescent="0.25">
      <c r="A485" s="417" t="s">
        <v>3426</v>
      </c>
      <c r="B485" s="417" t="s">
        <v>2034</v>
      </c>
      <c r="D485" s="510">
        <v>52107</v>
      </c>
      <c r="E485" s="510" t="s">
        <v>3426</v>
      </c>
      <c r="F485" s="420" t="s">
        <v>3427</v>
      </c>
    </row>
    <row r="486" spans="1:6" x14ac:dyDescent="0.25">
      <c r="A486" s="417" t="s">
        <v>3482</v>
      </c>
      <c r="B486" s="417" t="s">
        <v>2540</v>
      </c>
      <c r="D486" s="510">
        <v>52143</v>
      </c>
      <c r="E486" s="510" t="s">
        <v>3482</v>
      </c>
      <c r="F486" s="418" t="s">
        <v>3483</v>
      </c>
    </row>
    <row r="487" spans="1:6" x14ac:dyDescent="0.25">
      <c r="A487" s="417" t="s">
        <v>3428</v>
      </c>
      <c r="B487" s="417" t="s">
        <v>2540</v>
      </c>
      <c r="D487" s="510">
        <v>52239</v>
      </c>
      <c r="E487" s="510" t="s">
        <v>3428</v>
      </c>
      <c r="F487" s="420" t="s">
        <v>3429</v>
      </c>
    </row>
    <row r="488" spans="1:6" x14ac:dyDescent="0.25">
      <c r="A488" s="417" t="s">
        <v>3586</v>
      </c>
      <c r="B488" s="417" t="s">
        <v>2540</v>
      </c>
      <c r="D488" s="510">
        <v>52292</v>
      </c>
      <c r="E488" s="510" t="s">
        <v>3586</v>
      </c>
      <c r="F488" s="420" t="s">
        <v>3587</v>
      </c>
    </row>
    <row r="489" spans="1:6" x14ac:dyDescent="0.25">
      <c r="A489" s="417" t="s">
        <v>3472</v>
      </c>
      <c r="B489" s="417" t="s">
        <v>2034</v>
      </c>
      <c r="D489" s="510">
        <v>52323</v>
      </c>
      <c r="E489" s="510" t="s">
        <v>3472</v>
      </c>
      <c r="F489" s="418" t="s">
        <v>3473</v>
      </c>
    </row>
    <row r="490" spans="1:6" x14ac:dyDescent="0.25">
      <c r="A490" s="417" t="s">
        <v>3423</v>
      </c>
      <c r="B490" s="417" t="s">
        <v>2540</v>
      </c>
      <c r="D490" s="510" t="s">
        <v>4736</v>
      </c>
      <c r="E490" s="510" t="s">
        <v>3423</v>
      </c>
      <c r="F490" s="420" t="s">
        <v>4735</v>
      </c>
    </row>
    <row r="491" spans="1:6" x14ac:dyDescent="0.25">
      <c r="A491" s="417" t="s">
        <v>3422</v>
      </c>
      <c r="B491" s="417" t="s">
        <v>2540</v>
      </c>
      <c r="D491" s="510" t="s">
        <v>4737</v>
      </c>
      <c r="E491" s="510" t="s">
        <v>3422</v>
      </c>
      <c r="F491" s="420" t="s">
        <v>4734</v>
      </c>
    </row>
    <row r="492" spans="1:6" x14ac:dyDescent="0.25">
      <c r="A492" s="417" t="s">
        <v>3409</v>
      </c>
      <c r="B492" s="417" t="s">
        <v>2540</v>
      </c>
      <c r="D492" s="510" t="s">
        <v>4738</v>
      </c>
      <c r="E492" s="510" t="s">
        <v>3409</v>
      </c>
      <c r="F492" s="420" t="s">
        <v>3410</v>
      </c>
    </row>
    <row r="493" spans="1:6" x14ac:dyDescent="0.25">
      <c r="A493" s="417" t="s">
        <v>3401</v>
      </c>
      <c r="B493" s="417" t="s">
        <v>2540</v>
      </c>
      <c r="D493" s="510" t="s">
        <v>4739</v>
      </c>
      <c r="E493" s="510" t="s">
        <v>3401</v>
      </c>
      <c r="F493" s="420" t="s">
        <v>3402</v>
      </c>
    </row>
    <row r="494" spans="1:6" x14ac:dyDescent="0.25">
      <c r="A494" s="417" t="s">
        <v>3430</v>
      </c>
      <c r="B494" s="417" t="s">
        <v>2540</v>
      </c>
      <c r="D494" s="510" t="s">
        <v>4740</v>
      </c>
      <c r="E494" s="510" t="s">
        <v>3430</v>
      </c>
      <c r="F494" s="420" t="s">
        <v>3431</v>
      </c>
    </row>
    <row r="495" spans="1:6" x14ac:dyDescent="0.25">
      <c r="A495" s="417" t="s">
        <v>3490</v>
      </c>
      <c r="B495" s="417" t="s">
        <v>2040</v>
      </c>
      <c r="C495" s="417" t="s">
        <v>2450</v>
      </c>
      <c r="D495" s="510" t="s">
        <v>4741</v>
      </c>
      <c r="E495" s="510" t="s">
        <v>3490</v>
      </c>
      <c r="F495" s="418" t="s">
        <v>3491</v>
      </c>
    </row>
    <row r="496" spans="1:6" x14ac:dyDescent="0.25">
      <c r="A496" s="417" t="s">
        <v>3590</v>
      </c>
      <c r="B496" s="417" t="s">
        <v>2549</v>
      </c>
      <c r="D496" s="510" t="s">
        <v>4742</v>
      </c>
      <c r="E496" s="510" t="s">
        <v>3590</v>
      </c>
      <c r="F496" s="418" t="s">
        <v>3591</v>
      </c>
    </row>
    <row r="497" spans="1:6" x14ac:dyDescent="0.25">
      <c r="A497" s="417" t="s">
        <v>3514</v>
      </c>
      <c r="B497" s="417" t="s">
        <v>2540</v>
      </c>
      <c r="D497" s="510" t="s">
        <v>4743</v>
      </c>
      <c r="E497" s="510" t="s">
        <v>3514</v>
      </c>
      <c r="F497" s="418" t="s">
        <v>3515</v>
      </c>
    </row>
    <row r="498" spans="1:6" x14ac:dyDescent="0.25">
      <c r="A498" s="417" t="s">
        <v>3403</v>
      </c>
      <c r="B498" s="417" t="s">
        <v>2540</v>
      </c>
      <c r="D498" s="510" t="s">
        <v>4744</v>
      </c>
      <c r="E498" s="510" t="s">
        <v>3403</v>
      </c>
      <c r="F498" s="420" t="s">
        <v>3404</v>
      </c>
    </row>
    <row r="499" spans="1:6" x14ac:dyDescent="0.25">
      <c r="A499" s="417" t="s">
        <v>3407</v>
      </c>
      <c r="B499" s="417" t="s">
        <v>2540</v>
      </c>
      <c r="D499" s="510" t="s">
        <v>4745</v>
      </c>
      <c r="E499" s="510" t="s">
        <v>3407</v>
      </c>
      <c r="F499" s="420" t="s">
        <v>3408</v>
      </c>
    </row>
    <row r="500" spans="1:6" x14ac:dyDescent="0.25">
      <c r="A500" s="417" t="s">
        <v>3504</v>
      </c>
      <c r="B500" s="417" t="s">
        <v>2540</v>
      </c>
      <c r="D500" s="510" t="s">
        <v>4746</v>
      </c>
      <c r="E500" s="510" t="s">
        <v>3504</v>
      </c>
      <c r="F500" s="418" t="s">
        <v>3505</v>
      </c>
    </row>
    <row r="501" spans="1:6" x14ac:dyDescent="0.25">
      <c r="A501" s="417" t="s">
        <v>3478</v>
      </c>
      <c r="B501" s="417" t="s">
        <v>2540</v>
      </c>
      <c r="D501" s="510" t="s">
        <v>4747</v>
      </c>
      <c r="E501" s="510" t="s">
        <v>3478</v>
      </c>
      <c r="F501" s="420" t="s">
        <v>3479</v>
      </c>
    </row>
    <row r="502" spans="1:6" x14ac:dyDescent="0.25">
      <c r="A502" s="417" t="s">
        <v>3480</v>
      </c>
      <c r="B502" s="417" t="s">
        <v>2540</v>
      </c>
      <c r="D502" s="510" t="s">
        <v>4748</v>
      </c>
      <c r="E502" s="510" t="s">
        <v>3480</v>
      </c>
      <c r="F502" s="420" t="s">
        <v>3481</v>
      </c>
    </row>
    <row r="503" spans="1:6" x14ac:dyDescent="0.25">
      <c r="A503" s="417" t="s">
        <v>3486</v>
      </c>
      <c r="B503" s="417" t="s">
        <v>2540</v>
      </c>
      <c r="D503" s="510" t="s">
        <v>4749</v>
      </c>
      <c r="E503" s="510" t="s">
        <v>3486</v>
      </c>
      <c r="F503" s="418" t="s">
        <v>3487</v>
      </c>
    </row>
    <row r="504" spans="1:6" x14ac:dyDescent="0.25">
      <c r="A504" s="417" t="s">
        <v>3476</v>
      </c>
      <c r="B504" s="417" t="s">
        <v>2540</v>
      </c>
      <c r="D504" s="510" t="s">
        <v>4750</v>
      </c>
      <c r="E504" s="510" t="s">
        <v>3476</v>
      </c>
      <c r="F504" s="420" t="s">
        <v>3477</v>
      </c>
    </row>
    <row r="505" spans="1:6" x14ac:dyDescent="0.25">
      <c r="A505" s="417" t="s">
        <v>3524</v>
      </c>
      <c r="B505" s="417" t="s">
        <v>2540</v>
      </c>
      <c r="D505" s="510" t="s">
        <v>4751</v>
      </c>
      <c r="E505" s="510" t="s">
        <v>3524</v>
      </c>
      <c r="F505" s="418" t="s">
        <v>3525</v>
      </c>
    </row>
    <row r="506" spans="1:6" x14ac:dyDescent="0.25">
      <c r="A506" s="417" t="s">
        <v>3506</v>
      </c>
      <c r="B506" s="417" t="s">
        <v>2540</v>
      </c>
      <c r="D506" s="510" t="s">
        <v>4752</v>
      </c>
      <c r="E506" s="510" t="s">
        <v>3506</v>
      </c>
      <c r="F506" s="418" t="s">
        <v>3507</v>
      </c>
    </row>
    <row r="507" spans="1:6" x14ac:dyDescent="0.25">
      <c r="A507" s="417" t="s">
        <v>3474</v>
      </c>
      <c r="B507" s="417" t="s">
        <v>2587</v>
      </c>
      <c r="D507" s="510" t="s">
        <v>1718</v>
      </c>
      <c r="E507" s="510" t="s">
        <v>3474</v>
      </c>
      <c r="F507" s="418" t="s">
        <v>3475</v>
      </c>
    </row>
    <row r="508" spans="1:6" x14ac:dyDescent="0.25">
      <c r="A508" s="417" t="s">
        <v>3616</v>
      </c>
      <c r="B508" s="417" t="s">
        <v>2549</v>
      </c>
      <c r="D508" s="510" t="s">
        <v>4753</v>
      </c>
      <c r="E508" s="510" t="s">
        <v>3616</v>
      </c>
      <c r="F508" s="418" t="s">
        <v>3617</v>
      </c>
    </row>
    <row r="509" spans="1:6" x14ac:dyDescent="0.25">
      <c r="A509" s="417" t="s">
        <v>3592</v>
      </c>
      <c r="B509" s="417" t="s">
        <v>2549</v>
      </c>
      <c r="D509" s="510" t="s">
        <v>4754</v>
      </c>
      <c r="E509" s="510" t="s">
        <v>3592</v>
      </c>
      <c r="F509" s="418" t="s">
        <v>3593</v>
      </c>
    </row>
    <row r="510" spans="1:6" x14ac:dyDescent="0.25">
      <c r="A510" s="417" t="s">
        <v>3502</v>
      </c>
      <c r="B510" s="417" t="s">
        <v>2549</v>
      </c>
      <c r="D510" s="510" t="s">
        <v>4755</v>
      </c>
      <c r="E510" s="510" t="s">
        <v>3502</v>
      </c>
      <c r="F510" s="418" t="s">
        <v>3503</v>
      </c>
    </row>
    <row r="511" spans="1:6" ht="18" x14ac:dyDescent="0.25">
      <c r="A511" s="417" t="s">
        <v>3582</v>
      </c>
      <c r="B511" s="417" t="s">
        <v>2549</v>
      </c>
      <c r="D511" s="510" t="s">
        <v>4756</v>
      </c>
      <c r="E511" s="510" t="s">
        <v>3582</v>
      </c>
      <c r="F511" s="421" t="s">
        <v>3583</v>
      </c>
    </row>
    <row r="512" spans="1:6" x14ac:dyDescent="0.25">
      <c r="A512" s="417" t="s">
        <v>3526</v>
      </c>
      <c r="B512" s="417" t="s">
        <v>2540</v>
      </c>
      <c r="D512" s="510" t="s">
        <v>4757</v>
      </c>
      <c r="E512" s="510" t="s">
        <v>3526</v>
      </c>
      <c r="F512" s="418" t="s">
        <v>3527</v>
      </c>
    </row>
    <row r="513" spans="1:6" x14ac:dyDescent="0.25">
      <c r="A513" s="417" t="s">
        <v>3606</v>
      </c>
      <c r="B513" s="417" t="s">
        <v>2549</v>
      </c>
      <c r="D513" s="510" t="s">
        <v>4758</v>
      </c>
      <c r="E513" s="510" t="s">
        <v>3606</v>
      </c>
      <c r="F513" s="418" t="s">
        <v>3607</v>
      </c>
    </row>
    <row r="514" spans="1:6" x14ac:dyDescent="0.25">
      <c r="A514" s="417" t="s">
        <v>3544</v>
      </c>
      <c r="B514" s="417" t="s">
        <v>2549</v>
      </c>
      <c r="D514" s="510" t="s">
        <v>4759</v>
      </c>
      <c r="E514" s="510" t="s">
        <v>3544</v>
      </c>
      <c r="F514" s="418" t="s">
        <v>3545</v>
      </c>
    </row>
    <row r="515" spans="1:6" x14ac:dyDescent="0.25">
      <c r="A515" s="417" t="s">
        <v>3564</v>
      </c>
      <c r="B515" s="417" t="s">
        <v>2549</v>
      </c>
      <c r="D515" s="510" t="s">
        <v>4760</v>
      </c>
      <c r="E515" s="510" t="s">
        <v>3564</v>
      </c>
      <c r="F515" s="418" t="s">
        <v>3565</v>
      </c>
    </row>
    <row r="516" spans="1:6" x14ac:dyDescent="0.25">
      <c r="A516" s="417" t="s">
        <v>3488</v>
      </c>
      <c r="B516" s="417" t="s">
        <v>2587</v>
      </c>
      <c r="D516" s="510" t="s">
        <v>4761</v>
      </c>
      <c r="E516" s="510" t="s">
        <v>3488</v>
      </c>
      <c r="F516" s="418" t="s">
        <v>3489</v>
      </c>
    </row>
    <row r="517" spans="1:6" x14ac:dyDescent="0.25">
      <c r="A517" s="417" t="s">
        <v>3554</v>
      </c>
      <c r="B517" s="417" t="s">
        <v>2549</v>
      </c>
      <c r="D517" s="510" t="s">
        <v>4762</v>
      </c>
      <c r="E517" s="510" t="s">
        <v>3554</v>
      </c>
      <c r="F517" s="418" t="s">
        <v>3555</v>
      </c>
    </row>
    <row r="518" spans="1:6" x14ac:dyDescent="0.25">
      <c r="A518" s="417" t="s">
        <v>3534</v>
      </c>
      <c r="B518" s="417" t="s">
        <v>2540</v>
      </c>
      <c r="D518" s="510" t="s">
        <v>4763</v>
      </c>
      <c r="E518" s="510" t="s">
        <v>3534</v>
      </c>
      <c r="F518" s="418" t="s">
        <v>3535</v>
      </c>
    </row>
    <row r="519" spans="1:6" x14ac:dyDescent="0.25">
      <c r="A519" s="417" t="s">
        <v>3508</v>
      </c>
      <c r="B519" s="417" t="s">
        <v>2540</v>
      </c>
      <c r="D519" s="510" t="s">
        <v>4764</v>
      </c>
      <c r="E519" s="510" t="s">
        <v>3508</v>
      </c>
      <c r="F519" s="418" t="s">
        <v>3509</v>
      </c>
    </row>
    <row r="520" spans="1:6" x14ac:dyDescent="0.25">
      <c r="A520" s="417" t="s">
        <v>3512</v>
      </c>
      <c r="B520" s="417" t="s">
        <v>2587</v>
      </c>
      <c r="C520" s="417" t="s">
        <v>2450</v>
      </c>
      <c r="D520" s="510" t="s">
        <v>4765</v>
      </c>
      <c r="E520" s="510" t="s">
        <v>3512</v>
      </c>
      <c r="F520" s="418" t="s">
        <v>3513</v>
      </c>
    </row>
    <row r="521" spans="1:6" x14ac:dyDescent="0.25">
      <c r="A521" s="417" t="s">
        <v>3570</v>
      </c>
      <c r="B521" s="417" t="s">
        <v>2540</v>
      </c>
      <c r="D521" s="510" t="s">
        <v>4766</v>
      </c>
      <c r="E521" s="510" t="s">
        <v>3570</v>
      </c>
      <c r="F521" s="418" t="s">
        <v>3571</v>
      </c>
    </row>
    <row r="522" spans="1:6" x14ac:dyDescent="0.25">
      <c r="A522" s="417" t="s">
        <v>3546</v>
      </c>
      <c r="B522" s="417" t="s">
        <v>2549</v>
      </c>
      <c r="D522" s="510" t="s">
        <v>4767</v>
      </c>
      <c r="E522" s="510" t="s">
        <v>3546</v>
      </c>
      <c r="F522" s="418" t="s">
        <v>3547</v>
      </c>
    </row>
    <row r="523" spans="1:6" x14ac:dyDescent="0.25">
      <c r="A523" s="417" t="s">
        <v>3560</v>
      </c>
      <c r="B523" s="417" t="s">
        <v>2540</v>
      </c>
      <c r="D523" s="510" t="s">
        <v>4768</v>
      </c>
      <c r="E523" s="510" t="s">
        <v>3560</v>
      </c>
      <c r="F523" s="418" t="s">
        <v>3561</v>
      </c>
    </row>
    <row r="524" spans="1:6" x14ac:dyDescent="0.25">
      <c r="A524" s="417" t="s">
        <v>3614</v>
      </c>
      <c r="B524" s="417" t="s">
        <v>2540</v>
      </c>
      <c r="D524" s="510" t="s">
        <v>4769</v>
      </c>
      <c r="E524" s="510" t="s">
        <v>3614</v>
      </c>
      <c r="F524" s="418" t="s">
        <v>3615</v>
      </c>
    </row>
    <row r="525" spans="1:6" x14ac:dyDescent="0.25">
      <c r="A525" s="417" t="s">
        <v>3536</v>
      </c>
      <c r="B525" s="417" t="s">
        <v>2540</v>
      </c>
      <c r="D525" s="510" t="s">
        <v>4770</v>
      </c>
      <c r="E525" s="510" t="s">
        <v>3536</v>
      </c>
      <c r="F525" s="418" t="s">
        <v>3537</v>
      </c>
    </row>
    <row r="526" spans="1:6" x14ac:dyDescent="0.25">
      <c r="A526" s="417" t="s">
        <v>3562</v>
      </c>
      <c r="B526" s="417" t="s">
        <v>2549</v>
      </c>
      <c r="D526" s="510" t="s">
        <v>3790</v>
      </c>
      <c r="E526" s="510" t="s">
        <v>3562</v>
      </c>
      <c r="F526" s="418" t="s">
        <v>3563</v>
      </c>
    </row>
    <row r="527" spans="1:6" x14ac:dyDescent="0.25">
      <c r="A527" s="417" t="s">
        <v>3584</v>
      </c>
      <c r="B527" s="417" t="s">
        <v>2040</v>
      </c>
      <c r="D527" s="510" t="s">
        <v>4771</v>
      </c>
      <c r="E527" s="510" t="s">
        <v>3584</v>
      </c>
      <c r="F527" s="420" t="s">
        <v>3585</v>
      </c>
    </row>
    <row r="528" spans="1:6" x14ac:dyDescent="0.25">
      <c r="A528" s="417" t="s">
        <v>3568</v>
      </c>
      <c r="B528" s="417" t="s">
        <v>2540</v>
      </c>
      <c r="D528" s="510" t="s">
        <v>4772</v>
      </c>
      <c r="E528" s="510" t="s">
        <v>3568</v>
      </c>
      <c r="F528" s="418" t="s">
        <v>3569</v>
      </c>
    </row>
    <row r="529" spans="1:6" x14ac:dyDescent="0.25">
      <c r="A529" s="417" t="s">
        <v>3558</v>
      </c>
      <c r="B529" s="417" t="s">
        <v>2040</v>
      </c>
      <c r="D529" s="510" t="s">
        <v>1466</v>
      </c>
      <c r="E529" s="510" t="s">
        <v>3558</v>
      </c>
      <c r="F529" s="418" t="s">
        <v>3559</v>
      </c>
    </row>
    <row r="530" spans="1:6" x14ac:dyDescent="0.25">
      <c r="A530" s="417" t="s">
        <v>3566</v>
      </c>
      <c r="B530" s="417" t="s">
        <v>2549</v>
      </c>
      <c r="D530" s="510" t="s">
        <v>4773</v>
      </c>
      <c r="E530" s="510" t="s">
        <v>3566</v>
      </c>
      <c r="F530" s="418" t="s">
        <v>3567</v>
      </c>
    </row>
    <row r="531" spans="1:6" x14ac:dyDescent="0.25">
      <c r="A531" s="417" t="s">
        <v>3610</v>
      </c>
      <c r="B531" s="417" t="s">
        <v>2540</v>
      </c>
      <c r="D531" s="510" t="s">
        <v>4774</v>
      </c>
      <c r="E531" s="510" t="s">
        <v>3610</v>
      </c>
      <c r="F531" s="418" t="s">
        <v>3611</v>
      </c>
    </row>
    <row r="532" spans="1:6" x14ac:dyDescent="0.25">
      <c r="A532" s="417" t="s">
        <v>3640</v>
      </c>
      <c r="D532" s="510" t="s">
        <v>3869</v>
      </c>
      <c r="E532" s="510" t="s">
        <v>3640</v>
      </c>
      <c r="F532" s="418" t="s">
        <v>3641</v>
      </c>
    </row>
    <row r="533" spans="1:6" x14ac:dyDescent="0.25">
      <c r="A533" s="417" t="s">
        <v>3594</v>
      </c>
      <c r="B533" s="417" t="s">
        <v>2549</v>
      </c>
      <c r="D533" s="510" t="s">
        <v>4775</v>
      </c>
      <c r="E533" s="510" t="s">
        <v>3594</v>
      </c>
      <c r="F533" s="418" t="s">
        <v>3595</v>
      </c>
    </row>
    <row r="534" spans="1:6" x14ac:dyDescent="0.25">
      <c r="A534" s="417" t="s">
        <v>3634</v>
      </c>
      <c r="B534" s="417" t="s">
        <v>2540</v>
      </c>
      <c r="D534" s="510" t="s">
        <v>4776</v>
      </c>
      <c r="E534" s="510" t="s">
        <v>3634</v>
      </c>
      <c r="F534" s="418" t="s">
        <v>3635</v>
      </c>
    </row>
    <row r="535" spans="1:6" x14ac:dyDescent="0.25">
      <c r="A535" s="417" t="s">
        <v>3580</v>
      </c>
      <c r="B535" s="417" t="s">
        <v>2549</v>
      </c>
      <c r="D535" s="510" t="s">
        <v>4777</v>
      </c>
      <c r="E535" s="510" t="s">
        <v>3580</v>
      </c>
      <c r="F535" s="420" t="s">
        <v>3581</v>
      </c>
    </row>
    <row r="536" spans="1:6" x14ac:dyDescent="0.25">
      <c r="A536" s="417" t="s">
        <v>3596</v>
      </c>
      <c r="B536" s="417" t="s">
        <v>2034</v>
      </c>
      <c r="D536" s="510" t="s">
        <v>718</v>
      </c>
      <c r="E536" s="510" t="s">
        <v>3596</v>
      </c>
      <c r="F536" s="418" t="s">
        <v>3597</v>
      </c>
    </row>
    <row r="537" spans="1:6" x14ac:dyDescent="0.25">
      <c r="A537" s="417" t="s">
        <v>3608</v>
      </c>
      <c r="B537" s="417" t="s">
        <v>2540</v>
      </c>
      <c r="D537" s="510" t="s">
        <v>4778</v>
      </c>
      <c r="E537" s="510" t="s">
        <v>3608</v>
      </c>
      <c r="F537" s="418" t="s">
        <v>3609</v>
      </c>
    </row>
    <row r="538" spans="1:6" x14ac:dyDescent="0.25">
      <c r="A538" s="417" t="s">
        <v>3636</v>
      </c>
      <c r="B538" s="417" t="s">
        <v>2549</v>
      </c>
      <c r="D538" s="510" t="s">
        <v>4779</v>
      </c>
      <c r="E538" s="510" t="s">
        <v>3636</v>
      </c>
      <c r="F538" s="418" t="s">
        <v>3637</v>
      </c>
    </row>
    <row r="539" spans="1:6" x14ac:dyDescent="0.25">
      <c r="A539" s="417" t="s">
        <v>3624</v>
      </c>
      <c r="B539" s="417" t="s">
        <v>2034</v>
      </c>
      <c r="D539" s="510" t="s">
        <v>4780</v>
      </c>
      <c r="E539" s="510" t="s">
        <v>3624</v>
      </c>
      <c r="F539" s="418" t="s">
        <v>3625</v>
      </c>
    </row>
    <row r="540" spans="1:6" x14ac:dyDescent="0.25">
      <c r="A540" s="417" t="s">
        <v>3626</v>
      </c>
      <c r="B540" s="417" t="s">
        <v>2040</v>
      </c>
      <c r="D540" s="510" t="s">
        <v>4781</v>
      </c>
      <c r="E540" s="510" t="s">
        <v>3626</v>
      </c>
      <c r="F540" s="418" t="s">
        <v>3627</v>
      </c>
    </row>
    <row r="541" spans="1:6" x14ac:dyDescent="0.25">
      <c r="A541" s="417" t="s">
        <v>3638</v>
      </c>
      <c r="B541" s="417" t="s">
        <v>2040</v>
      </c>
      <c r="D541" s="510" t="s">
        <v>3815</v>
      </c>
      <c r="E541" s="510" t="s">
        <v>3638</v>
      </c>
      <c r="F541" s="418" t="s">
        <v>3639</v>
      </c>
    </row>
    <row r="542" spans="1:6" x14ac:dyDescent="0.25">
      <c r="A542" s="417" t="s">
        <v>2703</v>
      </c>
      <c r="B542" s="417" t="s">
        <v>2549</v>
      </c>
      <c r="D542" s="510" t="s">
        <v>4782</v>
      </c>
      <c r="E542" s="510" t="s">
        <v>2703</v>
      </c>
      <c r="F542" s="418" t="s">
        <v>2704</v>
      </c>
    </row>
    <row r="543" spans="1:6" x14ac:dyDescent="0.25">
      <c r="A543" s="417" t="s">
        <v>2705</v>
      </c>
      <c r="B543" s="417" t="s">
        <v>2040</v>
      </c>
      <c r="D543" s="510" t="s">
        <v>11</v>
      </c>
      <c r="E543" s="510" t="s">
        <v>2705</v>
      </c>
      <c r="F543" s="418" t="s">
        <v>2706</v>
      </c>
    </row>
    <row r="544" spans="1:6" x14ac:dyDescent="0.25">
      <c r="A544" s="417" t="s">
        <v>2885</v>
      </c>
      <c r="B544" s="417" t="s">
        <v>2034</v>
      </c>
      <c r="D544" s="510" t="s">
        <v>11</v>
      </c>
      <c r="E544" s="510" t="s">
        <v>2885</v>
      </c>
      <c r="F544" s="418" t="s">
        <v>2886</v>
      </c>
    </row>
    <row r="545" spans="1:6" x14ac:dyDescent="0.25">
      <c r="A545" s="417" t="s">
        <v>2887</v>
      </c>
      <c r="B545" s="417" t="s">
        <v>2040</v>
      </c>
      <c r="D545" s="510" t="s">
        <v>11</v>
      </c>
      <c r="E545" s="510" t="s">
        <v>2887</v>
      </c>
      <c r="F545" s="418" t="s">
        <v>2888</v>
      </c>
    </row>
    <row r="546" spans="1:6" x14ac:dyDescent="0.25">
      <c r="A546" s="417" t="s">
        <v>2927</v>
      </c>
      <c r="B546" s="417" t="s">
        <v>2034</v>
      </c>
      <c r="D546" s="510" t="s">
        <v>11</v>
      </c>
      <c r="E546" s="510" t="s">
        <v>2927</v>
      </c>
      <c r="F546" s="418" t="s">
        <v>2928</v>
      </c>
    </row>
    <row r="547" spans="1:6" x14ac:dyDescent="0.25">
      <c r="A547" s="417" t="s">
        <v>2929</v>
      </c>
      <c r="B547" s="417" t="s">
        <v>2040</v>
      </c>
      <c r="D547" s="510" t="s">
        <v>11</v>
      </c>
      <c r="E547" s="510" t="s">
        <v>2929</v>
      </c>
      <c r="F547" s="418" t="s">
        <v>2930</v>
      </c>
    </row>
    <row r="548" spans="1:6" x14ac:dyDescent="0.25">
      <c r="A548" s="417" t="s">
        <v>3034</v>
      </c>
      <c r="B548" s="417" t="s">
        <v>2040</v>
      </c>
      <c r="D548" s="510" t="s">
        <v>11</v>
      </c>
      <c r="E548" s="510" t="s">
        <v>3034</v>
      </c>
      <c r="F548" s="418" t="s">
        <v>3035</v>
      </c>
    </row>
    <row r="549" spans="1:6" x14ac:dyDescent="0.25">
      <c r="A549" s="417" t="s">
        <v>3038</v>
      </c>
      <c r="B549" s="417" t="s">
        <v>2034</v>
      </c>
      <c r="D549" s="510" t="s">
        <v>11</v>
      </c>
      <c r="E549" s="510" t="s">
        <v>3038</v>
      </c>
      <c r="F549" s="418" t="s">
        <v>3039</v>
      </c>
    </row>
    <row r="550" spans="1:6" x14ac:dyDescent="0.25">
      <c r="A550" s="417" t="s">
        <v>3200</v>
      </c>
      <c r="B550" s="417" t="s">
        <v>2040</v>
      </c>
      <c r="D550" s="510" t="s">
        <v>11</v>
      </c>
      <c r="E550" s="510" t="s">
        <v>3200</v>
      </c>
      <c r="F550" s="420" t="s">
        <v>3201</v>
      </c>
    </row>
    <row r="551" spans="1:6" x14ac:dyDescent="0.25">
      <c r="A551" s="417" t="s">
        <v>3204</v>
      </c>
      <c r="B551" s="417" t="s">
        <v>2034</v>
      </c>
      <c r="D551" s="510" t="s">
        <v>11</v>
      </c>
      <c r="E551" s="510" t="s">
        <v>3204</v>
      </c>
      <c r="F551" s="420" t="s">
        <v>3205</v>
      </c>
    </row>
    <row r="552" spans="1:6" x14ac:dyDescent="0.25">
      <c r="A552" s="417" t="s">
        <v>3432</v>
      </c>
      <c r="B552" s="417" t="s">
        <v>2040</v>
      </c>
      <c r="D552" s="510" t="s">
        <v>11</v>
      </c>
      <c r="E552" s="510" t="s">
        <v>3432</v>
      </c>
      <c r="F552" s="420" t="s">
        <v>3433</v>
      </c>
    </row>
    <row r="553" spans="1:6" x14ac:dyDescent="0.25">
      <c r="A553" s="417" t="s">
        <v>3436</v>
      </c>
      <c r="B553" s="417" t="s">
        <v>2034</v>
      </c>
      <c r="D553" s="510" t="s">
        <v>11</v>
      </c>
      <c r="E553" s="510" t="s">
        <v>3436</v>
      </c>
      <c r="F553" s="420" t="s">
        <v>3437</v>
      </c>
    </row>
    <row r="554" spans="1:6" x14ac:dyDescent="0.25">
      <c r="A554" s="417" t="s">
        <v>3538</v>
      </c>
      <c r="B554" s="417" t="s">
        <v>2040</v>
      </c>
      <c r="D554" s="510" t="s">
        <v>11</v>
      </c>
      <c r="E554" s="510" t="s">
        <v>3538</v>
      </c>
      <c r="F554" s="418" t="s">
        <v>3539</v>
      </c>
    </row>
    <row r="555" spans="1:6" x14ac:dyDescent="0.25">
      <c r="A555" s="417" t="s">
        <v>3542</v>
      </c>
      <c r="B555" s="417" t="s">
        <v>2034</v>
      </c>
      <c r="D555" s="510" t="s">
        <v>11</v>
      </c>
      <c r="E555" s="510" t="s">
        <v>3542</v>
      </c>
      <c r="F555" s="418" t="s">
        <v>3543</v>
      </c>
    </row>
    <row r="556" spans="1:6" x14ac:dyDescent="0.25">
      <c r="A556" s="417" t="s">
        <v>3618</v>
      </c>
      <c r="B556" s="417" t="s">
        <v>2040</v>
      </c>
      <c r="D556" s="510" t="s">
        <v>11</v>
      </c>
      <c r="E556" s="510" t="s">
        <v>3618</v>
      </c>
      <c r="F556" s="418" t="s">
        <v>3619</v>
      </c>
    </row>
    <row r="557" spans="1:6" x14ac:dyDescent="0.25">
      <c r="A557" s="417" t="s">
        <v>3622</v>
      </c>
      <c r="B557" s="417" t="s">
        <v>2034</v>
      </c>
      <c r="D557" s="510" t="s">
        <v>11</v>
      </c>
      <c r="E557" s="510" t="s">
        <v>3622</v>
      </c>
      <c r="F557" s="418" t="s">
        <v>3623</v>
      </c>
    </row>
    <row r="558" spans="1:6" x14ac:dyDescent="0.25">
      <c r="A558" s="417" t="s">
        <v>2546</v>
      </c>
      <c r="B558" s="417" t="s">
        <v>2034</v>
      </c>
      <c r="D558" s="510" t="s">
        <v>4783</v>
      </c>
      <c r="E558" s="510" t="s">
        <v>2546</v>
      </c>
      <c r="F558" s="418" t="s">
        <v>2547</v>
      </c>
    </row>
    <row r="559" spans="1:6" x14ac:dyDescent="0.25">
      <c r="A559" s="417" t="s">
        <v>2564</v>
      </c>
      <c r="B559" s="417" t="s">
        <v>2040</v>
      </c>
      <c r="D559" s="510" t="s">
        <v>4783</v>
      </c>
      <c r="E559" s="510" t="s">
        <v>2564</v>
      </c>
      <c r="F559" s="418" t="s">
        <v>2565</v>
      </c>
    </row>
    <row r="560" spans="1:6" x14ac:dyDescent="0.25">
      <c r="A560" s="417" t="s">
        <v>2548</v>
      </c>
      <c r="B560" s="417" t="s">
        <v>2549</v>
      </c>
      <c r="D560" s="510" t="s">
        <v>4783</v>
      </c>
      <c r="E560" s="510" t="s">
        <v>2548</v>
      </c>
      <c r="F560" s="418" t="s">
        <v>2550</v>
      </c>
    </row>
    <row r="561" spans="1:6" x14ac:dyDescent="0.25">
      <c r="A561" s="417" t="s">
        <v>2551</v>
      </c>
      <c r="B561" s="417" t="s">
        <v>2540</v>
      </c>
      <c r="D561" s="510" t="s">
        <v>4783</v>
      </c>
      <c r="E561" s="510" t="s">
        <v>2551</v>
      </c>
      <c r="F561" s="418" t="s">
        <v>2552</v>
      </c>
    </row>
    <row r="562" spans="1:6" x14ac:dyDescent="0.25">
      <c r="A562" s="417" t="s">
        <v>3138</v>
      </c>
      <c r="B562" s="417" t="s">
        <v>2637</v>
      </c>
      <c r="D562" s="510" t="s">
        <v>4783</v>
      </c>
      <c r="E562" s="510" t="s">
        <v>3138</v>
      </c>
      <c r="F562" s="418" t="s">
        <v>3139</v>
      </c>
    </row>
    <row r="563" spans="1:6" x14ac:dyDescent="0.25">
      <c r="A563" s="417" t="s">
        <v>3152</v>
      </c>
      <c r="B563" s="417" t="s">
        <v>2632</v>
      </c>
      <c r="D563" s="510" t="s">
        <v>4783</v>
      </c>
      <c r="E563" s="510" t="s">
        <v>3152</v>
      </c>
      <c r="F563" s="418" t="s">
        <v>3153</v>
      </c>
    </row>
    <row r="564" spans="1:6" x14ac:dyDescent="0.25">
      <c r="A564" s="417" t="s">
        <v>3202</v>
      </c>
      <c r="B564" s="417" t="s">
        <v>2549</v>
      </c>
      <c r="D564" s="510" t="s">
        <v>11</v>
      </c>
      <c r="E564" s="510" t="s">
        <v>3202</v>
      </c>
      <c r="F564" s="420" t="s">
        <v>3203</v>
      </c>
    </row>
    <row r="565" spans="1:6" x14ac:dyDescent="0.25">
      <c r="A565" s="417" t="s">
        <v>3220</v>
      </c>
      <c r="B565" s="417" t="s">
        <v>2540</v>
      </c>
      <c r="D565" s="510" t="s">
        <v>4784</v>
      </c>
      <c r="E565" s="510" t="s">
        <v>3220</v>
      </c>
      <c r="F565" s="420" t="s">
        <v>3221</v>
      </c>
    </row>
    <row r="566" spans="1:6" x14ac:dyDescent="0.25">
      <c r="A566" s="417" t="s">
        <v>3281</v>
      </c>
      <c r="B566" s="417" t="s">
        <v>2726</v>
      </c>
      <c r="D566" s="510" t="s">
        <v>4783</v>
      </c>
      <c r="E566" s="510" t="s">
        <v>3281</v>
      </c>
      <c r="F566" s="418" t="s">
        <v>3282</v>
      </c>
    </row>
    <row r="567" spans="1:6" x14ac:dyDescent="0.25">
      <c r="A567" s="417" t="s">
        <v>3327</v>
      </c>
      <c r="B567" s="417" t="s">
        <v>2540</v>
      </c>
      <c r="D567" s="510" t="s">
        <v>11</v>
      </c>
      <c r="E567" s="510" t="s">
        <v>3327</v>
      </c>
      <c r="F567" s="420" t="s">
        <v>3328</v>
      </c>
    </row>
    <row r="568" spans="1:6" x14ac:dyDescent="0.25">
      <c r="A568" s="417" t="s">
        <v>3363</v>
      </c>
      <c r="B568" s="417" t="s">
        <v>2632</v>
      </c>
      <c r="D568" s="510" t="s">
        <v>4783</v>
      </c>
      <c r="E568" s="510" t="s">
        <v>3363</v>
      </c>
      <c r="F568" s="418" t="s">
        <v>3364</v>
      </c>
    </row>
    <row r="569" spans="1:6" x14ac:dyDescent="0.25">
      <c r="A569" s="417" t="s">
        <v>3405</v>
      </c>
      <c r="B569" s="417" t="s">
        <v>2540</v>
      </c>
      <c r="D569" s="510" t="s">
        <v>4783</v>
      </c>
      <c r="E569" s="510" t="s">
        <v>3405</v>
      </c>
      <c r="F569" s="418" t="s">
        <v>3406</v>
      </c>
    </row>
    <row r="570" spans="1:6" x14ac:dyDescent="0.25">
      <c r="A570" s="417" t="s">
        <v>3411</v>
      </c>
      <c r="B570" s="417" t="s">
        <v>2726</v>
      </c>
      <c r="D570" s="510" t="s">
        <v>4783</v>
      </c>
      <c r="E570" s="510" t="s">
        <v>3411</v>
      </c>
      <c r="F570" s="418" t="s">
        <v>3412</v>
      </c>
    </row>
    <row r="571" spans="1:6" x14ac:dyDescent="0.25">
      <c r="A571" s="417" t="s">
        <v>3434</v>
      </c>
      <c r="B571" s="417" t="s">
        <v>2549</v>
      </c>
      <c r="D571" s="510" t="s">
        <v>11</v>
      </c>
      <c r="E571" s="510" t="s">
        <v>3434</v>
      </c>
      <c r="F571" s="420" t="s">
        <v>3435</v>
      </c>
    </row>
    <row r="572" spans="1:6" x14ac:dyDescent="0.25">
      <c r="A572" s="417" t="s">
        <v>3510</v>
      </c>
      <c r="B572" s="417" t="s">
        <v>2632</v>
      </c>
      <c r="D572" s="510" t="s">
        <v>4783</v>
      </c>
      <c r="E572" s="510" t="s">
        <v>3510</v>
      </c>
      <c r="F572" s="418" t="s">
        <v>3511</v>
      </c>
    </row>
    <row r="573" spans="1:6" x14ac:dyDescent="0.25">
      <c r="A573" s="417" t="s">
        <v>3540</v>
      </c>
      <c r="B573" s="417" t="s">
        <v>2549</v>
      </c>
      <c r="D573" s="510" t="s">
        <v>11</v>
      </c>
      <c r="E573" s="510" t="s">
        <v>3540</v>
      </c>
      <c r="F573" s="418" t="s">
        <v>3541</v>
      </c>
    </row>
    <row r="574" spans="1:6" x14ac:dyDescent="0.25">
      <c r="A574" s="417" t="s">
        <v>3574</v>
      </c>
      <c r="B574" s="417" t="s">
        <v>2540</v>
      </c>
      <c r="D574" s="510" t="s">
        <v>4783</v>
      </c>
      <c r="E574" s="510" t="s">
        <v>3574</v>
      </c>
      <c r="F574" s="418" t="s">
        <v>3575</v>
      </c>
    </row>
    <row r="575" spans="1:6" x14ac:dyDescent="0.25">
      <c r="A575" s="417" t="s">
        <v>3598</v>
      </c>
      <c r="B575" s="417" t="s">
        <v>2632</v>
      </c>
      <c r="D575" s="510" t="s">
        <v>4783</v>
      </c>
      <c r="E575" s="510" t="s">
        <v>3598</v>
      </c>
      <c r="F575" s="418" t="s">
        <v>3599</v>
      </c>
    </row>
    <row r="576" spans="1:6" x14ac:dyDescent="0.25">
      <c r="A576" s="417" t="s">
        <v>3620</v>
      </c>
      <c r="B576" s="417" t="s">
        <v>2549</v>
      </c>
      <c r="D576" s="510" t="s">
        <v>11</v>
      </c>
      <c r="E576" s="510" t="s">
        <v>3620</v>
      </c>
      <c r="F576" s="418" t="s">
        <v>3621</v>
      </c>
    </row>
    <row r="577" spans="1:6" x14ac:dyDescent="0.25">
      <c r="A577" s="417" t="s">
        <v>3630</v>
      </c>
      <c r="B577" s="417" t="s">
        <v>2726</v>
      </c>
      <c r="D577" s="510" t="s">
        <v>4783</v>
      </c>
      <c r="E577" s="510" t="s">
        <v>3630</v>
      </c>
      <c r="F577" s="418" t="s">
        <v>3631</v>
      </c>
    </row>
    <row r="578" spans="1:6" x14ac:dyDescent="0.25">
      <c r="A578" s="417" t="s">
        <v>3632</v>
      </c>
      <c r="B578" s="417" t="s">
        <v>2540</v>
      </c>
      <c r="D578" s="510" t="s">
        <v>4783</v>
      </c>
      <c r="E578" s="510" t="s">
        <v>3632</v>
      </c>
      <c r="F578" s="418" t="s">
        <v>3633</v>
      </c>
    </row>
    <row r="579" spans="1:6" x14ac:dyDescent="0.25">
      <c r="A579" s="417" t="s">
        <v>2631</v>
      </c>
      <c r="B579" s="417" t="s">
        <v>2632</v>
      </c>
      <c r="D579" s="510" t="s">
        <v>4783</v>
      </c>
      <c r="E579" s="510" t="s">
        <v>2631</v>
      </c>
      <c r="F579" s="418" t="s">
        <v>2633</v>
      </c>
    </row>
    <row r="580" spans="1:6" x14ac:dyDescent="0.25">
      <c r="A580" s="417" t="s">
        <v>2634</v>
      </c>
      <c r="B580" s="417" t="s">
        <v>2632</v>
      </c>
      <c r="D580" s="510" t="s">
        <v>4783</v>
      </c>
      <c r="E580" s="510" t="s">
        <v>2634</v>
      </c>
      <c r="F580" s="418" t="s">
        <v>2635</v>
      </c>
    </row>
    <row r="581" spans="1:6" x14ac:dyDescent="0.25">
      <c r="A581" s="417" t="s">
        <v>2636</v>
      </c>
      <c r="B581" s="417" t="s">
        <v>2637</v>
      </c>
      <c r="D581" s="510" t="s">
        <v>4783</v>
      </c>
      <c r="E581" s="510" t="s">
        <v>2636</v>
      </c>
      <c r="F581" s="418" t="s">
        <v>2638</v>
      </c>
    </row>
    <row r="582" spans="1:6" x14ac:dyDescent="0.25">
      <c r="A582" s="417" t="s">
        <v>2725</v>
      </c>
      <c r="B582" s="417" t="s">
        <v>2726</v>
      </c>
      <c r="D582" s="510" t="s">
        <v>4783</v>
      </c>
      <c r="E582" s="510" t="s">
        <v>2725</v>
      </c>
      <c r="F582" s="418" t="s">
        <v>2727</v>
      </c>
    </row>
    <row r="583" spans="1:6" x14ac:dyDescent="0.25">
      <c r="A583" s="417" t="s">
        <v>2764</v>
      </c>
      <c r="B583" s="417" t="s">
        <v>2637</v>
      </c>
      <c r="D583" s="510" t="s">
        <v>4783</v>
      </c>
      <c r="E583" s="510" t="s">
        <v>2764</v>
      </c>
      <c r="F583" s="418" t="s">
        <v>2765</v>
      </c>
    </row>
    <row r="584" spans="1:6" x14ac:dyDescent="0.25">
      <c r="A584" s="417" t="s">
        <v>2766</v>
      </c>
      <c r="B584" s="417" t="s">
        <v>2632</v>
      </c>
      <c r="D584" s="510" t="s">
        <v>4783</v>
      </c>
      <c r="E584" s="510" t="s">
        <v>2766</v>
      </c>
      <c r="F584" s="418" t="s">
        <v>2767</v>
      </c>
    </row>
    <row r="585" spans="1:6" x14ac:dyDescent="0.25">
      <c r="A585" s="417" t="s">
        <v>2799</v>
      </c>
      <c r="B585" s="417" t="s">
        <v>2540</v>
      </c>
      <c r="D585" s="510" t="s">
        <v>4783</v>
      </c>
      <c r="E585" s="510" t="s">
        <v>2799</v>
      </c>
      <c r="F585" s="418" t="s">
        <v>2800</v>
      </c>
    </row>
    <row r="586" spans="1:6" x14ac:dyDescent="0.25">
      <c r="A586" s="417" t="s">
        <v>2829</v>
      </c>
      <c r="B586" s="417" t="s">
        <v>2726</v>
      </c>
      <c r="D586" s="510" t="s">
        <v>4783</v>
      </c>
      <c r="E586" s="510" t="s">
        <v>2829</v>
      </c>
      <c r="F586" s="418" t="s">
        <v>2830</v>
      </c>
    </row>
    <row r="587" spans="1:6" x14ac:dyDescent="0.25">
      <c r="A587" s="417" t="s">
        <v>2843</v>
      </c>
      <c r="B587" s="417" t="s">
        <v>2726</v>
      </c>
      <c r="D587" s="510" t="s">
        <v>4783</v>
      </c>
      <c r="E587" s="510" t="s">
        <v>2843</v>
      </c>
      <c r="F587" s="418" t="s">
        <v>2844</v>
      </c>
    </row>
    <row r="588" spans="1:6" x14ac:dyDescent="0.25">
      <c r="A588" s="417" t="s">
        <v>2853</v>
      </c>
      <c r="B588" s="417" t="s">
        <v>2632</v>
      </c>
      <c r="D588" s="510" t="s">
        <v>4783</v>
      </c>
      <c r="E588" s="510" t="s">
        <v>2853</v>
      </c>
      <c r="F588" s="418" t="s">
        <v>2854</v>
      </c>
    </row>
    <row r="589" spans="1:6" x14ac:dyDescent="0.25">
      <c r="A589" s="417" t="s">
        <v>2855</v>
      </c>
      <c r="B589" s="417" t="s">
        <v>2632</v>
      </c>
      <c r="D589" s="510" t="s">
        <v>4783</v>
      </c>
      <c r="E589" s="510" t="s">
        <v>2855</v>
      </c>
      <c r="F589" s="418" t="s">
        <v>2856</v>
      </c>
    </row>
    <row r="590" spans="1:6" x14ac:dyDescent="0.25">
      <c r="A590" s="417" t="s">
        <v>2857</v>
      </c>
      <c r="B590" s="417" t="s">
        <v>2637</v>
      </c>
      <c r="D590" s="510" t="s">
        <v>4783</v>
      </c>
      <c r="E590" s="510" t="s">
        <v>2857</v>
      </c>
      <c r="F590" s="418" t="s">
        <v>2858</v>
      </c>
    </row>
    <row r="591" spans="1:6" x14ac:dyDescent="0.25">
      <c r="A591" s="417" t="s">
        <v>2961</v>
      </c>
      <c r="B591" s="417" t="s">
        <v>2726</v>
      </c>
      <c r="D591" s="510" t="s">
        <v>4783</v>
      </c>
      <c r="E591" s="510" t="s">
        <v>2961</v>
      </c>
      <c r="F591" s="418" t="s">
        <v>2962</v>
      </c>
    </row>
    <row r="592" spans="1:6" x14ac:dyDescent="0.25">
      <c r="A592" s="417" t="s">
        <v>2979</v>
      </c>
      <c r="B592" s="417" t="s">
        <v>2637</v>
      </c>
      <c r="D592" s="510" t="s">
        <v>4783</v>
      </c>
      <c r="E592" s="510" t="s">
        <v>2979</v>
      </c>
      <c r="F592" s="418" t="s">
        <v>2980</v>
      </c>
    </row>
    <row r="593" spans="1:6" x14ac:dyDescent="0.25">
      <c r="A593" s="417" t="s">
        <v>2981</v>
      </c>
      <c r="B593" s="417" t="s">
        <v>2632</v>
      </c>
      <c r="D593" s="510" t="s">
        <v>4783</v>
      </c>
      <c r="E593" s="510" t="s">
        <v>2981</v>
      </c>
      <c r="F593" s="418" t="s">
        <v>2982</v>
      </c>
    </row>
    <row r="594" spans="1:6" x14ac:dyDescent="0.25">
      <c r="A594" s="417" t="s">
        <v>3036</v>
      </c>
      <c r="B594" s="417" t="s">
        <v>2549</v>
      </c>
      <c r="D594" s="510" t="s">
        <v>4783</v>
      </c>
      <c r="E594" s="510" t="s">
        <v>3036</v>
      </c>
      <c r="F594" s="418" t="s">
        <v>3037</v>
      </c>
    </row>
    <row r="595" spans="1:6" x14ac:dyDescent="0.25">
      <c r="A595" s="417" t="s">
        <v>3138</v>
      </c>
      <c r="B595" s="417" t="s">
        <v>2637</v>
      </c>
      <c r="D595" s="510" t="s">
        <v>4783</v>
      </c>
      <c r="E595" s="510" t="s">
        <v>3138</v>
      </c>
      <c r="F595" s="418" t="s">
        <v>3139</v>
      </c>
    </row>
    <row r="596" spans="1:6" x14ac:dyDescent="0.25">
      <c r="A596" s="417" t="s">
        <v>3152</v>
      </c>
      <c r="B596" s="417" t="s">
        <v>2632</v>
      </c>
      <c r="D596" s="510" t="s">
        <v>4783</v>
      </c>
      <c r="E596" s="509" t="s">
        <v>3152</v>
      </c>
      <c r="F596" s="418" t="s">
        <v>3153</v>
      </c>
    </row>
  </sheetData>
  <pageMargins left="0.7" right="0.7" top="0.75" bottom="0.75" header="0.3" footer="0.3"/>
  <pageSetup scale="3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31ADB-0208-4466-A91E-8AACF0AD5AA9}">
  <sheetPr>
    <pageSetUpPr fitToPage="1"/>
  </sheetPr>
  <dimension ref="A1:O53"/>
  <sheetViews>
    <sheetView view="pageBreakPreview" zoomScale="60" zoomScaleNormal="100" workbookViewId="0">
      <selection activeCell="B49" sqref="B49:E49"/>
    </sheetView>
  </sheetViews>
  <sheetFormatPr defaultColWidth="8.7109375" defaultRowHeight="15" x14ac:dyDescent="0.25"/>
  <cols>
    <col min="1" max="1" width="2.7109375" style="52" customWidth="1"/>
    <col min="2" max="2" width="10.42578125" style="52" customWidth="1"/>
    <col min="3" max="8" width="10.42578125" style="53" customWidth="1"/>
    <col min="9" max="12" width="12.42578125" style="53" customWidth="1"/>
    <col min="13" max="13" width="7.7109375" style="52" customWidth="1"/>
    <col min="14" max="14" width="59" style="52" bestFit="1" customWidth="1"/>
    <col min="15" max="16384" width="8.7109375" style="52"/>
  </cols>
  <sheetData>
    <row r="1" spans="2:15" ht="6" customHeight="1" thickBot="1" x14ac:dyDescent="0.3"/>
    <row r="2" spans="2:15" ht="15.75" thickBot="1" x14ac:dyDescent="0.3">
      <c r="B2" s="871" t="s">
        <v>2049</v>
      </c>
      <c r="C2" s="872"/>
      <c r="D2" s="872"/>
      <c r="E2" s="872"/>
      <c r="F2" s="872"/>
      <c r="G2" s="872"/>
      <c r="H2" s="872"/>
      <c r="I2" s="872"/>
      <c r="J2" s="872"/>
      <c r="K2" s="872"/>
      <c r="L2" s="873"/>
    </row>
    <row r="3" spans="2:15" ht="6" customHeight="1" thickBot="1" x14ac:dyDescent="0.3"/>
    <row r="4" spans="2:15" ht="14.45" customHeight="1" x14ac:dyDescent="0.25">
      <c r="B4" s="621" t="s">
        <v>2015</v>
      </c>
      <c r="C4" s="623" t="s">
        <v>2050</v>
      </c>
      <c r="D4" s="624"/>
      <c r="E4" s="624"/>
      <c r="F4" s="624"/>
      <c r="G4" s="624"/>
      <c r="H4" s="625"/>
      <c r="I4" s="619" t="s">
        <v>3653</v>
      </c>
      <c r="J4" s="620"/>
      <c r="K4" s="626" t="s">
        <v>3652</v>
      </c>
      <c r="L4" s="627"/>
    </row>
    <row r="5" spans="2:15" ht="15.75" thickBot="1" x14ac:dyDescent="0.3">
      <c r="B5" s="622"/>
      <c r="C5" s="54" t="s">
        <v>2051</v>
      </c>
      <c r="D5" s="55" t="s">
        <v>2052</v>
      </c>
      <c r="E5" s="55" t="s">
        <v>2053</v>
      </c>
      <c r="F5" s="55" t="s">
        <v>2054</v>
      </c>
      <c r="G5" s="55" t="s">
        <v>2055</v>
      </c>
      <c r="H5" s="56" t="s">
        <v>2056</v>
      </c>
      <c r="I5" s="203" t="s">
        <v>2436</v>
      </c>
      <c r="J5" s="322" t="s">
        <v>2435</v>
      </c>
      <c r="K5" s="442" t="s">
        <v>2436</v>
      </c>
      <c r="L5" s="443" t="s">
        <v>2435</v>
      </c>
    </row>
    <row r="6" spans="2:15" ht="15.75" thickTop="1" x14ac:dyDescent="0.25">
      <c r="B6" s="57">
        <v>2017</v>
      </c>
      <c r="C6" s="204">
        <f>+Halifax!R$44</f>
        <v>315.69</v>
      </c>
      <c r="D6" s="302">
        <f>+Canseau!R$22</f>
        <v>0</v>
      </c>
      <c r="E6" s="302">
        <f>+Northern!R$35</f>
        <v>95.710000000000008</v>
      </c>
      <c r="F6" s="302">
        <f>+Sydney!R$26</f>
        <v>0</v>
      </c>
      <c r="G6" s="302">
        <f>+Valley!R$37</f>
        <v>69.67</v>
      </c>
      <c r="H6" s="303">
        <f>+Western!R$38</f>
        <v>35.68</v>
      </c>
      <c r="I6" s="204">
        <f>+SUM(C6:H6)</f>
        <v>516.75</v>
      </c>
      <c r="J6" s="630">
        <f>+MAX(C6:C9)+MAX(D6:D9)+MAX(E6:E9)+MAX(F6:F9)+MAX(G6:G9)+MAX(H6:H9)</f>
        <v>661.32611575642841</v>
      </c>
      <c r="K6" s="444">
        <f>+Halifax!$I$44+Canseau!$I$22+Northern!$I$35+Sydney!$I$26+Valley!$I$37+Western!$I$38</f>
        <v>1679.7159999999999</v>
      </c>
      <c r="L6" s="632">
        <f>+MAX(K6:K9)</f>
        <v>1863.2132061527279</v>
      </c>
      <c r="O6" s="297"/>
    </row>
    <row r="7" spans="2:15" x14ac:dyDescent="0.25">
      <c r="B7" s="57">
        <v>2018</v>
      </c>
      <c r="C7" s="204">
        <f>+Halifax!S$44</f>
        <v>349.20800575751451</v>
      </c>
      <c r="D7" s="302">
        <f>+Canseau!S$22</f>
        <v>0</v>
      </c>
      <c r="E7" s="302">
        <f>+Northern!S$35</f>
        <v>49.524075281734895</v>
      </c>
      <c r="F7" s="302">
        <f>+Sydney!S$26</f>
        <v>0</v>
      </c>
      <c r="G7" s="302">
        <f>+Valley!S$37</f>
        <v>127.00196887016753</v>
      </c>
      <c r="H7" s="303">
        <f>+Western!S$38</f>
        <v>43.534461998273365</v>
      </c>
      <c r="I7" s="204">
        <f>+SUM(C7:H7)</f>
        <v>569.26851190769037</v>
      </c>
      <c r="J7" s="631"/>
      <c r="K7" s="444">
        <f>+Halifax!$J$44+Canseau!$J$22+Northern!$J$35+Sydney!$J$26+Valley!$J$37+Western!$J$38</f>
        <v>1863.2132061527279</v>
      </c>
      <c r="L7" s="633"/>
    </row>
    <row r="8" spans="2:15" ht="15.75" thickBot="1" x14ac:dyDescent="0.3">
      <c r="B8" s="57">
        <v>2019</v>
      </c>
      <c r="C8" s="204">
        <f>+Halifax!T$44</f>
        <v>265.79231285999964</v>
      </c>
      <c r="D8" s="302">
        <f>+Canseau!T$22</f>
        <v>0</v>
      </c>
      <c r="E8" s="302">
        <f>+Northern!T$35</f>
        <v>32.417619832197062</v>
      </c>
      <c r="F8" s="302">
        <f>+Sydney!T$26</f>
        <v>0</v>
      </c>
      <c r="G8" s="302">
        <f>+Valley!T$37</f>
        <v>131.61058857526143</v>
      </c>
      <c r="H8" s="304">
        <f>+Western!T$38</f>
        <v>84.797521423652441</v>
      </c>
      <c r="I8" s="204">
        <f>+SUM(C8:H8)</f>
        <v>514.61804269111065</v>
      </c>
      <c r="J8" s="631"/>
      <c r="K8" s="444">
        <f>+Halifax!$K$44+Canseau!$K$22+Northern!$K$35+Sydney!$K$26+Valley!$K$37+Western!$K$38</f>
        <v>1798.1601241859285</v>
      </c>
      <c r="L8" s="633"/>
    </row>
    <row r="9" spans="2:15" ht="15.75" thickBot="1" x14ac:dyDescent="0.3">
      <c r="B9" s="58">
        <v>2020</v>
      </c>
      <c r="C9" s="205">
        <f>+Halifax!U$44</f>
        <v>230.69807491564535</v>
      </c>
      <c r="D9" s="305">
        <f>+Canseau!U$22</f>
        <v>0</v>
      </c>
      <c r="E9" s="305">
        <f>+Northern!U$35</f>
        <v>46.274972507771949</v>
      </c>
      <c r="F9" s="305">
        <f>+Sydney!U$26</f>
        <v>0</v>
      </c>
      <c r="G9" s="305">
        <f>+Valley!U$37</f>
        <v>128.15677885012715</v>
      </c>
      <c r="H9" s="403">
        <f>+Western!U$38</f>
        <v>19.716530061034124</v>
      </c>
      <c r="I9" s="404">
        <f>+SUM(C9:H9)</f>
        <v>424.84635633457862</v>
      </c>
      <c r="J9" s="631"/>
      <c r="K9" s="447">
        <f>+Halifax!$L$44+Canseau!$L$22+Northern!$L$35+Sydney!$L$26+Valley!$L$37+Western!$L$38</f>
        <v>1694.1880302294926</v>
      </c>
      <c r="L9" s="634"/>
      <c r="N9" s="876" t="s">
        <v>4724</v>
      </c>
    </row>
    <row r="10" spans="2:15" ht="15.75" thickBot="1" x14ac:dyDescent="0.3">
      <c r="G10" s="874" t="s">
        <v>2020</v>
      </c>
      <c r="H10" s="875">
        <v>1.0749999999999999E-2</v>
      </c>
      <c r="I10" s="448" t="s">
        <v>2078</v>
      </c>
      <c r="J10" s="449">
        <f>+J6*H10</f>
        <v>7.1092557443816045</v>
      </c>
      <c r="K10" s="445"/>
      <c r="L10" s="446"/>
      <c r="N10" s="524" t="s">
        <v>4725</v>
      </c>
    </row>
    <row r="12" spans="2:15" x14ac:dyDescent="0.25">
      <c r="B12" s="52" t="s">
        <v>2160</v>
      </c>
      <c r="C12" s="629" t="s">
        <v>2522</v>
      </c>
      <c r="D12" s="629"/>
      <c r="E12" s="629"/>
      <c r="F12" s="629"/>
      <c r="G12" s="629"/>
      <c r="H12" s="629"/>
      <c r="I12" s="629"/>
      <c r="J12" s="629"/>
      <c r="K12" s="629"/>
      <c r="L12" s="629"/>
    </row>
    <row r="13" spans="2:15" x14ac:dyDescent="0.25">
      <c r="C13" s="636" t="s">
        <v>3654</v>
      </c>
      <c r="D13" s="636"/>
      <c r="E13" s="636"/>
      <c r="F13" s="636"/>
      <c r="G13" s="636"/>
      <c r="H13" s="636"/>
      <c r="I13" s="636"/>
      <c r="J13" s="636"/>
      <c r="K13" s="636"/>
      <c r="L13" s="636"/>
      <c r="M13" s="636"/>
    </row>
    <row r="14" spans="2:15" x14ac:dyDescent="0.25">
      <c r="C14" s="629" t="s">
        <v>3655</v>
      </c>
      <c r="D14" s="629"/>
      <c r="E14" s="629"/>
      <c r="F14" s="629"/>
      <c r="G14" s="629"/>
      <c r="H14" s="629"/>
      <c r="I14" s="629"/>
      <c r="J14" s="629"/>
      <c r="K14" s="629"/>
      <c r="L14" s="629"/>
      <c r="M14" s="629"/>
    </row>
    <row r="16" spans="2:15" x14ac:dyDescent="0.25">
      <c r="B16" s="416" t="s">
        <v>2520</v>
      </c>
    </row>
    <row r="18" spans="1:13" x14ac:dyDescent="0.25">
      <c r="A18" s="52">
        <v>1</v>
      </c>
      <c r="B18" s="629" t="s">
        <v>2516</v>
      </c>
      <c r="C18" s="629"/>
      <c r="D18" s="629"/>
      <c r="E18" s="629"/>
      <c r="F18" s="629"/>
      <c r="G18" s="629"/>
      <c r="H18" s="629"/>
      <c r="I18" s="629"/>
      <c r="J18" s="629"/>
      <c r="K18" s="629"/>
      <c r="L18" s="629"/>
    </row>
    <row r="20" spans="1:13" x14ac:dyDescent="0.25">
      <c r="A20" s="52">
        <v>2</v>
      </c>
      <c r="B20" s="629" t="s">
        <v>2517</v>
      </c>
      <c r="C20" s="629"/>
      <c r="D20" s="629"/>
      <c r="E20" s="629"/>
      <c r="F20" s="629"/>
      <c r="G20" s="629"/>
      <c r="H20" s="629"/>
      <c r="I20" s="629"/>
      <c r="J20" s="629"/>
      <c r="K20" s="629"/>
      <c r="L20" s="629"/>
    </row>
    <row r="21" spans="1:13" ht="14.45" customHeight="1" x14ac:dyDescent="0.25">
      <c r="A21" s="307"/>
      <c r="B21" s="306"/>
      <c r="C21" s="306"/>
      <c r="D21" s="306"/>
      <c r="E21" s="306"/>
      <c r="F21" s="306"/>
      <c r="G21" s="306"/>
      <c r="H21" s="306"/>
      <c r="I21" s="306"/>
      <c r="J21" s="306"/>
      <c r="K21" s="306"/>
      <c r="L21" s="306"/>
    </row>
    <row r="22" spans="1:13" ht="14.45" customHeight="1" x14ac:dyDescent="0.25">
      <c r="A22" s="307">
        <v>3</v>
      </c>
      <c r="B22" s="635" t="s">
        <v>2518</v>
      </c>
      <c r="C22" s="635"/>
      <c r="D22" s="635"/>
      <c r="E22" s="635"/>
      <c r="F22" s="635"/>
      <c r="G22" s="635"/>
      <c r="H22" s="635"/>
      <c r="I22" s="635"/>
      <c r="J22" s="635"/>
      <c r="K22" s="635"/>
      <c r="L22" s="635"/>
      <c r="M22" s="209"/>
    </row>
    <row r="23" spans="1:13" ht="14.45" customHeight="1" x14ac:dyDescent="0.25">
      <c r="A23" s="307"/>
      <c r="B23" s="306"/>
      <c r="C23" s="306"/>
      <c r="D23" s="306"/>
      <c r="E23" s="306"/>
      <c r="F23" s="306"/>
      <c r="G23" s="306"/>
      <c r="H23" s="306"/>
      <c r="I23" s="306"/>
      <c r="J23" s="306"/>
      <c r="K23" s="306"/>
      <c r="L23" s="306"/>
    </row>
    <row r="24" spans="1:13" ht="35.450000000000003" customHeight="1" x14ac:dyDescent="0.25">
      <c r="A24" s="307">
        <v>4</v>
      </c>
      <c r="B24" s="628" t="s">
        <v>2483</v>
      </c>
      <c r="C24" s="628"/>
      <c r="D24" s="628"/>
      <c r="E24" s="628"/>
      <c r="F24" s="628"/>
      <c r="G24" s="628"/>
      <c r="H24" s="628"/>
      <c r="I24" s="628"/>
      <c r="J24" s="306"/>
      <c r="K24" s="306"/>
      <c r="L24" s="306"/>
    </row>
    <row r="25" spans="1:13" ht="14.45" customHeight="1" x14ac:dyDescent="0.25">
      <c r="A25" s="307"/>
      <c r="C25" s="52"/>
      <c r="D25" s="52"/>
      <c r="E25" s="52"/>
      <c r="F25" s="52"/>
      <c r="G25" s="52"/>
      <c r="H25" s="52"/>
      <c r="I25" s="52"/>
      <c r="J25" s="306"/>
      <c r="K25" s="306"/>
      <c r="L25" s="306"/>
      <c r="M25" s="209"/>
    </row>
    <row r="26" spans="1:13" ht="14.45" customHeight="1" x14ac:dyDescent="0.25">
      <c r="A26" s="307"/>
      <c r="B26" s="53" t="s">
        <v>2020</v>
      </c>
      <c r="C26" s="877">
        <f>+H10</f>
        <v>1.0749999999999999E-2</v>
      </c>
      <c r="D26" s="52"/>
      <c r="E26" s="52"/>
      <c r="F26" s="52"/>
      <c r="G26" s="52"/>
      <c r="H26" s="52"/>
      <c r="I26" s="52"/>
      <c r="J26" s="306"/>
      <c r="K26" s="306"/>
      <c r="L26" s="306"/>
      <c r="M26" s="209"/>
    </row>
    <row r="27" spans="1:13" ht="14.45" customHeight="1" x14ac:dyDescent="0.25">
      <c r="A27" s="307"/>
      <c r="B27" s="398" t="s">
        <v>2015</v>
      </c>
      <c r="C27" s="53" t="s">
        <v>2506</v>
      </c>
      <c r="D27" s="399" t="s">
        <v>2504</v>
      </c>
      <c r="E27" s="399" t="s">
        <v>2505</v>
      </c>
      <c r="F27" s="306"/>
      <c r="G27" s="306"/>
      <c r="H27" s="306"/>
      <c r="I27" s="306"/>
      <c r="J27" s="306"/>
      <c r="K27" s="306"/>
      <c r="L27" s="306"/>
      <c r="M27" s="209"/>
    </row>
    <row r="28" spans="1:13" ht="14.45" customHeight="1" x14ac:dyDescent="0.25">
      <c r="A28" s="307"/>
      <c r="B28" s="397">
        <v>0</v>
      </c>
      <c r="C28" s="401">
        <v>0.8</v>
      </c>
      <c r="D28" s="401">
        <v>1.06</v>
      </c>
      <c r="E28" s="402">
        <v>260</v>
      </c>
    </row>
    <row r="29" spans="1:13" x14ac:dyDescent="0.25">
      <c r="B29" s="53">
        <f>1+B28</f>
        <v>1</v>
      </c>
      <c r="C29" s="400">
        <f t="shared" ref="C29:C53" si="0">+C28*(1+$C$26)</f>
        <v>0.8086000000000001</v>
      </c>
      <c r="D29" s="400">
        <f t="shared" ref="D29:D53" si="1">+D28*(1+$C$26)</f>
        <v>1.0713950000000001</v>
      </c>
      <c r="E29" s="402">
        <f t="shared" ref="E29:E53" si="2">+E28*(1+$C$26)</f>
        <v>262.79500000000002</v>
      </c>
    </row>
    <row r="30" spans="1:13" x14ac:dyDescent="0.25">
      <c r="B30" s="53">
        <f t="shared" ref="B30:B53" si="3">1+B29</f>
        <v>2</v>
      </c>
      <c r="C30" s="400">
        <f t="shared" si="0"/>
        <v>0.81729245000000017</v>
      </c>
      <c r="D30" s="400">
        <f t="shared" si="1"/>
        <v>1.0829124962500001</v>
      </c>
      <c r="E30" s="402">
        <f t="shared" si="2"/>
        <v>265.62004625000003</v>
      </c>
    </row>
    <row r="31" spans="1:13" x14ac:dyDescent="0.25">
      <c r="B31" s="53">
        <f t="shared" si="3"/>
        <v>3</v>
      </c>
      <c r="C31" s="400">
        <f t="shared" si="0"/>
        <v>0.82607834383750023</v>
      </c>
      <c r="D31" s="400">
        <f t="shared" si="1"/>
        <v>1.0945538055846875</v>
      </c>
      <c r="E31" s="402">
        <f t="shared" si="2"/>
        <v>268.47546174718752</v>
      </c>
    </row>
    <row r="32" spans="1:13" x14ac:dyDescent="0.25">
      <c r="B32" s="53">
        <f t="shared" si="3"/>
        <v>4</v>
      </c>
      <c r="C32" s="400">
        <f t="shared" si="0"/>
        <v>0.83495868603375334</v>
      </c>
      <c r="D32" s="400">
        <f t="shared" si="1"/>
        <v>1.106320258994723</v>
      </c>
      <c r="E32" s="402">
        <f t="shared" si="2"/>
        <v>271.3615729609698</v>
      </c>
    </row>
    <row r="33" spans="2:5" x14ac:dyDescent="0.25">
      <c r="B33" s="53">
        <f t="shared" si="3"/>
        <v>5</v>
      </c>
      <c r="C33" s="400">
        <f t="shared" si="0"/>
        <v>0.84393449190861625</v>
      </c>
      <c r="D33" s="400">
        <f t="shared" si="1"/>
        <v>1.1182132017789164</v>
      </c>
      <c r="E33" s="402">
        <f t="shared" si="2"/>
        <v>274.27870987030025</v>
      </c>
    </row>
    <row r="34" spans="2:5" x14ac:dyDescent="0.25">
      <c r="B34" s="53">
        <f t="shared" si="3"/>
        <v>6</v>
      </c>
      <c r="C34" s="400">
        <f t="shared" si="0"/>
        <v>0.85300678769663385</v>
      </c>
      <c r="D34" s="400">
        <f t="shared" si="1"/>
        <v>1.1302339936980397</v>
      </c>
      <c r="E34" s="402">
        <f t="shared" si="2"/>
        <v>277.22720600140599</v>
      </c>
    </row>
    <row r="35" spans="2:5" x14ac:dyDescent="0.25">
      <c r="B35" s="53">
        <f t="shared" si="3"/>
        <v>7</v>
      </c>
      <c r="C35" s="400">
        <f t="shared" si="0"/>
        <v>0.86217661066437268</v>
      </c>
      <c r="D35" s="400">
        <f t="shared" si="1"/>
        <v>1.1423840091302937</v>
      </c>
      <c r="E35" s="402">
        <f t="shared" si="2"/>
        <v>280.20739846592113</v>
      </c>
    </row>
    <row r="36" spans="2:5" x14ac:dyDescent="0.25">
      <c r="B36" s="53">
        <f t="shared" si="3"/>
        <v>8</v>
      </c>
      <c r="C36" s="400">
        <f t="shared" si="0"/>
        <v>0.87144500922901469</v>
      </c>
      <c r="D36" s="400">
        <f t="shared" si="1"/>
        <v>1.1546646372284444</v>
      </c>
      <c r="E36" s="402">
        <f t="shared" si="2"/>
        <v>283.2196279994298</v>
      </c>
    </row>
    <row r="37" spans="2:5" x14ac:dyDescent="0.25">
      <c r="B37" s="53">
        <f t="shared" si="3"/>
        <v>9</v>
      </c>
      <c r="C37" s="400">
        <f t="shared" si="0"/>
        <v>0.88081304307822661</v>
      </c>
      <c r="D37" s="400">
        <f t="shared" si="1"/>
        <v>1.1670772820786501</v>
      </c>
      <c r="E37" s="402">
        <f t="shared" si="2"/>
        <v>286.26423900042369</v>
      </c>
    </row>
    <row r="38" spans="2:5" x14ac:dyDescent="0.25">
      <c r="B38" s="53">
        <f t="shared" si="3"/>
        <v>10</v>
      </c>
      <c r="C38" s="400">
        <f t="shared" si="0"/>
        <v>0.89028178329131757</v>
      </c>
      <c r="D38" s="400">
        <f t="shared" si="1"/>
        <v>1.1796233628609956</v>
      </c>
      <c r="E38" s="402">
        <f t="shared" si="2"/>
        <v>289.34157956967823</v>
      </c>
    </row>
    <row r="39" spans="2:5" x14ac:dyDescent="0.25">
      <c r="B39" s="53">
        <f t="shared" si="3"/>
        <v>11</v>
      </c>
      <c r="C39" s="400">
        <f t="shared" si="0"/>
        <v>0.89985231246169928</v>
      </c>
      <c r="D39" s="400">
        <f t="shared" si="1"/>
        <v>1.1923043140117513</v>
      </c>
      <c r="E39" s="402">
        <f t="shared" si="2"/>
        <v>292.45200155005227</v>
      </c>
    </row>
    <row r="40" spans="2:5" x14ac:dyDescent="0.25">
      <c r="B40" s="53">
        <f t="shared" si="3"/>
        <v>12</v>
      </c>
      <c r="C40" s="400">
        <f t="shared" si="0"/>
        <v>0.90952572482066263</v>
      </c>
      <c r="D40" s="400">
        <f t="shared" si="1"/>
        <v>1.2051215853873776</v>
      </c>
      <c r="E40" s="402">
        <f t="shared" si="2"/>
        <v>295.59586056671537</v>
      </c>
    </row>
    <row r="41" spans="2:5" x14ac:dyDescent="0.25">
      <c r="B41" s="53">
        <f t="shared" si="3"/>
        <v>13</v>
      </c>
      <c r="C41" s="414">
        <f t="shared" si="0"/>
        <v>0.91930312636248479</v>
      </c>
      <c r="D41" s="400">
        <f t="shared" si="1"/>
        <v>1.218076642430292</v>
      </c>
      <c r="E41" s="402">
        <f t="shared" si="2"/>
        <v>298.77351606780758</v>
      </c>
    </row>
    <row r="42" spans="2:5" x14ac:dyDescent="0.25">
      <c r="B42" s="53">
        <f t="shared" si="3"/>
        <v>14</v>
      </c>
      <c r="C42" s="400">
        <f t="shared" si="0"/>
        <v>0.92918563497088158</v>
      </c>
      <c r="D42" s="400">
        <f t="shared" si="1"/>
        <v>1.2311709663364176</v>
      </c>
      <c r="E42" s="415">
        <f t="shared" si="2"/>
        <v>301.98533136553652</v>
      </c>
    </row>
    <row r="43" spans="2:5" x14ac:dyDescent="0.25">
      <c r="B43" s="53">
        <f t="shared" si="3"/>
        <v>15</v>
      </c>
      <c r="C43" s="400">
        <f t="shared" si="0"/>
        <v>0.93917438054681857</v>
      </c>
      <c r="D43" s="400">
        <f t="shared" si="1"/>
        <v>1.2444060542245341</v>
      </c>
      <c r="E43" s="402">
        <f t="shared" si="2"/>
        <v>305.23167367771606</v>
      </c>
    </row>
    <row r="44" spans="2:5" x14ac:dyDescent="0.25">
      <c r="B44" s="53">
        <f t="shared" si="3"/>
        <v>16</v>
      </c>
      <c r="C44" s="400">
        <f t="shared" si="0"/>
        <v>0.94927050513769695</v>
      </c>
      <c r="D44" s="400">
        <f t="shared" si="1"/>
        <v>1.257783419307448</v>
      </c>
      <c r="E44" s="402">
        <f t="shared" si="2"/>
        <v>308.51291416975153</v>
      </c>
    </row>
    <row r="45" spans="2:5" x14ac:dyDescent="0.25">
      <c r="B45" s="53">
        <f t="shared" si="3"/>
        <v>17</v>
      </c>
      <c r="C45" s="400">
        <f t="shared" si="0"/>
        <v>0.95947516306792724</v>
      </c>
      <c r="D45" s="400">
        <f t="shared" si="1"/>
        <v>1.2713045910650032</v>
      </c>
      <c r="E45" s="402">
        <f t="shared" si="2"/>
        <v>311.82942799707638</v>
      </c>
    </row>
    <row r="46" spans="2:5" x14ac:dyDescent="0.25">
      <c r="B46" s="434">
        <f t="shared" si="3"/>
        <v>18</v>
      </c>
      <c r="C46" s="414">
        <f t="shared" si="0"/>
        <v>0.96978952107090755</v>
      </c>
      <c r="D46" s="414">
        <f t="shared" si="1"/>
        <v>1.284971115418952</v>
      </c>
      <c r="E46" s="415">
        <f t="shared" si="2"/>
        <v>315.18159434804494</v>
      </c>
    </row>
    <row r="47" spans="2:5" x14ac:dyDescent="0.25">
      <c r="B47" s="434">
        <f t="shared" si="3"/>
        <v>19</v>
      </c>
      <c r="C47" s="414">
        <f t="shared" si="0"/>
        <v>0.98021475842241979</v>
      </c>
      <c r="D47" s="414">
        <f t="shared" si="1"/>
        <v>1.2987845549097059</v>
      </c>
      <c r="E47" s="415">
        <f t="shared" si="2"/>
        <v>318.56979648728645</v>
      </c>
    </row>
    <row r="48" spans="2:5" x14ac:dyDescent="0.25">
      <c r="B48" s="53">
        <f t="shared" si="3"/>
        <v>20</v>
      </c>
      <c r="C48" s="400">
        <f t="shared" si="0"/>
        <v>0.99075206707546082</v>
      </c>
      <c r="D48" s="400">
        <f t="shared" si="1"/>
        <v>1.3127464888749854</v>
      </c>
      <c r="E48" s="402">
        <f t="shared" si="2"/>
        <v>321.99442179952479</v>
      </c>
    </row>
    <row r="49" spans="2:12" x14ac:dyDescent="0.25">
      <c r="B49" s="878">
        <f t="shared" si="3"/>
        <v>21</v>
      </c>
      <c r="C49" s="879">
        <f t="shared" si="0"/>
        <v>1.001402651796522</v>
      </c>
      <c r="D49" s="879">
        <f t="shared" si="1"/>
        <v>1.3268585136303914</v>
      </c>
      <c r="E49" s="880">
        <f t="shared" si="2"/>
        <v>325.45586183386968</v>
      </c>
    </row>
    <row r="50" spans="2:12" x14ac:dyDescent="0.25">
      <c r="B50" s="53">
        <f t="shared" si="3"/>
        <v>22</v>
      </c>
      <c r="C50" s="400">
        <f t="shared" si="0"/>
        <v>1.0121677303033347</v>
      </c>
      <c r="D50" s="400">
        <f t="shared" si="1"/>
        <v>1.3411222426519183</v>
      </c>
      <c r="E50" s="402">
        <f t="shared" si="2"/>
        <v>328.95451234858376</v>
      </c>
    </row>
    <row r="51" spans="2:12" x14ac:dyDescent="0.25">
      <c r="B51" s="53">
        <f t="shared" si="3"/>
        <v>23</v>
      </c>
      <c r="C51" s="400">
        <f t="shared" si="0"/>
        <v>1.0230485334040955</v>
      </c>
      <c r="D51" s="414">
        <f t="shared" si="1"/>
        <v>1.3555393067604264</v>
      </c>
      <c r="E51" s="402">
        <f t="shared" si="2"/>
        <v>332.49077335633103</v>
      </c>
    </row>
    <row r="52" spans="2:12" x14ac:dyDescent="0.25">
      <c r="B52" s="53">
        <f t="shared" si="3"/>
        <v>24</v>
      </c>
      <c r="C52" s="400">
        <f t="shared" si="0"/>
        <v>1.0340463051381896</v>
      </c>
      <c r="D52" s="400">
        <f t="shared" si="1"/>
        <v>1.3701113543081012</v>
      </c>
      <c r="E52" s="402">
        <f t="shared" si="2"/>
        <v>336.06504916991162</v>
      </c>
    </row>
    <row r="53" spans="2:12" s="513" customFormat="1" x14ac:dyDescent="0.25">
      <c r="B53" s="434">
        <f t="shared" si="3"/>
        <v>25</v>
      </c>
      <c r="C53" s="414">
        <f t="shared" si="0"/>
        <v>1.0451623029184252</v>
      </c>
      <c r="D53" s="414">
        <f t="shared" si="1"/>
        <v>1.3848400513669132</v>
      </c>
      <c r="E53" s="415">
        <f t="shared" si="2"/>
        <v>339.67774844848816</v>
      </c>
      <c r="F53" s="434"/>
      <c r="G53" s="434"/>
      <c r="H53" s="434"/>
      <c r="I53" s="434"/>
      <c r="J53" s="434"/>
      <c r="K53" s="434"/>
      <c r="L53" s="434"/>
    </row>
  </sheetData>
  <mergeCells count="14">
    <mergeCell ref="B24:I24"/>
    <mergeCell ref="B18:L18"/>
    <mergeCell ref="J6:J9"/>
    <mergeCell ref="L6:L9"/>
    <mergeCell ref="B22:L22"/>
    <mergeCell ref="B20:L20"/>
    <mergeCell ref="C12:L12"/>
    <mergeCell ref="C13:M13"/>
    <mergeCell ref="C14:M14"/>
    <mergeCell ref="I4:J4"/>
    <mergeCell ref="B4:B5"/>
    <mergeCell ref="C4:H4"/>
    <mergeCell ref="B2:L2"/>
    <mergeCell ref="K4:L4"/>
  </mergeCells>
  <pageMargins left="0.7" right="0.7" top="0.75" bottom="0.75" header="0.3" footer="0.3"/>
  <pageSetup scale="60" orientation="landscape"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B978F-BBAB-45B9-82F3-5DD49B8E6992}">
  <sheetPr>
    <pageSetUpPr fitToPage="1"/>
  </sheetPr>
  <dimension ref="A1:AL65490"/>
  <sheetViews>
    <sheetView showGridLines="0" view="pageBreakPreview" topLeftCell="B1" zoomScale="60" zoomScaleNormal="70" workbookViewId="0">
      <selection activeCell="R44" sqref="R44:V44"/>
    </sheetView>
  </sheetViews>
  <sheetFormatPr defaultColWidth="8.42578125" defaultRowHeight="12.75" x14ac:dyDescent="0.25"/>
  <cols>
    <col min="1" max="1" width="1.85546875" style="59" hidden="1" customWidth="1"/>
    <col min="2" max="2" width="2.42578125" style="59" customWidth="1"/>
    <col min="3" max="3" width="6.42578125" style="59" customWidth="1"/>
    <col min="4" max="4" width="18.42578125" style="59" customWidth="1"/>
    <col min="5" max="6" width="6.42578125" style="59" customWidth="1"/>
    <col min="7" max="7" width="18.42578125" style="59" customWidth="1"/>
    <col min="8" max="8" width="6.42578125" style="59" customWidth="1"/>
    <col min="9" max="12" width="12.7109375" style="61" customWidth="1"/>
    <col min="13" max="13" width="10.42578125" style="62" customWidth="1"/>
    <col min="14" max="22" width="10.42578125" style="59" customWidth="1"/>
    <col min="23" max="25" width="6.42578125" style="59" customWidth="1"/>
    <col min="26" max="27" width="8.42578125" style="59" customWidth="1"/>
    <col min="28" max="31" width="6.42578125" style="59" customWidth="1"/>
    <col min="32" max="32" width="16.42578125" style="59" customWidth="1"/>
    <col min="33" max="33" width="12.42578125" style="59" customWidth="1"/>
    <col min="34" max="16384" width="8.42578125" style="59"/>
  </cols>
  <sheetData>
    <row r="1" spans="1:38" ht="15.95" customHeight="1" x14ac:dyDescent="0.25">
      <c r="C1" s="646" t="s">
        <v>2057</v>
      </c>
      <c r="D1" s="646"/>
      <c r="E1" s="646"/>
      <c r="F1" s="646"/>
      <c r="G1" s="60"/>
    </row>
    <row r="2" spans="1:38" ht="12.95" customHeight="1" thickBot="1" x14ac:dyDescent="0.3"/>
    <row r="3" spans="1:38" ht="12.95" customHeight="1" x14ac:dyDescent="0.25">
      <c r="C3" s="647" t="s">
        <v>2058</v>
      </c>
      <c r="D3" s="648"/>
      <c r="E3" s="647" t="s">
        <v>2059</v>
      </c>
      <c r="F3" s="651"/>
      <c r="G3" s="651"/>
      <c r="H3" s="648"/>
      <c r="I3" s="647" t="s">
        <v>2060</v>
      </c>
      <c r="J3" s="651"/>
      <c r="K3" s="651"/>
      <c r="L3" s="648"/>
      <c r="M3" s="651" t="s">
        <v>2061</v>
      </c>
      <c r="N3" s="651"/>
      <c r="O3" s="647" t="s">
        <v>4721</v>
      </c>
      <c r="P3" s="651"/>
      <c r="Q3" s="648"/>
      <c r="R3" s="881" t="s">
        <v>2062</v>
      </c>
      <c r="S3" s="882"/>
      <c r="T3" s="882"/>
      <c r="U3" s="882"/>
      <c r="V3" s="882"/>
      <c r="W3" s="722" t="s">
        <v>2494</v>
      </c>
      <c r="X3" s="723"/>
      <c r="Y3" s="724"/>
      <c r="Z3" s="684" t="s">
        <v>2438</v>
      </c>
      <c r="AA3" s="685"/>
      <c r="AB3" s="685"/>
      <c r="AC3" s="685"/>
      <c r="AD3" s="685"/>
      <c r="AE3" s="685"/>
      <c r="AF3" s="685"/>
      <c r="AG3" s="686"/>
    </row>
    <row r="4" spans="1:38" ht="12.95" customHeight="1" thickBot="1" x14ac:dyDescent="0.3">
      <c r="C4" s="649"/>
      <c r="D4" s="650"/>
      <c r="E4" s="649"/>
      <c r="F4" s="652"/>
      <c r="G4" s="652"/>
      <c r="H4" s="650"/>
      <c r="I4" s="649"/>
      <c r="J4" s="652"/>
      <c r="K4" s="652"/>
      <c r="L4" s="650"/>
      <c r="M4" s="652"/>
      <c r="N4" s="652"/>
      <c r="O4" s="649"/>
      <c r="P4" s="652"/>
      <c r="Q4" s="650"/>
      <c r="R4" s="883"/>
      <c r="S4" s="884"/>
      <c r="T4" s="884"/>
      <c r="U4" s="884"/>
      <c r="V4" s="884"/>
      <c r="W4" s="725"/>
      <c r="X4" s="726"/>
      <c r="Y4" s="727"/>
      <c r="Z4" s="687"/>
      <c r="AA4" s="688"/>
      <c r="AB4" s="688"/>
      <c r="AC4" s="688"/>
      <c r="AD4" s="688"/>
      <c r="AE4" s="688"/>
      <c r="AF4" s="688"/>
      <c r="AG4" s="689"/>
    </row>
    <row r="5" spans="1:38" ht="12.95" customHeight="1" x14ac:dyDescent="0.25">
      <c r="C5" s="64" t="s">
        <v>2063</v>
      </c>
      <c r="D5" s="65" t="s">
        <v>2064</v>
      </c>
      <c r="E5" s="66" t="s">
        <v>2065</v>
      </c>
      <c r="F5" s="67" t="s">
        <v>2066</v>
      </c>
      <c r="G5" s="67" t="s">
        <v>2066</v>
      </c>
      <c r="H5" s="68" t="s">
        <v>2067</v>
      </c>
      <c r="I5" s="70">
        <v>42736</v>
      </c>
      <c r="J5" s="71">
        <v>43107.708333333336</v>
      </c>
      <c r="K5" s="69">
        <v>43523.322916666664</v>
      </c>
      <c r="L5" s="71">
        <v>43847.756944444445</v>
      </c>
      <c r="M5" s="637" t="s">
        <v>2068</v>
      </c>
      <c r="N5" s="639" t="s">
        <v>2069</v>
      </c>
      <c r="O5" s="745" t="s">
        <v>2474</v>
      </c>
      <c r="P5" s="745" t="s">
        <v>2475</v>
      </c>
      <c r="Q5" s="747" t="s">
        <v>2476</v>
      </c>
      <c r="R5" s="190">
        <v>2017</v>
      </c>
      <c r="S5" s="191">
        <v>2018</v>
      </c>
      <c r="T5" s="190">
        <v>2019</v>
      </c>
      <c r="U5" s="192">
        <v>2020</v>
      </c>
      <c r="V5" s="191" t="s">
        <v>2430</v>
      </c>
      <c r="W5" s="716" t="s">
        <v>2496</v>
      </c>
      <c r="X5" s="714" t="s">
        <v>2495</v>
      </c>
      <c r="Y5" s="712" t="s">
        <v>2497</v>
      </c>
      <c r="Z5" s="210" t="s">
        <v>2458</v>
      </c>
      <c r="AA5" s="211" t="s">
        <v>2439</v>
      </c>
      <c r="AB5" s="690" t="s">
        <v>2440</v>
      </c>
      <c r="AC5" s="691"/>
      <c r="AD5" s="691"/>
      <c r="AE5" s="692"/>
      <c r="AF5" s="247" t="s">
        <v>2441</v>
      </c>
      <c r="AG5" s="693" t="s">
        <v>2442</v>
      </c>
      <c r="AH5" s="61"/>
      <c r="AI5" s="61"/>
      <c r="AJ5" s="61" t="s">
        <v>2494</v>
      </c>
      <c r="AK5" s="61"/>
    </row>
    <row r="6" spans="1:38" ht="12.95" customHeight="1" thickBot="1" x14ac:dyDescent="0.3">
      <c r="C6" s="72" t="s">
        <v>2070</v>
      </c>
      <c r="D6" s="73" t="s">
        <v>2071</v>
      </c>
      <c r="E6" s="72" t="s">
        <v>2072</v>
      </c>
      <c r="F6" s="74" t="s">
        <v>2073</v>
      </c>
      <c r="G6" s="74" t="s">
        <v>2074</v>
      </c>
      <c r="H6" s="75" t="s">
        <v>2072</v>
      </c>
      <c r="I6" s="454" t="s">
        <v>2075</v>
      </c>
      <c r="J6" s="76" t="s">
        <v>2076</v>
      </c>
      <c r="K6" s="454" t="s">
        <v>2077</v>
      </c>
      <c r="L6" s="76" t="s">
        <v>3659</v>
      </c>
      <c r="M6" s="638"/>
      <c r="N6" s="640"/>
      <c r="O6" s="746"/>
      <c r="P6" s="746"/>
      <c r="Q6" s="748"/>
      <c r="R6" s="77" t="s">
        <v>2078</v>
      </c>
      <c r="S6" s="78" t="s">
        <v>2078</v>
      </c>
      <c r="T6" s="77" t="s">
        <v>2078</v>
      </c>
      <c r="U6" s="79" t="s">
        <v>2078</v>
      </c>
      <c r="V6" s="78" t="s">
        <v>2078</v>
      </c>
      <c r="W6" s="717"/>
      <c r="X6" s="715"/>
      <c r="Y6" s="713"/>
      <c r="Z6" s="213" t="s">
        <v>2443</v>
      </c>
      <c r="AA6" s="214" t="s">
        <v>2444</v>
      </c>
      <c r="AB6" s="72" t="s">
        <v>2445</v>
      </c>
      <c r="AC6" s="215" t="s">
        <v>2446</v>
      </c>
      <c r="AD6" s="215" t="s">
        <v>2447</v>
      </c>
      <c r="AE6" s="75" t="s">
        <v>2448</v>
      </c>
      <c r="AF6" s="77" t="s">
        <v>2449</v>
      </c>
      <c r="AG6" s="694"/>
      <c r="AH6" s="61"/>
      <c r="AI6" s="61" t="s">
        <v>2500</v>
      </c>
      <c r="AJ6" s="61" t="s">
        <v>2503</v>
      </c>
      <c r="AK6" s="61" t="s">
        <v>2473</v>
      </c>
    </row>
    <row r="7" spans="1:38" ht="12.95" customHeight="1" thickTop="1" x14ac:dyDescent="0.25">
      <c r="A7" s="80">
        <v>1</v>
      </c>
      <c r="B7" s="80"/>
      <c r="C7" s="81" t="s">
        <v>2079</v>
      </c>
      <c r="D7" s="82" t="s">
        <v>2080</v>
      </c>
      <c r="E7" s="81">
        <v>138</v>
      </c>
      <c r="F7" s="83" t="s">
        <v>2081</v>
      </c>
      <c r="G7" s="83" t="s">
        <v>2082</v>
      </c>
      <c r="H7" s="84">
        <v>26.4</v>
      </c>
      <c r="I7" s="453">
        <v>20.89</v>
      </c>
      <c r="J7" s="457">
        <v>16.14465855941215</v>
      </c>
      <c r="K7" s="457">
        <v>13.437330271471154</v>
      </c>
      <c r="L7" s="88">
        <v>15.396983204677943</v>
      </c>
      <c r="M7" s="89">
        <f>+VALUE(RIGHT(G7,2))</f>
        <v>53</v>
      </c>
      <c r="N7" s="90">
        <f>MAX(I7:L7)/M7</f>
        <v>0.39415094339622642</v>
      </c>
      <c r="O7" s="274">
        <v>3</v>
      </c>
      <c r="P7" s="271">
        <f>+MAX(I7:L7)/O7</f>
        <v>6.9633333333333338</v>
      </c>
      <c r="Q7" s="271">
        <f>((P7*1000)/(H7*SQRT(3)))</f>
        <v>152.28342327488997</v>
      </c>
      <c r="R7" s="396">
        <f t="shared" ref="R7:S12" si="0">IF($Q7&gt;260,I7,IF(OR(I7="-",I7&lt;($M7*1.06)),0,I7))</f>
        <v>0</v>
      </c>
      <c r="S7" s="396">
        <f t="shared" si="0"/>
        <v>0</v>
      </c>
      <c r="T7" s="396">
        <f t="shared" ref="T7:T12" si="1">IF($Q7&gt;260,K7,IF(OR(K7="-",K7&lt;($M7*1.06)),0,K7))</f>
        <v>0</v>
      </c>
      <c r="U7" s="396">
        <f t="shared" ref="U7:U12" si="2">IF($Q7&gt;260,L7,IF(OR(L7="-",L7&lt;($M7*1.06)),0,L7))</f>
        <v>0</v>
      </c>
      <c r="V7" s="241">
        <f>+MAX(R7:U7)</f>
        <v>0</v>
      </c>
      <c r="W7" s="718" t="s">
        <v>2014</v>
      </c>
      <c r="X7" s="360" t="s">
        <v>2014</v>
      </c>
      <c r="Y7" s="360" t="s">
        <v>2014</v>
      </c>
      <c r="Z7" s="695" t="s">
        <v>2450</v>
      </c>
      <c r="AA7" s="698">
        <v>795</v>
      </c>
      <c r="AB7" s="701"/>
      <c r="AC7" s="704">
        <v>2</v>
      </c>
      <c r="AD7" s="704"/>
      <c r="AE7" s="707"/>
      <c r="AF7" s="676">
        <f>304*2</f>
        <v>608</v>
      </c>
      <c r="AG7" s="679" t="s">
        <v>2092</v>
      </c>
      <c r="AH7" s="61"/>
      <c r="AI7" s="749">
        <f>+IF(W7="y",1,0)</f>
        <v>1</v>
      </c>
      <c r="AJ7" s="80">
        <f>+IF(X7="y",1,0)</f>
        <v>1</v>
      </c>
      <c r="AK7" s="80">
        <f>+IF(Y7="y",O7,0)</f>
        <v>3</v>
      </c>
    </row>
    <row r="8" spans="1:38" ht="12.95" customHeight="1" x14ac:dyDescent="0.25">
      <c r="A8" s="80">
        <f>1+A7</f>
        <v>2</v>
      </c>
      <c r="B8" s="80"/>
      <c r="C8" s="92" t="s">
        <v>2079</v>
      </c>
      <c r="D8" s="93" t="s">
        <v>2080</v>
      </c>
      <c r="E8" s="92">
        <v>138</v>
      </c>
      <c r="F8" s="94" t="s">
        <v>2083</v>
      </c>
      <c r="G8" s="83" t="s">
        <v>2082</v>
      </c>
      <c r="H8" s="84">
        <v>26.4</v>
      </c>
      <c r="I8" s="96">
        <v>14.65</v>
      </c>
      <c r="J8" s="97">
        <v>15.185519418182574</v>
      </c>
      <c r="K8" s="457">
        <v>19.533949962705925</v>
      </c>
      <c r="L8" s="88">
        <v>26.116811270598483</v>
      </c>
      <c r="M8" s="98">
        <f>+VALUE(RIGHT(G8,2))</f>
        <v>53</v>
      </c>
      <c r="N8" s="90">
        <f>MAX(I8:L8)/M8</f>
        <v>0.49277002397355629</v>
      </c>
      <c r="O8" s="274">
        <v>3</v>
      </c>
      <c r="P8" s="271">
        <f>+MAX(I8:L8)/O8</f>
        <v>8.7056037568661608</v>
      </c>
      <c r="Q8" s="271">
        <f>((P8*1000)/(H8*SQRT(3)))</f>
        <v>190.38570729109455</v>
      </c>
      <c r="R8" s="396">
        <f t="shared" si="0"/>
        <v>0</v>
      </c>
      <c r="S8" s="396">
        <f t="shared" si="0"/>
        <v>0</v>
      </c>
      <c r="T8" s="396">
        <f t="shared" si="1"/>
        <v>0</v>
      </c>
      <c r="U8" s="396">
        <f t="shared" si="2"/>
        <v>0</v>
      </c>
      <c r="V8" s="241">
        <f t="shared" ref="V8:V42" si="3">+MAX(R8:U8)</f>
        <v>0</v>
      </c>
      <c r="W8" s="719"/>
      <c r="X8" s="354" t="s">
        <v>2014</v>
      </c>
      <c r="Y8" s="354" t="s">
        <v>2014</v>
      </c>
      <c r="Z8" s="696"/>
      <c r="AA8" s="699"/>
      <c r="AB8" s="702"/>
      <c r="AC8" s="705"/>
      <c r="AD8" s="705"/>
      <c r="AE8" s="708"/>
      <c r="AF8" s="677"/>
      <c r="AG8" s="680"/>
      <c r="AH8" s="61"/>
      <c r="AI8" s="749">
        <v>1</v>
      </c>
      <c r="AJ8" s="80">
        <f t="shared" ref="AJ8:AJ42" si="4">+IF(X8="y",1,0)</f>
        <v>1</v>
      </c>
      <c r="AK8" s="80">
        <f t="shared" ref="AK8:AK42" si="5">+IF(Y8="y",O8,0)</f>
        <v>3</v>
      </c>
      <c r="AL8" s="298"/>
    </row>
    <row r="9" spans="1:38" ht="12.95" customHeight="1" x14ac:dyDescent="0.25">
      <c r="A9" s="80"/>
      <c r="B9" s="80"/>
      <c r="C9" s="92" t="s">
        <v>2079</v>
      </c>
      <c r="D9" s="93" t="s">
        <v>2080</v>
      </c>
      <c r="E9" s="92">
        <v>138</v>
      </c>
      <c r="F9" s="94" t="s">
        <v>2084</v>
      </c>
      <c r="G9" s="83" t="s">
        <v>2082</v>
      </c>
      <c r="H9" s="84">
        <v>26.4</v>
      </c>
      <c r="I9" s="96">
        <v>28.98</v>
      </c>
      <c r="J9" s="97">
        <v>39.268944472700056</v>
      </c>
      <c r="K9" s="457">
        <v>29.750075985958794</v>
      </c>
      <c r="L9" s="88">
        <v>30.141207067911154</v>
      </c>
      <c r="M9" s="98">
        <f>+VALUE(RIGHT(G9,2))</f>
        <v>53</v>
      </c>
      <c r="N9" s="90">
        <f>MAX(I9:L9)/M9</f>
        <v>0.74092348061698221</v>
      </c>
      <c r="O9" s="274">
        <v>3</v>
      </c>
      <c r="P9" s="271">
        <f>+MAX(I9:L9)/O9</f>
        <v>13.089648157566685</v>
      </c>
      <c r="Q9" s="271">
        <f>((P9*1000)/(H9*SQRT(3)))</f>
        <v>286.26181391547789</v>
      </c>
      <c r="R9" s="396">
        <f t="shared" si="0"/>
        <v>28.98</v>
      </c>
      <c r="S9" s="396">
        <f t="shared" si="0"/>
        <v>39.268944472700056</v>
      </c>
      <c r="T9" s="396">
        <f t="shared" si="1"/>
        <v>29.750075985958794</v>
      </c>
      <c r="U9" s="396">
        <f t="shared" si="2"/>
        <v>30.141207067911154</v>
      </c>
      <c r="V9" s="241">
        <f t="shared" si="3"/>
        <v>39.268944472700056</v>
      </c>
      <c r="W9" s="720"/>
      <c r="X9" s="354" t="s">
        <v>2014</v>
      </c>
      <c r="Y9" s="354" t="s">
        <v>2014</v>
      </c>
      <c r="Z9" s="697"/>
      <c r="AA9" s="700"/>
      <c r="AB9" s="703"/>
      <c r="AC9" s="706"/>
      <c r="AD9" s="706"/>
      <c r="AE9" s="709"/>
      <c r="AF9" s="678"/>
      <c r="AG9" s="681"/>
      <c r="AH9" s="61"/>
      <c r="AI9" s="749">
        <v>1</v>
      </c>
      <c r="AJ9" s="80">
        <f t="shared" si="4"/>
        <v>1</v>
      </c>
      <c r="AK9" s="80">
        <f t="shared" si="5"/>
        <v>3</v>
      </c>
    </row>
    <row r="10" spans="1:38" ht="12.95" customHeight="1" x14ac:dyDescent="0.25">
      <c r="A10" s="80" t="e">
        <f>1+#REF!</f>
        <v>#REF!</v>
      </c>
      <c r="B10" s="80"/>
      <c r="C10" s="92" t="s">
        <v>2085</v>
      </c>
      <c r="D10" s="93" t="s">
        <v>2086</v>
      </c>
      <c r="E10" s="92">
        <v>138</v>
      </c>
      <c r="F10" s="94" t="s">
        <v>2081</v>
      </c>
      <c r="G10" s="99" t="s">
        <v>2087</v>
      </c>
      <c r="H10" s="84">
        <v>26.4</v>
      </c>
      <c r="I10" s="96">
        <v>31.93</v>
      </c>
      <c r="J10" s="97">
        <v>28.159880649666206</v>
      </c>
      <c r="K10" s="457">
        <v>31.464698759396558</v>
      </c>
      <c r="L10" s="88">
        <v>33.858483743554544</v>
      </c>
      <c r="M10" s="335">
        <f>+VALUE(RIGHT(G10,2))</f>
        <v>42</v>
      </c>
      <c r="N10" s="339">
        <f>MAX(I10:L10)/M10</f>
        <v>0.80615437484653674</v>
      </c>
      <c r="O10" s="274">
        <v>3</v>
      </c>
      <c r="P10" s="271">
        <f>+MAX(I10:L10)/O10</f>
        <v>11.286161247851515</v>
      </c>
      <c r="Q10" s="271">
        <f>((P10*1000)/(H10*SQRT(3)))</f>
        <v>246.82076646078013</v>
      </c>
      <c r="R10" s="396">
        <f t="shared" si="0"/>
        <v>0</v>
      </c>
      <c r="S10" s="396">
        <f t="shared" si="0"/>
        <v>0</v>
      </c>
      <c r="T10" s="396">
        <f t="shared" si="1"/>
        <v>0</v>
      </c>
      <c r="U10" s="396">
        <f t="shared" si="2"/>
        <v>0</v>
      </c>
      <c r="V10" s="241">
        <f t="shared" si="3"/>
        <v>0</v>
      </c>
      <c r="W10" s="721" t="s">
        <v>2014</v>
      </c>
      <c r="X10" s="338" t="s">
        <v>2014</v>
      </c>
      <c r="Y10" s="338" t="s">
        <v>2014</v>
      </c>
      <c r="Z10" s="92" t="s">
        <v>2450</v>
      </c>
      <c r="AA10" s="225">
        <v>795</v>
      </c>
      <c r="AB10" s="250"/>
      <c r="AC10" s="251">
        <v>2</v>
      </c>
      <c r="AD10" s="251"/>
      <c r="AE10" s="226"/>
      <c r="AF10" s="249">
        <f>304*2</f>
        <v>608</v>
      </c>
      <c r="AG10" s="239" t="s">
        <v>2092</v>
      </c>
      <c r="AH10" s="61"/>
      <c r="AI10" s="749">
        <f>+IF(W10="y",1,0)</f>
        <v>1</v>
      </c>
      <c r="AJ10" s="80">
        <f t="shared" si="4"/>
        <v>1</v>
      </c>
      <c r="AK10" s="80">
        <f t="shared" si="5"/>
        <v>3</v>
      </c>
    </row>
    <row r="11" spans="1:38" ht="12.95" customHeight="1" x14ac:dyDescent="0.25">
      <c r="A11" s="80"/>
      <c r="B11" s="80"/>
      <c r="C11" s="92" t="s">
        <v>2085</v>
      </c>
      <c r="D11" s="93" t="s">
        <v>2086</v>
      </c>
      <c r="E11" s="92">
        <v>138</v>
      </c>
      <c r="F11" s="94" t="s">
        <v>2083</v>
      </c>
      <c r="G11" s="99" t="s">
        <v>2087</v>
      </c>
      <c r="H11" s="84">
        <v>26.4</v>
      </c>
      <c r="I11" s="452" t="s">
        <v>2092</v>
      </c>
      <c r="J11" s="464" t="s">
        <v>2092</v>
      </c>
      <c r="K11" s="468" t="s">
        <v>2092</v>
      </c>
      <c r="L11" s="358" t="s">
        <v>2092</v>
      </c>
      <c r="M11" s="335">
        <v>42</v>
      </c>
      <c r="N11" s="359">
        <v>0</v>
      </c>
      <c r="O11" s="356">
        <v>4</v>
      </c>
      <c r="P11" s="346">
        <v>0</v>
      </c>
      <c r="Q11" s="346">
        <v>0</v>
      </c>
      <c r="R11" s="396">
        <f t="shared" si="0"/>
        <v>0</v>
      </c>
      <c r="S11" s="396">
        <f t="shared" si="0"/>
        <v>0</v>
      </c>
      <c r="T11" s="396">
        <f t="shared" si="1"/>
        <v>0</v>
      </c>
      <c r="U11" s="396">
        <f t="shared" si="2"/>
        <v>0</v>
      </c>
      <c r="V11" s="357"/>
      <c r="W11" s="720"/>
      <c r="X11" s="344" t="s">
        <v>2014</v>
      </c>
      <c r="Y11" s="344" t="s">
        <v>2014</v>
      </c>
      <c r="Z11" s="327"/>
      <c r="AA11" s="329"/>
      <c r="AB11" s="330"/>
      <c r="AC11" s="331"/>
      <c r="AD11" s="331"/>
      <c r="AE11" s="332"/>
      <c r="AF11" s="326"/>
      <c r="AG11" s="342"/>
      <c r="AH11" s="61"/>
      <c r="AI11" s="749">
        <v>1</v>
      </c>
      <c r="AJ11" s="80">
        <f t="shared" si="4"/>
        <v>1</v>
      </c>
      <c r="AK11" s="80">
        <f t="shared" si="5"/>
        <v>4</v>
      </c>
    </row>
    <row r="12" spans="1:38" ht="12.95" customHeight="1" x14ac:dyDescent="0.25">
      <c r="A12" s="80" t="e">
        <f>1+A10</f>
        <v>#REF!</v>
      </c>
      <c r="B12" s="80"/>
      <c r="C12" s="92" t="s">
        <v>2088</v>
      </c>
      <c r="D12" s="93" t="s">
        <v>2089</v>
      </c>
      <c r="E12" s="92">
        <v>69</v>
      </c>
      <c r="F12" s="94" t="s">
        <v>2090</v>
      </c>
      <c r="G12" s="99" t="s">
        <v>2091</v>
      </c>
      <c r="H12" s="100">
        <v>13.2</v>
      </c>
      <c r="I12" s="655">
        <v>36.299999999999997</v>
      </c>
      <c r="J12" s="641">
        <v>40.373622778333505</v>
      </c>
      <c r="K12" s="641">
        <v>36.408459163867995</v>
      </c>
      <c r="L12" s="641">
        <v>32.004535302270241</v>
      </c>
      <c r="M12" s="643">
        <f>+VALUE(RIGHT(G12,4))+VALUE(RIGHT(G13,2))</f>
        <v>50.4</v>
      </c>
      <c r="N12" s="644">
        <f>MAX(I12:L12)/M12</f>
        <v>0.80106394401455372</v>
      </c>
      <c r="O12" s="674">
        <v>6</v>
      </c>
      <c r="P12" s="672">
        <f>+MAX(I12:L12)/O12</f>
        <v>6.7289371297222509</v>
      </c>
      <c r="Q12" s="672">
        <f>((P12*1000)/(H12*SQRT(3)))</f>
        <v>294.31467145494014</v>
      </c>
      <c r="R12" s="653">
        <f t="shared" si="0"/>
        <v>36.299999999999997</v>
      </c>
      <c r="S12" s="653">
        <f t="shared" si="0"/>
        <v>40.373622778333505</v>
      </c>
      <c r="T12" s="653">
        <f t="shared" si="1"/>
        <v>36.408459163867995</v>
      </c>
      <c r="U12" s="653">
        <f t="shared" si="2"/>
        <v>32.004535302270241</v>
      </c>
      <c r="V12" s="682">
        <f t="shared" si="3"/>
        <v>40.373622778333505</v>
      </c>
      <c r="W12" s="721" t="s">
        <v>2014</v>
      </c>
      <c r="X12" s="338" t="s">
        <v>2014</v>
      </c>
      <c r="Y12" s="338" t="s">
        <v>2014</v>
      </c>
      <c r="Z12" s="695" t="s">
        <v>2024</v>
      </c>
      <c r="AA12" s="698">
        <v>336</v>
      </c>
      <c r="AB12" s="701">
        <v>1</v>
      </c>
      <c r="AC12" s="704"/>
      <c r="AD12" s="704"/>
      <c r="AE12" s="707"/>
      <c r="AF12" s="676">
        <v>60</v>
      </c>
      <c r="AG12" s="710">
        <f>+MAX(I12:L13)/MIN(60,AF12)</f>
        <v>0.67289371297222511</v>
      </c>
      <c r="AH12" s="61"/>
      <c r="AI12" s="749">
        <f>+IF(W12="y",1,0)</f>
        <v>1</v>
      </c>
      <c r="AJ12" s="80">
        <f t="shared" si="4"/>
        <v>1</v>
      </c>
      <c r="AK12" s="750">
        <f t="shared" si="5"/>
        <v>6</v>
      </c>
    </row>
    <row r="13" spans="1:38" ht="12.95" customHeight="1" x14ac:dyDescent="0.25">
      <c r="A13" s="80" t="e">
        <f t="shared" ref="A13:A27" si="6">1+A12</f>
        <v>#REF!</v>
      </c>
      <c r="B13" s="80"/>
      <c r="C13" s="92" t="s">
        <v>2088</v>
      </c>
      <c r="D13" s="93" t="s">
        <v>2089</v>
      </c>
      <c r="E13" s="92">
        <v>69</v>
      </c>
      <c r="F13" s="94" t="s">
        <v>2093</v>
      </c>
      <c r="G13" s="99" t="s">
        <v>2094</v>
      </c>
      <c r="H13" s="100">
        <v>13.2</v>
      </c>
      <c r="I13" s="656"/>
      <c r="J13" s="642"/>
      <c r="K13" s="642"/>
      <c r="L13" s="642"/>
      <c r="M13" s="643"/>
      <c r="N13" s="645"/>
      <c r="O13" s="675"/>
      <c r="P13" s="673"/>
      <c r="Q13" s="673"/>
      <c r="R13" s="654"/>
      <c r="S13" s="654"/>
      <c r="T13" s="654"/>
      <c r="U13" s="654"/>
      <c r="V13" s="683"/>
      <c r="W13" s="720"/>
      <c r="X13" s="344" t="s">
        <v>2014</v>
      </c>
      <c r="Y13" s="344" t="s">
        <v>2014</v>
      </c>
      <c r="Z13" s="697"/>
      <c r="AA13" s="700"/>
      <c r="AB13" s="703"/>
      <c r="AC13" s="706"/>
      <c r="AD13" s="706"/>
      <c r="AE13" s="709"/>
      <c r="AF13" s="678"/>
      <c r="AG13" s="711"/>
      <c r="AH13" s="61"/>
      <c r="AI13" s="749">
        <v>1</v>
      </c>
      <c r="AJ13" s="80">
        <f t="shared" si="4"/>
        <v>1</v>
      </c>
      <c r="AK13" s="750"/>
    </row>
    <row r="14" spans="1:38" ht="12.95" customHeight="1" x14ac:dyDescent="0.25">
      <c r="A14" s="80" t="e">
        <f>1+#REF!</f>
        <v>#REF!</v>
      </c>
      <c r="B14" s="80"/>
      <c r="C14" s="92" t="s">
        <v>2095</v>
      </c>
      <c r="D14" s="93" t="s">
        <v>2096</v>
      </c>
      <c r="E14" s="92">
        <v>69</v>
      </c>
      <c r="F14" s="94" t="s">
        <v>2097</v>
      </c>
      <c r="G14" s="99" t="s">
        <v>2098</v>
      </c>
      <c r="H14" s="100">
        <v>13.2</v>
      </c>
      <c r="I14" s="96">
        <v>20.47</v>
      </c>
      <c r="J14" s="97">
        <v>21.32</v>
      </c>
      <c r="K14" s="457">
        <v>22.679371237102043</v>
      </c>
      <c r="L14" s="88">
        <v>24.472890932017751</v>
      </c>
      <c r="M14" s="98">
        <f>+VALUE(RIGHT(G14,2))</f>
        <v>25</v>
      </c>
      <c r="N14" s="90">
        <f t="shared" ref="N14:N42" si="7">MAX(I14:L14)/M14</f>
        <v>0.97891563728071007</v>
      </c>
      <c r="O14" s="274">
        <v>4</v>
      </c>
      <c r="P14" s="271">
        <f t="shared" ref="P14:P42" si="8">+MAX(I14:L14)/O14</f>
        <v>6.1182227330044379</v>
      </c>
      <c r="Q14" s="271">
        <f t="shared" ref="Q14:Q42" si="9">((P14*1000)/(H14*SQRT(3)))</f>
        <v>267.60284408046977</v>
      </c>
      <c r="R14" s="396">
        <f t="shared" ref="R14:R42" si="10">IF($Q14&gt;260,I14,IF(OR(I14="-",I14&lt;($M14*1.06)),0,I14))</f>
        <v>20.47</v>
      </c>
      <c r="S14" s="396">
        <f t="shared" ref="S14:S42" si="11">IF($Q14&gt;260,J14,IF(OR(J14="-",J14&lt;($M14*1.06)),0,J14))</f>
        <v>21.32</v>
      </c>
      <c r="T14" s="396">
        <f t="shared" ref="T14:T42" si="12">IF($Q14&gt;260,K14,IF(OR(K14="-",K14&lt;($M14*1.06)),0,K14))</f>
        <v>22.679371237102043</v>
      </c>
      <c r="U14" s="396">
        <f t="shared" ref="U14:U42" si="13">IF($Q14&gt;260,L14,IF(OR(L14="-",L14&lt;($M14*1.06)),0,L14))</f>
        <v>24.472890932017751</v>
      </c>
      <c r="V14" s="241">
        <f t="shared" si="3"/>
        <v>24.472890932017751</v>
      </c>
      <c r="W14" s="347" t="s">
        <v>2013</v>
      </c>
      <c r="X14" s="338" t="s">
        <v>2014</v>
      </c>
      <c r="Y14" s="338" t="s">
        <v>2014</v>
      </c>
      <c r="Z14" s="92" t="s">
        <v>2024</v>
      </c>
      <c r="AA14" s="220" t="s">
        <v>2451</v>
      </c>
      <c r="AB14" s="221"/>
      <c r="AC14" s="220">
        <v>1</v>
      </c>
      <c r="AD14" s="220"/>
      <c r="AE14" s="222"/>
      <c r="AF14" s="249">
        <v>45</v>
      </c>
      <c r="AG14" s="224">
        <f>+MAX(I14:L14)/MIN(60,AF14)</f>
        <v>0.54384202071150556</v>
      </c>
      <c r="AH14" s="61"/>
      <c r="AI14" s="394">
        <f>+IF(W14="y",1,0)</f>
        <v>0</v>
      </c>
      <c r="AJ14" s="80">
        <f t="shared" si="4"/>
        <v>1</v>
      </c>
      <c r="AK14" s="80">
        <f t="shared" si="5"/>
        <v>4</v>
      </c>
    </row>
    <row r="15" spans="1:38" ht="12.95" customHeight="1" x14ac:dyDescent="0.25">
      <c r="A15" s="80" t="e">
        <f t="shared" si="6"/>
        <v>#REF!</v>
      </c>
      <c r="B15" s="80"/>
      <c r="C15" s="92" t="s">
        <v>2099</v>
      </c>
      <c r="D15" s="93" t="s">
        <v>2100</v>
      </c>
      <c r="E15" s="92">
        <v>69</v>
      </c>
      <c r="F15" s="94" t="s">
        <v>2097</v>
      </c>
      <c r="G15" s="99" t="s">
        <v>2101</v>
      </c>
      <c r="H15" s="100">
        <v>26.4</v>
      </c>
      <c r="I15" s="96">
        <v>4.53</v>
      </c>
      <c r="J15" s="97">
        <v>5.05</v>
      </c>
      <c r="K15" s="457">
        <v>4.792150571849497</v>
      </c>
      <c r="L15" s="88">
        <v>4.0775210747144479</v>
      </c>
      <c r="M15" s="98">
        <f>+VALUE(RIGHT(G15,4))</f>
        <v>12.5</v>
      </c>
      <c r="N15" s="90">
        <f t="shared" si="7"/>
        <v>0.40399999999999997</v>
      </c>
      <c r="O15" s="274">
        <v>1</v>
      </c>
      <c r="P15" s="271">
        <f t="shared" si="8"/>
        <v>5.05</v>
      </c>
      <c r="Q15" s="271">
        <f t="shared" si="9"/>
        <v>110.44010831089435</v>
      </c>
      <c r="R15" s="396">
        <f t="shared" si="10"/>
        <v>0</v>
      </c>
      <c r="S15" s="396">
        <f t="shared" si="11"/>
        <v>0</v>
      </c>
      <c r="T15" s="396">
        <f t="shared" si="12"/>
        <v>0</v>
      </c>
      <c r="U15" s="396">
        <f t="shared" si="13"/>
        <v>0</v>
      </c>
      <c r="V15" s="241">
        <f t="shared" si="3"/>
        <v>0</v>
      </c>
      <c r="W15" s="721" t="s">
        <v>2014</v>
      </c>
      <c r="X15" s="338" t="s">
        <v>2013</v>
      </c>
      <c r="Y15" s="338" t="s">
        <v>2014</v>
      </c>
      <c r="Z15" s="695" t="s">
        <v>2450</v>
      </c>
      <c r="AA15" s="698">
        <v>636</v>
      </c>
      <c r="AB15" s="701">
        <v>2</v>
      </c>
      <c r="AC15" s="704"/>
      <c r="AD15" s="704"/>
      <c r="AE15" s="707"/>
      <c r="AF15" s="676">
        <f>120+140</f>
        <v>260</v>
      </c>
      <c r="AG15" s="728" t="s">
        <v>2092</v>
      </c>
      <c r="AH15" s="61"/>
      <c r="AI15" s="749">
        <f>+IF(W15="y",1,0)</f>
        <v>1</v>
      </c>
      <c r="AJ15" s="80">
        <f t="shared" si="4"/>
        <v>0</v>
      </c>
      <c r="AK15" s="80">
        <f t="shared" si="5"/>
        <v>1</v>
      </c>
    </row>
    <row r="16" spans="1:38" ht="12.95" customHeight="1" x14ac:dyDescent="0.25">
      <c r="A16" s="80"/>
      <c r="B16" s="80"/>
      <c r="C16" s="92" t="s">
        <v>2099</v>
      </c>
      <c r="D16" s="93" t="s">
        <v>2100</v>
      </c>
      <c r="E16" s="92">
        <v>69</v>
      </c>
      <c r="F16" s="94" t="s">
        <v>2102</v>
      </c>
      <c r="G16" s="99" t="s">
        <v>2091</v>
      </c>
      <c r="H16" s="100">
        <v>13.2</v>
      </c>
      <c r="I16" s="96">
        <v>15.46</v>
      </c>
      <c r="J16" s="97">
        <v>14.55</v>
      </c>
      <c r="K16" s="457">
        <v>14.111441701280778</v>
      </c>
      <c r="L16" s="88">
        <v>13.535339172090197</v>
      </c>
      <c r="M16" s="98">
        <f>+VALUE(RIGHT(G16,4))</f>
        <v>22.4</v>
      </c>
      <c r="N16" s="90">
        <f t="shared" si="7"/>
        <v>0.69017857142857153</v>
      </c>
      <c r="O16" s="274">
        <v>4</v>
      </c>
      <c r="P16" s="271">
        <f t="shared" si="8"/>
        <v>3.8650000000000002</v>
      </c>
      <c r="Q16" s="271">
        <f t="shared" si="9"/>
        <v>169.04990836499272</v>
      </c>
      <c r="R16" s="396">
        <f t="shared" si="10"/>
        <v>0</v>
      </c>
      <c r="S16" s="396">
        <f t="shared" si="11"/>
        <v>0</v>
      </c>
      <c r="T16" s="396">
        <f t="shared" si="12"/>
        <v>0</v>
      </c>
      <c r="U16" s="396">
        <f t="shared" si="13"/>
        <v>0</v>
      </c>
      <c r="V16" s="241">
        <f t="shared" si="3"/>
        <v>0</v>
      </c>
      <c r="W16" s="720"/>
      <c r="X16" s="338" t="s">
        <v>2014</v>
      </c>
      <c r="Y16" s="338" t="s">
        <v>2014</v>
      </c>
      <c r="Z16" s="697"/>
      <c r="AA16" s="700"/>
      <c r="AB16" s="703"/>
      <c r="AC16" s="706"/>
      <c r="AD16" s="706"/>
      <c r="AE16" s="709"/>
      <c r="AF16" s="678"/>
      <c r="AG16" s="656"/>
      <c r="AH16" s="61"/>
      <c r="AI16" s="749">
        <v>1</v>
      </c>
      <c r="AJ16" s="80">
        <f t="shared" si="4"/>
        <v>1</v>
      </c>
      <c r="AK16" s="80">
        <f t="shared" si="5"/>
        <v>4</v>
      </c>
    </row>
    <row r="17" spans="1:37" ht="13.5" customHeight="1" x14ac:dyDescent="0.25">
      <c r="A17" s="80" t="e">
        <f>1+A15</f>
        <v>#REF!</v>
      </c>
      <c r="B17" s="80"/>
      <c r="C17" s="92" t="s">
        <v>2103</v>
      </c>
      <c r="D17" s="93" t="s">
        <v>2104</v>
      </c>
      <c r="E17" s="92">
        <v>69</v>
      </c>
      <c r="F17" s="94" t="s">
        <v>2090</v>
      </c>
      <c r="G17" s="99" t="s">
        <v>2091</v>
      </c>
      <c r="H17" s="100">
        <v>12.47</v>
      </c>
      <c r="I17" s="96">
        <v>15.26</v>
      </c>
      <c r="J17" s="97">
        <v>18.095012898573717</v>
      </c>
      <c r="K17" s="457">
        <v>19.653801205228572</v>
      </c>
      <c r="L17" s="88">
        <v>19.387990718692375</v>
      </c>
      <c r="M17" s="98">
        <f>+VALUE(RIGHT(G17,4))</f>
        <v>22.4</v>
      </c>
      <c r="N17" s="90">
        <f t="shared" si="7"/>
        <v>0.87740183951913275</v>
      </c>
      <c r="O17" s="274">
        <v>4</v>
      </c>
      <c r="P17" s="271">
        <f t="shared" si="8"/>
        <v>4.9134503013071429</v>
      </c>
      <c r="Q17" s="271">
        <f t="shared" si="9"/>
        <v>227.48852077863086</v>
      </c>
      <c r="R17" s="396">
        <f t="shared" si="10"/>
        <v>0</v>
      </c>
      <c r="S17" s="396">
        <f t="shared" si="11"/>
        <v>0</v>
      </c>
      <c r="T17" s="396">
        <f t="shared" si="12"/>
        <v>0</v>
      </c>
      <c r="U17" s="396">
        <f t="shared" si="13"/>
        <v>0</v>
      </c>
      <c r="V17" s="241">
        <f t="shared" si="3"/>
        <v>0</v>
      </c>
      <c r="W17" s="349" t="s">
        <v>2014</v>
      </c>
      <c r="X17" s="338" t="s">
        <v>2013</v>
      </c>
      <c r="Y17" s="338" t="s">
        <v>2014</v>
      </c>
      <c r="Z17" s="92" t="s">
        <v>2450</v>
      </c>
      <c r="AA17" s="225">
        <v>556</v>
      </c>
      <c r="AB17" s="223">
        <v>2</v>
      </c>
      <c r="AC17" s="225"/>
      <c r="AD17" s="225"/>
      <c r="AE17" s="226"/>
      <c r="AF17" s="249">
        <f>120+82</f>
        <v>202</v>
      </c>
      <c r="AG17" s="102" t="s">
        <v>2092</v>
      </c>
      <c r="AH17" s="61"/>
      <c r="AI17" s="394">
        <f t="shared" ref="AI17:AI25" si="14">+IF(W17="y",1,0)</f>
        <v>1</v>
      </c>
      <c r="AJ17" s="80">
        <f t="shared" si="4"/>
        <v>0</v>
      </c>
      <c r="AK17" s="80">
        <f t="shared" si="5"/>
        <v>4</v>
      </c>
    </row>
    <row r="18" spans="1:37" ht="12.95" customHeight="1" x14ac:dyDescent="0.25">
      <c r="A18" s="80" t="e">
        <f t="shared" si="6"/>
        <v>#REF!</v>
      </c>
      <c r="B18" s="80"/>
      <c r="C18" s="92" t="s">
        <v>2105</v>
      </c>
      <c r="D18" s="93" t="s">
        <v>2106</v>
      </c>
      <c r="E18" s="92">
        <v>69</v>
      </c>
      <c r="F18" s="94" t="s">
        <v>2107</v>
      </c>
      <c r="G18" s="99" t="s">
        <v>2094</v>
      </c>
      <c r="H18" s="100">
        <v>13.2</v>
      </c>
      <c r="I18" s="101">
        <v>15.44</v>
      </c>
      <c r="J18" s="97">
        <v>14.807682635672069</v>
      </c>
      <c r="K18" s="457">
        <v>13.771042261758785</v>
      </c>
      <c r="L18" s="88">
        <v>13.597749149475101</v>
      </c>
      <c r="M18" s="98">
        <f>+VALUE(RIGHT(G18,2))</f>
        <v>28</v>
      </c>
      <c r="N18" s="90">
        <f t="shared" si="7"/>
        <v>0.55142857142857138</v>
      </c>
      <c r="O18" s="274">
        <v>4</v>
      </c>
      <c r="P18" s="271">
        <f t="shared" si="8"/>
        <v>3.86</v>
      </c>
      <c r="Q18" s="271">
        <f t="shared" si="9"/>
        <v>168.83121508120877</v>
      </c>
      <c r="R18" s="396">
        <f t="shared" si="10"/>
        <v>0</v>
      </c>
      <c r="S18" s="396">
        <f t="shared" si="11"/>
        <v>0</v>
      </c>
      <c r="T18" s="396">
        <f t="shared" si="12"/>
        <v>0</v>
      </c>
      <c r="U18" s="396">
        <f t="shared" si="13"/>
        <v>0</v>
      </c>
      <c r="V18" s="241">
        <f t="shared" si="3"/>
        <v>0</v>
      </c>
      <c r="W18" s="349" t="s">
        <v>2014</v>
      </c>
      <c r="X18" s="338" t="s">
        <v>2014</v>
      </c>
      <c r="Y18" s="338" t="s">
        <v>2014</v>
      </c>
      <c r="Z18" s="92" t="s">
        <v>2024</v>
      </c>
      <c r="AA18" s="225">
        <v>556</v>
      </c>
      <c r="AB18" s="223">
        <v>2</v>
      </c>
      <c r="AC18" s="225"/>
      <c r="AD18" s="225"/>
      <c r="AE18" s="226"/>
      <c r="AF18" s="249">
        <f>120+120</f>
        <v>240</v>
      </c>
      <c r="AG18" s="102" t="s">
        <v>2092</v>
      </c>
      <c r="AH18" s="61"/>
      <c r="AI18" s="394">
        <f t="shared" si="14"/>
        <v>1</v>
      </c>
      <c r="AJ18" s="80">
        <f t="shared" si="4"/>
        <v>1</v>
      </c>
      <c r="AK18" s="80">
        <f t="shared" si="5"/>
        <v>4</v>
      </c>
    </row>
    <row r="19" spans="1:37" ht="12.95" customHeight="1" x14ac:dyDescent="0.25">
      <c r="A19" s="80" t="e">
        <f t="shared" si="6"/>
        <v>#REF!</v>
      </c>
      <c r="B19" s="80"/>
      <c r="C19" s="92" t="s">
        <v>2108</v>
      </c>
      <c r="D19" s="93" t="s">
        <v>2109</v>
      </c>
      <c r="E19" s="92">
        <v>69</v>
      </c>
      <c r="F19" s="94" t="s">
        <v>2107</v>
      </c>
      <c r="G19" s="99" t="s">
        <v>2098</v>
      </c>
      <c r="H19" s="100">
        <v>26.4</v>
      </c>
      <c r="I19" s="96" t="s">
        <v>2092</v>
      </c>
      <c r="J19" s="97">
        <v>17.182852256301587</v>
      </c>
      <c r="K19" s="457">
        <v>17.085901746262831</v>
      </c>
      <c r="L19" s="88">
        <v>15.589830720882082</v>
      </c>
      <c r="M19" s="98">
        <f>+VALUE(RIGHT(G19,2))</f>
        <v>25</v>
      </c>
      <c r="N19" s="90">
        <f t="shared" si="7"/>
        <v>0.68731409025206347</v>
      </c>
      <c r="O19" s="274">
        <v>2</v>
      </c>
      <c r="P19" s="271">
        <f t="shared" si="8"/>
        <v>8.5914261281507933</v>
      </c>
      <c r="Q19" s="271">
        <f t="shared" si="9"/>
        <v>187.88871923525173</v>
      </c>
      <c r="R19" s="396">
        <f t="shared" si="10"/>
        <v>0</v>
      </c>
      <c r="S19" s="396">
        <f t="shared" si="11"/>
        <v>0</v>
      </c>
      <c r="T19" s="396">
        <f t="shared" si="12"/>
        <v>0</v>
      </c>
      <c r="U19" s="396">
        <f t="shared" si="13"/>
        <v>0</v>
      </c>
      <c r="V19" s="241">
        <f t="shared" si="3"/>
        <v>0</v>
      </c>
      <c r="W19" s="349" t="s">
        <v>2014</v>
      </c>
      <c r="X19" s="338" t="s">
        <v>2014</v>
      </c>
      <c r="Y19" s="338" t="s">
        <v>2014</v>
      </c>
      <c r="Z19" s="92" t="s">
        <v>2450</v>
      </c>
      <c r="AA19" s="220" t="s">
        <v>2452</v>
      </c>
      <c r="AB19" s="223">
        <v>2</v>
      </c>
      <c r="AC19" s="225"/>
      <c r="AD19" s="225"/>
      <c r="AE19" s="226"/>
      <c r="AF19" s="249">
        <f>82+140</f>
        <v>222</v>
      </c>
      <c r="AG19" s="102" t="s">
        <v>2092</v>
      </c>
      <c r="AH19" s="61"/>
      <c r="AI19" s="394">
        <f t="shared" si="14"/>
        <v>1</v>
      </c>
      <c r="AJ19" s="80">
        <f t="shared" si="4"/>
        <v>1</v>
      </c>
      <c r="AK19" s="80">
        <f t="shared" si="5"/>
        <v>2</v>
      </c>
    </row>
    <row r="20" spans="1:37" ht="12.95" customHeight="1" x14ac:dyDescent="0.25">
      <c r="A20" s="80" t="e">
        <f t="shared" si="6"/>
        <v>#REF!</v>
      </c>
      <c r="B20" s="80"/>
      <c r="C20" s="92" t="s">
        <v>2110</v>
      </c>
      <c r="D20" s="93" t="s">
        <v>2111</v>
      </c>
      <c r="E20" s="92">
        <v>69</v>
      </c>
      <c r="F20" s="94" t="s">
        <v>2090</v>
      </c>
      <c r="G20" s="99" t="s">
        <v>2091</v>
      </c>
      <c r="H20" s="100">
        <v>12.47</v>
      </c>
      <c r="I20" s="101">
        <v>7.56</v>
      </c>
      <c r="J20" s="97">
        <v>11.840278345207627</v>
      </c>
      <c r="K20" s="457">
        <v>9.6325398000897362</v>
      </c>
      <c r="L20" s="88">
        <v>10.648334893271342</v>
      </c>
      <c r="M20" s="98">
        <f>+VALUE(RIGHT(G20,4))</f>
        <v>22.4</v>
      </c>
      <c r="N20" s="90">
        <f t="shared" si="7"/>
        <v>0.52858385469676916</v>
      </c>
      <c r="O20" s="274">
        <v>4</v>
      </c>
      <c r="P20" s="271">
        <f t="shared" si="8"/>
        <v>2.9600695863019069</v>
      </c>
      <c r="Q20" s="271">
        <f t="shared" si="9"/>
        <v>137.04867461679473</v>
      </c>
      <c r="R20" s="396">
        <f t="shared" si="10"/>
        <v>0</v>
      </c>
      <c r="S20" s="396">
        <f t="shared" si="11"/>
        <v>0</v>
      </c>
      <c r="T20" s="396">
        <f t="shared" si="12"/>
        <v>0</v>
      </c>
      <c r="U20" s="396">
        <f t="shared" si="13"/>
        <v>0</v>
      </c>
      <c r="V20" s="241">
        <f t="shared" si="3"/>
        <v>0</v>
      </c>
      <c r="W20" s="349" t="s">
        <v>2014</v>
      </c>
      <c r="X20" s="338" t="s">
        <v>2013</v>
      </c>
      <c r="Y20" s="338" t="s">
        <v>2014</v>
      </c>
      <c r="Z20" s="92" t="s">
        <v>2024</v>
      </c>
      <c r="AA20" s="225">
        <v>556</v>
      </c>
      <c r="AB20" s="223"/>
      <c r="AC20" s="225">
        <v>1</v>
      </c>
      <c r="AD20" s="225"/>
      <c r="AE20" s="226"/>
      <c r="AF20" s="249">
        <v>82</v>
      </c>
      <c r="AG20" s="224">
        <f>+MAX(I20:L20)/MIN(60,AF20)</f>
        <v>0.19733797242012713</v>
      </c>
      <c r="AH20" s="61"/>
      <c r="AI20" s="394">
        <f t="shared" si="14"/>
        <v>1</v>
      </c>
      <c r="AJ20" s="80">
        <f t="shared" si="4"/>
        <v>0</v>
      </c>
      <c r="AK20" s="80">
        <f t="shared" si="5"/>
        <v>4</v>
      </c>
    </row>
    <row r="21" spans="1:37" ht="12.95" customHeight="1" x14ac:dyDescent="0.25">
      <c r="A21" s="80" t="e">
        <f>1+A20</f>
        <v>#REF!</v>
      </c>
      <c r="B21" s="80"/>
      <c r="C21" s="92" t="s">
        <v>2112</v>
      </c>
      <c r="D21" s="93" t="s">
        <v>2113</v>
      </c>
      <c r="E21" s="92">
        <v>138</v>
      </c>
      <c r="F21" s="94" t="s">
        <v>2081</v>
      </c>
      <c r="G21" s="99" t="s">
        <v>2098</v>
      </c>
      <c r="H21" s="100">
        <v>13.2</v>
      </c>
      <c r="I21" s="96">
        <v>14.18</v>
      </c>
      <c r="J21" s="97">
        <v>11.671563331825466</v>
      </c>
      <c r="K21" s="457">
        <v>11.27886909401014</v>
      </c>
      <c r="L21" s="88">
        <v>15.27526329115144</v>
      </c>
      <c r="M21" s="98">
        <f>+VALUE(RIGHT(G21,2))</f>
        <v>25</v>
      </c>
      <c r="N21" s="90">
        <f t="shared" si="7"/>
        <v>0.61101053164605756</v>
      </c>
      <c r="O21" s="274">
        <v>3</v>
      </c>
      <c r="P21" s="271">
        <f t="shared" si="8"/>
        <v>5.0917544303838129</v>
      </c>
      <c r="Q21" s="271">
        <f t="shared" si="9"/>
        <v>222.70649932042156</v>
      </c>
      <c r="R21" s="396">
        <f t="shared" si="10"/>
        <v>0</v>
      </c>
      <c r="S21" s="396">
        <f t="shared" si="11"/>
        <v>0</v>
      </c>
      <c r="T21" s="396">
        <f t="shared" si="12"/>
        <v>0</v>
      </c>
      <c r="U21" s="396">
        <f t="shared" si="13"/>
        <v>0</v>
      </c>
      <c r="V21" s="241">
        <f t="shared" si="3"/>
        <v>0</v>
      </c>
      <c r="W21" s="349" t="s">
        <v>2013</v>
      </c>
      <c r="X21" s="338" t="s">
        <v>2013</v>
      </c>
      <c r="Y21" s="338" t="s">
        <v>2013</v>
      </c>
      <c r="Z21" s="92" t="s">
        <v>2024</v>
      </c>
      <c r="AA21" s="225">
        <v>556</v>
      </c>
      <c r="AB21" s="223"/>
      <c r="AC21" s="225">
        <v>1</v>
      </c>
      <c r="AD21" s="225"/>
      <c r="AE21" s="226"/>
      <c r="AF21" s="249">
        <v>201</v>
      </c>
      <c r="AG21" s="224">
        <f>+MAX(I21:L21)/MIN(60,AF21)</f>
        <v>0.25458772151919068</v>
      </c>
      <c r="AH21" s="61"/>
      <c r="AI21" s="394">
        <f t="shared" si="14"/>
        <v>0</v>
      </c>
      <c r="AJ21" s="80">
        <f t="shared" si="4"/>
        <v>0</v>
      </c>
      <c r="AK21" s="80">
        <f t="shared" si="5"/>
        <v>0</v>
      </c>
    </row>
    <row r="22" spans="1:37" ht="12.95" customHeight="1" x14ac:dyDescent="0.25">
      <c r="A22" s="80" t="e">
        <f t="shared" si="6"/>
        <v>#REF!</v>
      </c>
      <c r="B22" s="80"/>
      <c r="C22" s="92" t="s">
        <v>2114</v>
      </c>
      <c r="D22" s="93" t="s">
        <v>2115</v>
      </c>
      <c r="E22" s="92">
        <v>69</v>
      </c>
      <c r="F22" s="94" t="s">
        <v>2097</v>
      </c>
      <c r="G22" s="99" t="s">
        <v>2116</v>
      </c>
      <c r="H22" s="100">
        <v>25</v>
      </c>
      <c r="I22" s="102">
        <v>7.58</v>
      </c>
      <c r="J22" s="103">
        <v>8.8640631066243287</v>
      </c>
      <c r="K22" s="457">
        <v>12.178549309446902</v>
      </c>
      <c r="L22" s="88">
        <v>16.044409858626786</v>
      </c>
      <c r="M22" s="98">
        <f>+VALUE(RIGHT(G22,2))</f>
        <v>26</v>
      </c>
      <c r="N22" s="90">
        <f t="shared" si="7"/>
        <v>0.61709268687026098</v>
      </c>
      <c r="O22" s="274">
        <v>2</v>
      </c>
      <c r="P22" s="271">
        <f t="shared" si="8"/>
        <v>8.0222049293133928</v>
      </c>
      <c r="Q22" s="271">
        <f t="shared" si="9"/>
        <v>185.26488701733723</v>
      </c>
      <c r="R22" s="396">
        <f t="shared" si="10"/>
        <v>0</v>
      </c>
      <c r="S22" s="396">
        <f t="shared" si="11"/>
        <v>0</v>
      </c>
      <c r="T22" s="396">
        <f t="shared" si="12"/>
        <v>0</v>
      </c>
      <c r="U22" s="396">
        <f t="shared" si="13"/>
        <v>0</v>
      </c>
      <c r="V22" s="241">
        <f t="shared" si="3"/>
        <v>0</v>
      </c>
      <c r="W22" s="349" t="s">
        <v>2014</v>
      </c>
      <c r="X22" s="338" t="s">
        <v>2014</v>
      </c>
      <c r="Y22" s="338" t="s">
        <v>2014</v>
      </c>
      <c r="Z22" s="92" t="s">
        <v>2024</v>
      </c>
      <c r="AA22" s="220" t="s">
        <v>2453</v>
      </c>
      <c r="AB22" s="223">
        <v>1</v>
      </c>
      <c r="AC22" s="225"/>
      <c r="AD22" s="225"/>
      <c r="AE22" s="226"/>
      <c r="AF22" s="249">
        <v>34</v>
      </c>
      <c r="AG22" s="224">
        <f>+MAX(I22:L22)/MIN(60,AF22)</f>
        <v>0.47189440760667017</v>
      </c>
      <c r="AH22" s="61"/>
      <c r="AI22" s="394">
        <f t="shared" si="14"/>
        <v>1</v>
      </c>
      <c r="AJ22" s="80">
        <f t="shared" si="4"/>
        <v>1</v>
      </c>
      <c r="AK22" s="80">
        <f t="shared" si="5"/>
        <v>2</v>
      </c>
    </row>
    <row r="23" spans="1:37" ht="12.95" customHeight="1" x14ac:dyDescent="0.25">
      <c r="A23" s="80" t="e">
        <f>1+#REF!</f>
        <v>#REF!</v>
      </c>
      <c r="B23" s="80"/>
      <c r="C23" s="92" t="s">
        <v>2117</v>
      </c>
      <c r="D23" s="93" t="s">
        <v>2118</v>
      </c>
      <c r="E23" s="92">
        <v>138</v>
      </c>
      <c r="F23" s="94" t="s">
        <v>2081</v>
      </c>
      <c r="G23" s="99" t="s">
        <v>2101</v>
      </c>
      <c r="H23" s="100">
        <v>13.2</v>
      </c>
      <c r="I23" s="96">
        <v>15.05</v>
      </c>
      <c r="J23" s="97">
        <v>13.838914203724228</v>
      </c>
      <c r="K23" s="457">
        <v>12.800789829331316</v>
      </c>
      <c r="L23" s="88">
        <v>10.455215998254539</v>
      </c>
      <c r="M23" s="98">
        <f>+VALUE(RIGHT(G23,4))</f>
        <v>12.5</v>
      </c>
      <c r="N23" s="90">
        <f t="shared" si="7"/>
        <v>1.204</v>
      </c>
      <c r="O23" s="274">
        <v>3</v>
      </c>
      <c r="P23" s="271">
        <f t="shared" si="8"/>
        <v>5.0166666666666666</v>
      </c>
      <c r="Q23" s="271">
        <f t="shared" si="9"/>
        <v>219.42226139656236</v>
      </c>
      <c r="R23" s="396">
        <f t="shared" si="10"/>
        <v>15.05</v>
      </c>
      <c r="S23" s="396">
        <f t="shared" si="11"/>
        <v>13.838914203724228</v>
      </c>
      <c r="T23" s="396">
        <f t="shared" si="12"/>
        <v>0</v>
      </c>
      <c r="U23" s="396">
        <f t="shared" si="13"/>
        <v>0</v>
      </c>
      <c r="V23" s="241">
        <f t="shared" si="3"/>
        <v>15.05</v>
      </c>
      <c r="W23" s="350" t="s">
        <v>2013</v>
      </c>
      <c r="X23" s="338" t="s">
        <v>2013</v>
      </c>
      <c r="Y23" s="338" t="s">
        <v>2013</v>
      </c>
      <c r="Z23" s="92" t="s">
        <v>2024</v>
      </c>
      <c r="AA23" s="225">
        <v>556</v>
      </c>
      <c r="AB23" s="223"/>
      <c r="AC23" s="225">
        <v>1</v>
      </c>
      <c r="AD23" s="225"/>
      <c r="AE23" s="226"/>
      <c r="AF23" s="249">
        <v>165</v>
      </c>
      <c r="AG23" s="224">
        <f>+MAX(I23:L23)/MIN(60,AF23)</f>
        <v>0.25083333333333335</v>
      </c>
      <c r="AH23" s="61"/>
      <c r="AI23" s="394">
        <f t="shared" si="14"/>
        <v>0</v>
      </c>
      <c r="AJ23" s="80">
        <f t="shared" si="4"/>
        <v>0</v>
      </c>
      <c r="AK23" s="80">
        <f t="shared" si="5"/>
        <v>0</v>
      </c>
    </row>
    <row r="24" spans="1:37" ht="12.95" customHeight="1" x14ac:dyDescent="0.25">
      <c r="A24" s="80" t="e">
        <f t="shared" si="6"/>
        <v>#REF!</v>
      </c>
      <c r="B24" s="80"/>
      <c r="C24" s="92" t="s">
        <v>2119</v>
      </c>
      <c r="D24" s="93" t="s">
        <v>2120</v>
      </c>
      <c r="E24" s="92">
        <v>69</v>
      </c>
      <c r="F24" s="94" t="s">
        <v>2121</v>
      </c>
      <c r="G24" s="99" t="s">
        <v>2122</v>
      </c>
      <c r="H24" s="100">
        <v>25</v>
      </c>
      <c r="I24" s="102">
        <v>5.61</v>
      </c>
      <c r="J24" s="103">
        <v>6.2002513958253074</v>
      </c>
      <c r="K24" s="457">
        <v>5.0780163830759815</v>
      </c>
      <c r="L24" s="88">
        <v>5.1788917898099118</v>
      </c>
      <c r="M24" s="98">
        <f>+VALUE(RIGHT(G24,4))</f>
        <v>11.2</v>
      </c>
      <c r="N24" s="90">
        <f t="shared" si="7"/>
        <v>0.55359387462725962</v>
      </c>
      <c r="O24" s="274">
        <v>2</v>
      </c>
      <c r="P24" s="271">
        <f t="shared" si="8"/>
        <v>3.1001256979126537</v>
      </c>
      <c r="Q24" s="271">
        <f t="shared" si="9"/>
        <v>71.594336248461886</v>
      </c>
      <c r="R24" s="396">
        <f t="shared" si="10"/>
        <v>0</v>
      </c>
      <c r="S24" s="396">
        <f t="shared" si="11"/>
        <v>0</v>
      </c>
      <c r="T24" s="396">
        <f t="shared" si="12"/>
        <v>0</v>
      </c>
      <c r="U24" s="396">
        <f t="shared" si="13"/>
        <v>0</v>
      </c>
      <c r="V24" s="241">
        <f t="shared" si="3"/>
        <v>0</v>
      </c>
      <c r="W24" s="349" t="s">
        <v>2013</v>
      </c>
      <c r="X24" s="338" t="s">
        <v>2013</v>
      </c>
      <c r="Y24" s="338" t="s">
        <v>2013</v>
      </c>
      <c r="Z24" s="92" t="s">
        <v>2024</v>
      </c>
      <c r="AA24" s="220" t="s">
        <v>2454</v>
      </c>
      <c r="AB24" s="223">
        <v>1</v>
      </c>
      <c r="AC24" s="225"/>
      <c r="AD24" s="225"/>
      <c r="AE24" s="226"/>
      <c r="AF24" s="249">
        <v>29</v>
      </c>
      <c r="AG24" s="224">
        <f>+MAX(I24:L24)/MIN(60,AF24)</f>
        <v>0.21380177226983818</v>
      </c>
      <c r="AH24" s="61"/>
      <c r="AI24" s="394">
        <f t="shared" si="14"/>
        <v>0</v>
      </c>
      <c r="AJ24" s="80">
        <f t="shared" si="4"/>
        <v>0</v>
      </c>
      <c r="AK24" s="80">
        <f t="shared" si="5"/>
        <v>0</v>
      </c>
    </row>
    <row r="25" spans="1:37" ht="12.95" customHeight="1" x14ac:dyDescent="0.25">
      <c r="A25" s="80" t="e">
        <f t="shared" si="6"/>
        <v>#REF!</v>
      </c>
      <c r="B25" s="80"/>
      <c r="C25" s="92" t="s">
        <v>2123</v>
      </c>
      <c r="D25" s="93" t="s">
        <v>2124</v>
      </c>
      <c r="E25" s="92">
        <v>69</v>
      </c>
      <c r="F25" s="94" t="s">
        <v>2097</v>
      </c>
      <c r="G25" s="99" t="s">
        <v>2098</v>
      </c>
      <c r="H25" s="100">
        <v>13.2</v>
      </c>
      <c r="I25" s="102">
        <v>12.06</v>
      </c>
      <c r="J25" s="103">
        <v>6.1180748643855996</v>
      </c>
      <c r="K25" s="457">
        <v>11.152290632709713</v>
      </c>
      <c r="L25" s="88">
        <v>10.195781586746559</v>
      </c>
      <c r="M25" s="98">
        <f>+VALUE(RIGHT(G25,2))</f>
        <v>25</v>
      </c>
      <c r="N25" s="90">
        <f t="shared" si="7"/>
        <v>0.4824</v>
      </c>
      <c r="O25" s="274">
        <v>2</v>
      </c>
      <c r="P25" s="271">
        <f t="shared" si="8"/>
        <v>6.03</v>
      </c>
      <c r="Q25" s="271">
        <f t="shared" si="9"/>
        <v>263.74410024344274</v>
      </c>
      <c r="R25" s="396">
        <f t="shared" si="10"/>
        <v>12.06</v>
      </c>
      <c r="S25" s="396">
        <f t="shared" si="11"/>
        <v>6.1180748643855996</v>
      </c>
      <c r="T25" s="396">
        <f t="shared" si="12"/>
        <v>11.152290632709713</v>
      </c>
      <c r="U25" s="396">
        <f t="shared" si="13"/>
        <v>10.195781586746559</v>
      </c>
      <c r="V25" s="241">
        <f t="shared" si="3"/>
        <v>12.06</v>
      </c>
      <c r="W25" s="349" t="s">
        <v>2014</v>
      </c>
      <c r="X25" s="338" t="s">
        <v>2014</v>
      </c>
      <c r="Y25" s="338" t="s">
        <v>2013</v>
      </c>
      <c r="Z25" s="92" t="s">
        <v>2450</v>
      </c>
      <c r="AA25" s="220" t="s">
        <v>2455</v>
      </c>
      <c r="AB25" s="223">
        <v>5</v>
      </c>
      <c r="AC25" s="225"/>
      <c r="AD25" s="225"/>
      <c r="AE25" s="226"/>
      <c r="AF25" s="249">
        <f>101+101+82</f>
        <v>284</v>
      </c>
      <c r="AG25" s="102" t="s">
        <v>2092</v>
      </c>
      <c r="AH25" s="61"/>
      <c r="AI25" s="394">
        <f t="shared" si="14"/>
        <v>1</v>
      </c>
      <c r="AJ25" s="80">
        <f t="shared" si="4"/>
        <v>1</v>
      </c>
      <c r="AK25" s="80">
        <f t="shared" si="5"/>
        <v>0</v>
      </c>
    </row>
    <row r="26" spans="1:37" ht="12.95" customHeight="1" x14ac:dyDescent="0.25">
      <c r="A26" s="80" t="e">
        <f t="shared" si="6"/>
        <v>#REF!</v>
      </c>
      <c r="B26" s="80"/>
      <c r="C26" s="92" t="s">
        <v>2125</v>
      </c>
      <c r="D26" s="93" t="s">
        <v>2126</v>
      </c>
      <c r="E26" s="92">
        <v>138</v>
      </c>
      <c r="F26" s="94" t="s">
        <v>2081</v>
      </c>
      <c r="G26" s="99" t="s">
        <v>2127</v>
      </c>
      <c r="H26" s="100">
        <v>26.4</v>
      </c>
      <c r="I26" s="96">
        <v>28.16</v>
      </c>
      <c r="J26" s="97">
        <v>29.53</v>
      </c>
      <c r="K26" s="457">
        <v>27.371572414003268</v>
      </c>
      <c r="L26" s="88">
        <v>25.593520051691364</v>
      </c>
      <c r="M26" s="98">
        <f>+VALUE(RIGHT(G26,4))</f>
        <v>46.7</v>
      </c>
      <c r="N26" s="90">
        <f t="shared" si="7"/>
        <v>0.63233404710920771</v>
      </c>
      <c r="O26" s="274">
        <v>3</v>
      </c>
      <c r="P26" s="271">
        <f t="shared" si="8"/>
        <v>9.8433333333333337</v>
      </c>
      <c r="Q26" s="271">
        <f t="shared" si="9"/>
        <v>215.26708900466733</v>
      </c>
      <c r="R26" s="396">
        <f t="shared" si="10"/>
        <v>0</v>
      </c>
      <c r="S26" s="396">
        <f t="shared" si="11"/>
        <v>0</v>
      </c>
      <c r="T26" s="396">
        <f t="shared" si="12"/>
        <v>0</v>
      </c>
      <c r="U26" s="396">
        <f t="shared" si="13"/>
        <v>0</v>
      </c>
      <c r="V26" s="241">
        <f t="shared" si="3"/>
        <v>0</v>
      </c>
      <c r="W26" s="721" t="s">
        <v>2014</v>
      </c>
      <c r="X26" s="338" t="s">
        <v>2014</v>
      </c>
      <c r="Y26" s="338" t="s">
        <v>2014</v>
      </c>
      <c r="Z26" s="695" t="s">
        <v>2450</v>
      </c>
      <c r="AA26" s="698">
        <v>556</v>
      </c>
      <c r="AB26" s="701"/>
      <c r="AC26" s="704">
        <v>3</v>
      </c>
      <c r="AD26" s="704"/>
      <c r="AE26" s="707"/>
      <c r="AF26" s="676">
        <f>201+242+242</f>
        <v>685</v>
      </c>
      <c r="AG26" s="728" t="s">
        <v>2092</v>
      </c>
      <c r="AH26" s="61"/>
      <c r="AI26" s="749">
        <f>+IF(W26="y",1,0)</f>
        <v>1</v>
      </c>
      <c r="AJ26" s="80">
        <f t="shared" si="4"/>
        <v>1</v>
      </c>
      <c r="AK26" s="80">
        <f t="shared" si="5"/>
        <v>3</v>
      </c>
    </row>
    <row r="27" spans="1:37" ht="12.95" customHeight="1" x14ac:dyDescent="0.25">
      <c r="A27" s="80" t="e">
        <f t="shared" si="6"/>
        <v>#REF!</v>
      </c>
      <c r="B27" s="80"/>
      <c r="C27" s="92" t="s">
        <v>2125</v>
      </c>
      <c r="D27" s="93" t="s">
        <v>2126</v>
      </c>
      <c r="E27" s="92">
        <v>138</v>
      </c>
      <c r="F27" s="94" t="s">
        <v>2083</v>
      </c>
      <c r="G27" s="99" t="s">
        <v>2128</v>
      </c>
      <c r="H27" s="100">
        <v>26.4</v>
      </c>
      <c r="I27" s="96">
        <v>38.909999999999997</v>
      </c>
      <c r="J27" s="97">
        <v>32.83</v>
      </c>
      <c r="K27" s="457">
        <v>34.860732534507989</v>
      </c>
      <c r="L27" s="88">
        <v>31.404575168222237</v>
      </c>
      <c r="M27" s="98">
        <f>+VALUE(RIGHT(G27,2))</f>
        <v>47</v>
      </c>
      <c r="N27" s="90">
        <f t="shared" si="7"/>
        <v>0.82787234042553182</v>
      </c>
      <c r="O27" s="274">
        <v>3</v>
      </c>
      <c r="P27" s="271">
        <f t="shared" si="8"/>
        <v>12.969999999999999</v>
      </c>
      <c r="Q27" s="271">
        <f t="shared" si="9"/>
        <v>283.64518906778204</v>
      </c>
      <c r="R27" s="396">
        <f t="shared" si="10"/>
        <v>38.909999999999997</v>
      </c>
      <c r="S27" s="396">
        <f t="shared" si="11"/>
        <v>32.83</v>
      </c>
      <c r="T27" s="396">
        <f t="shared" si="12"/>
        <v>34.860732534507989</v>
      </c>
      <c r="U27" s="396">
        <f t="shared" si="13"/>
        <v>31.404575168222237</v>
      </c>
      <c r="V27" s="241">
        <f t="shared" si="3"/>
        <v>38.909999999999997</v>
      </c>
      <c r="W27" s="720"/>
      <c r="X27" s="344" t="s">
        <v>2014</v>
      </c>
      <c r="Y27" s="344" t="s">
        <v>2014</v>
      </c>
      <c r="Z27" s="697"/>
      <c r="AA27" s="700"/>
      <c r="AB27" s="703"/>
      <c r="AC27" s="706"/>
      <c r="AD27" s="706"/>
      <c r="AE27" s="709"/>
      <c r="AF27" s="678"/>
      <c r="AG27" s="656"/>
      <c r="AH27" s="61"/>
      <c r="AI27" s="749">
        <v>1</v>
      </c>
      <c r="AJ27" s="80">
        <f t="shared" si="4"/>
        <v>1</v>
      </c>
      <c r="AK27" s="80">
        <f t="shared" si="5"/>
        <v>3</v>
      </c>
    </row>
    <row r="28" spans="1:37" ht="12.95" customHeight="1" x14ac:dyDescent="0.25">
      <c r="A28" s="80" t="e">
        <f>1+#REF!</f>
        <v>#REF!</v>
      </c>
      <c r="B28" s="80"/>
      <c r="C28" s="92" t="s">
        <v>2129</v>
      </c>
      <c r="D28" s="93" t="s">
        <v>2130</v>
      </c>
      <c r="E28" s="92">
        <v>138</v>
      </c>
      <c r="F28" s="94" t="s">
        <v>2081</v>
      </c>
      <c r="G28" s="99" t="s">
        <v>2131</v>
      </c>
      <c r="H28" s="100">
        <v>26.4</v>
      </c>
      <c r="I28" s="96">
        <v>45.54</v>
      </c>
      <c r="J28" s="97">
        <v>43.74108390367816</v>
      </c>
      <c r="K28" s="457">
        <v>39.036707699701054</v>
      </c>
      <c r="L28" s="88">
        <v>38.14318048742448</v>
      </c>
      <c r="M28" s="98">
        <f t="shared" ref="M28:M33" si="15">+VALUE(RIGHT(G28,4))</f>
        <v>46.6</v>
      </c>
      <c r="N28" s="90">
        <f t="shared" si="7"/>
        <v>0.97725321888412009</v>
      </c>
      <c r="O28" s="274">
        <v>4</v>
      </c>
      <c r="P28" s="271">
        <f t="shared" si="8"/>
        <v>11.385</v>
      </c>
      <c r="Q28" s="271">
        <f t="shared" si="9"/>
        <v>248.98230358802616</v>
      </c>
      <c r="R28" s="396">
        <f t="shared" si="10"/>
        <v>0</v>
      </c>
      <c r="S28" s="396">
        <f t="shared" si="11"/>
        <v>0</v>
      </c>
      <c r="T28" s="396">
        <f t="shared" si="12"/>
        <v>0</v>
      </c>
      <c r="U28" s="396">
        <f t="shared" si="13"/>
        <v>0</v>
      </c>
      <c r="V28" s="241">
        <f t="shared" si="3"/>
        <v>0</v>
      </c>
      <c r="W28" s="347" t="s">
        <v>2014</v>
      </c>
      <c r="X28" s="338" t="s">
        <v>2014</v>
      </c>
      <c r="Y28" s="338" t="s">
        <v>2014</v>
      </c>
      <c r="Z28" s="92" t="s">
        <v>2450</v>
      </c>
      <c r="AA28" s="225" t="s">
        <v>2456</v>
      </c>
      <c r="AB28" s="223"/>
      <c r="AC28" s="225">
        <v>5</v>
      </c>
      <c r="AD28" s="225"/>
      <c r="AE28" s="226">
        <v>1</v>
      </c>
      <c r="AF28" s="249">
        <v>1626</v>
      </c>
      <c r="AG28" s="102" t="s">
        <v>2092</v>
      </c>
      <c r="AH28" s="61"/>
      <c r="AI28" s="394">
        <f>+IF(W28="y",1,0)</f>
        <v>1</v>
      </c>
      <c r="AJ28" s="80">
        <f t="shared" si="4"/>
        <v>1</v>
      </c>
      <c r="AK28" s="80">
        <f t="shared" si="5"/>
        <v>4</v>
      </c>
    </row>
    <row r="29" spans="1:37" ht="12.95" customHeight="1" x14ac:dyDescent="0.25">
      <c r="A29" s="80">
        <v>28</v>
      </c>
      <c r="B29" s="80"/>
      <c r="C29" s="92" t="s">
        <v>2132</v>
      </c>
      <c r="D29" s="93" t="s">
        <v>2133</v>
      </c>
      <c r="E29" s="92">
        <v>138</v>
      </c>
      <c r="F29" s="94" t="s">
        <v>2081</v>
      </c>
      <c r="G29" s="99" t="s">
        <v>2134</v>
      </c>
      <c r="H29" s="100">
        <v>26.4</v>
      </c>
      <c r="I29" s="96">
        <v>25.11</v>
      </c>
      <c r="J29" s="97">
        <v>40.090000000000003</v>
      </c>
      <c r="K29" s="457">
        <v>37.714670934913698</v>
      </c>
      <c r="L29" s="88">
        <v>20.718660336250633</v>
      </c>
      <c r="M29" s="98">
        <f t="shared" si="15"/>
        <v>41.7</v>
      </c>
      <c r="N29" s="90">
        <f t="shared" si="7"/>
        <v>0.96139088729016786</v>
      </c>
      <c r="O29" s="274">
        <v>3</v>
      </c>
      <c r="P29" s="271">
        <f t="shared" si="8"/>
        <v>13.363333333333335</v>
      </c>
      <c r="Q29" s="271">
        <f t="shared" si="9"/>
        <v>292.24712489661749</v>
      </c>
      <c r="R29" s="396">
        <f t="shared" si="10"/>
        <v>25.11</v>
      </c>
      <c r="S29" s="396">
        <f t="shared" si="11"/>
        <v>40.090000000000003</v>
      </c>
      <c r="T29" s="396">
        <f t="shared" si="12"/>
        <v>37.714670934913698</v>
      </c>
      <c r="U29" s="396">
        <f t="shared" si="13"/>
        <v>20.718660336250633</v>
      </c>
      <c r="V29" s="241">
        <f t="shared" si="3"/>
        <v>40.090000000000003</v>
      </c>
      <c r="W29" s="719" t="s">
        <v>2014</v>
      </c>
      <c r="X29" s="361" t="s">
        <v>2014</v>
      </c>
      <c r="Y29" s="361" t="s">
        <v>2014</v>
      </c>
      <c r="Z29" s="695" t="s">
        <v>2450</v>
      </c>
      <c r="AA29" s="698">
        <v>795</v>
      </c>
      <c r="AB29" s="701"/>
      <c r="AC29" s="704">
        <v>2</v>
      </c>
      <c r="AD29" s="704"/>
      <c r="AE29" s="707"/>
      <c r="AF29" s="676">
        <f>304+304</f>
        <v>608</v>
      </c>
      <c r="AG29" s="728" t="s">
        <v>2092</v>
      </c>
      <c r="AH29" s="61"/>
      <c r="AI29" s="749">
        <f>+IF(W29="y",1,0)</f>
        <v>1</v>
      </c>
      <c r="AJ29" s="80">
        <f t="shared" si="4"/>
        <v>1</v>
      </c>
      <c r="AK29" s="80">
        <f t="shared" si="5"/>
        <v>3</v>
      </c>
    </row>
    <row r="30" spans="1:37" x14ac:dyDescent="0.25">
      <c r="A30" s="80">
        <f>1+A29</f>
        <v>29</v>
      </c>
      <c r="B30" s="80"/>
      <c r="C30" s="92" t="s">
        <v>2132</v>
      </c>
      <c r="D30" s="93" t="s">
        <v>2133</v>
      </c>
      <c r="E30" s="92">
        <v>138</v>
      </c>
      <c r="F30" s="94" t="s">
        <v>2083</v>
      </c>
      <c r="G30" s="99" t="s">
        <v>2135</v>
      </c>
      <c r="H30" s="100">
        <v>26.4</v>
      </c>
      <c r="I30" s="96">
        <v>17.829999999999998</v>
      </c>
      <c r="J30" s="97">
        <v>36.35</v>
      </c>
      <c r="K30" s="457">
        <v>38.348456368545449</v>
      </c>
      <c r="L30" s="88">
        <v>35.895215818341441</v>
      </c>
      <c r="M30" s="98">
        <f t="shared" si="15"/>
        <v>46.7</v>
      </c>
      <c r="N30" s="90">
        <f t="shared" si="7"/>
        <v>0.82116608926221513</v>
      </c>
      <c r="O30" s="274">
        <v>4</v>
      </c>
      <c r="P30" s="271">
        <f t="shared" si="8"/>
        <v>9.5871140921363622</v>
      </c>
      <c r="Q30" s="271">
        <f t="shared" si="9"/>
        <v>209.66374628206759</v>
      </c>
      <c r="R30" s="396">
        <f t="shared" si="10"/>
        <v>0</v>
      </c>
      <c r="S30" s="396">
        <f t="shared" si="11"/>
        <v>0</v>
      </c>
      <c r="T30" s="396">
        <f t="shared" si="12"/>
        <v>0</v>
      </c>
      <c r="U30" s="396">
        <f t="shared" si="13"/>
        <v>0</v>
      </c>
      <c r="V30" s="241">
        <f t="shared" si="3"/>
        <v>0</v>
      </c>
      <c r="W30" s="719"/>
      <c r="X30" s="361" t="s">
        <v>2014</v>
      </c>
      <c r="Y30" s="361" t="s">
        <v>2014</v>
      </c>
      <c r="Z30" s="696"/>
      <c r="AA30" s="699"/>
      <c r="AB30" s="702"/>
      <c r="AC30" s="705"/>
      <c r="AD30" s="705"/>
      <c r="AE30" s="708"/>
      <c r="AF30" s="677"/>
      <c r="AG30" s="729"/>
      <c r="AH30" s="61"/>
      <c r="AI30" s="749">
        <v>1</v>
      </c>
      <c r="AJ30" s="80">
        <f t="shared" si="4"/>
        <v>1</v>
      </c>
      <c r="AK30" s="80">
        <f t="shared" si="5"/>
        <v>4</v>
      </c>
    </row>
    <row r="31" spans="1:37" x14ac:dyDescent="0.25">
      <c r="A31" s="80">
        <f>1+A30</f>
        <v>30</v>
      </c>
      <c r="B31" s="80"/>
      <c r="C31" s="92" t="s">
        <v>2132</v>
      </c>
      <c r="D31" s="93" t="s">
        <v>2133</v>
      </c>
      <c r="E31" s="92">
        <v>138</v>
      </c>
      <c r="F31" s="94" t="s">
        <v>2084</v>
      </c>
      <c r="G31" s="99" t="s">
        <v>2135</v>
      </c>
      <c r="H31" s="100">
        <v>26.4</v>
      </c>
      <c r="I31" s="96">
        <v>46.03</v>
      </c>
      <c r="J31" s="97">
        <v>29.75</v>
      </c>
      <c r="K31" s="457">
        <v>35.235473299137048</v>
      </c>
      <c r="L31" s="88">
        <v>45.45171658961582</v>
      </c>
      <c r="M31" s="98">
        <f t="shared" si="15"/>
        <v>46.7</v>
      </c>
      <c r="N31" s="90">
        <f t="shared" si="7"/>
        <v>0.98565310492505354</v>
      </c>
      <c r="O31" s="274">
        <v>4</v>
      </c>
      <c r="P31" s="271">
        <f t="shared" si="8"/>
        <v>11.5075</v>
      </c>
      <c r="Q31" s="271">
        <f t="shared" si="9"/>
        <v>251.66129631437954</v>
      </c>
      <c r="R31" s="396">
        <f t="shared" si="10"/>
        <v>0</v>
      </c>
      <c r="S31" s="396">
        <f t="shared" si="11"/>
        <v>0</v>
      </c>
      <c r="T31" s="396">
        <f t="shared" si="12"/>
        <v>0</v>
      </c>
      <c r="U31" s="396">
        <f t="shared" si="13"/>
        <v>0</v>
      </c>
      <c r="V31" s="241">
        <f t="shared" si="3"/>
        <v>0</v>
      </c>
      <c r="W31" s="720"/>
      <c r="X31" s="354" t="s">
        <v>2014</v>
      </c>
      <c r="Y31" s="354" t="s">
        <v>2014</v>
      </c>
      <c r="Z31" s="697"/>
      <c r="AA31" s="700"/>
      <c r="AB31" s="703"/>
      <c r="AC31" s="706"/>
      <c r="AD31" s="706"/>
      <c r="AE31" s="709"/>
      <c r="AF31" s="678"/>
      <c r="AG31" s="656"/>
      <c r="AH31" s="61"/>
      <c r="AI31" s="749">
        <v>1</v>
      </c>
      <c r="AJ31" s="80">
        <f t="shared" si="4"/>
        <v>1</v>
      </c>
      <c r="AK31" s="80">
        <f t="shared" si="5"/>
        <v>4</v>
      </c>
    </row>
    <row r="32" spans="1:37" ht="12.95" customHeight="1" x14ac:dyDescent="0.25">
      <c r="A32" s="80" t="e">
        <f>1+#REF!</f>
        <v>#REF!</v>
      </c>
      <c r="B32" s="80"/>
      <c r="C32" s="92" t="s">
        <v>2136</v>
      </c>
      <c r="D32" s="93" t="s">
        <v>2137</v>
      </c>
      <c r="E32" s="92">
        <v>138</v>
      </c>
      <c r="F32" s="94" t="s">
        <v>2081</v>
      </c>
      <c r="G32" s="99" t="s">
        <v>2138</v>
      </c>
      <c r="H32" s="100">
        <v>26.4</v>
      </c>
      <c r="I32" s="96">
        <v>25.87</v>
      </c>
      <c r="J32" s="97">
        <v>18.623210012906739</v>
      </c>
      <c r="K32" s="97">
        <v>23.055600959879069</v>
      </c>
      <c r="L32" s="105">
        <v>23.498047673128305</v>
      </c>
      <c r="M32" s="98">
        <f t="shared" si="15"/>
        <v>41.5</v>
      </c>
      <c r="N32" s="90">
        <f t="shared" si="7"/>
        <v>0.62337349397590369</v>
      </c>
      <c r="O32" s="274">
        <v>4</v>
      </c>
      <c r="P32" s="271">
        <f t="shared" si="8"/>
        <v>6.4675000000000002</v>
      </c>
      <c r="Q32" s="271">
        <f t="shared" si="9"/>
        <v>141.43988128726915</v>
      </c>
      <c r="R32" s="396">
        <f t="shared" si="10"/>
        <v>0</v>
      </c>
      <c r="S32" s="396">
        <f t="shared" si="11"/>
        <v>0</v>
      </c>
      <c r="T32" s="396">
        <f t="shared" si="12"/>
        <v>0</v>
      </c>
      <c r="U32" s="396">
        <f t="shared" si="13"/>
        <v>0</v>
      </c>
      <c r="V32" s="241">
        <f t="shared" si="3"/>
        <v>0</v>
      </c>
      <c r="W32" s="349" t="s">
        <v>2014</v>
      </c>
      <c r="X32" s="338" t="s">
        <v>2014</v>
      </c>
      <c r="Y32" s="338" t="s">
        <v>2014</v>
      </c>
      <c r="Z32" s="92" t="s">
        <v>2450</v>
      </c>
      <c r="AA32" s="220" t="s">
        <v>2455</v>
      </c>
      <c r="AB32" s="223"/>
      <c r="AC32" s="225">
        <v>3</v>
      </c>
      <c r="AD32" s="225"/>
      <c r="AE32" s="226"/>
      <c r="AF32" s="249">
        <f>201+242+304</f>
        <v>747</v>
      </c>
      <c r="AG32" s="102" t="s">
        <v>2092</v>
      </c>
      <c r="AH32" s="61"/>
      <c r="AI32" s="394">
        <f>+IF(W32="y",1,0)</f>
        <v>1</v>
      </c>
      <c r="AJ32" s="80">
        <f t="shared" si="4"/>
        <v>1</v>
      </c>
      <c r="AK32" s="80">
        <f t="shared" si="5"/>
        <v>4</v>
      </c>
    </row>
    <row r="33" spans="1:37" ht="12.95" customHeight="1" x14ac:dyDescent="0.25">
      <c r="A33" s="80"/>
      <c r="B33" s="80"/>
      <c r="C33" s="81" t="s">
        <v>2139</v>
      </c>
      <c r="D33" s="82" t="s">
        <v>2140</v>
      </c>
      <c r="E33" s="81">
        <v>138</v>
      </c>
      <c r="F33" s="83" t="s">
        <v>2084</v>
      </c>
      <c r="G33" s="83" t="s">
        <v>2138</v>
      </c>
      <c r="H33" s="84">
        <v>26.4</v>
      </c>
      <c r="I33" s="453">
        <v>45.73</v>
      </c>
      <c r="J33" s="457">
        <v>44.57</v>
      </c>
      <c r="K33" s="457">
        <v>41.997314935653534</v>
      </c>
      <c r="L33" s="88">
        <v>35.440880509576935</v>
      </c>
      <c r="M33" s="98">
        <f t="shared" si="15"/>
        <v>41.5</v>
      </c>
      <c r="N33" s="90">
        <f t="shared" si="7"/>
        <v>1.1019277108433734</v>
      </c>
      <c r="O33" s="274">
        <v>4</v>
      </c>
      <c r="P33" s="271">
        <f t="shared" si="8"/>
        <v>11.432499999999999</v>
      </c>
      <c r="Q33" s="271">
        <f t="shared" si="9"/>
        <v>250.02109668599991</v>
      </c>
      <c r="R33" s="396">
        <f t="shared" si="10"/>
        <v>45.73</v>
      </c>
      <c r="S33" s="396">
        <f t="shared" si="11"/>
        <v>44.57</v>
      </c>
      <c r="T33" s="396">
        <f t="shared" si="12"/>
        <v>0</v>
      </c>
      <c r="U33" s="396">
        <f t="shared" si="13"/>
        <v>0</v>
      </c>
      <c r="V33" s="241">
        <f t="shared" si="3"/>
        <v>45.73</v>
      </c>
      <c r="W33" s="721" t="s">
        <v>2014</v>
      </c>
      <c r="X33" s="338" t="s">
        <v>2014</v>
      </c>
      <c r="Y33" s="338" t="s">
        <v>2014</v>
      </c>
      <c r="Z33" s="695" t="s">
        <v>2450</v>
      </c>
      <c r="AA33" s="698">
        <v>795</v>
      </c>
      <c r="AB33" s="701"/>
      <c r="AC33" s="704">
        <v>2</v>
      </c>
      <c r="AD33" s="704"/>
      <c r="AE33" s="707"/>
      <c r="AF33" s="676">
        <f>201+201</f>
        <v>402</v>
      </c>
      <c r="AG33" s="728" t="s">
        <v>2092</v>
      </c>
      <c r="AH33" s="61"/>
      <c r="AI33" s="749">
        <f>+IF(W33="y",1,0)</f>
        <v>1</v>
      </c>
      <c r="AJ33" s="80">
        <f t="shared" si="4"/>
        <v>1</v>
      </c>
      <c r="AK33" s="80">
        <f t="shared" si="5"/>
        <v>4</v>
      </c>
    </row>
    <row r="34" spans="1:37" ht="12.95" customHeight="1" x14ac:dyDescent="0.25">
      <c r="A34" s="80" t="e">
        <f>1+#REF!</f>
        <v>#REF!</v>
      </c>
      <c r="B34" s="80"/>
      <c r="C34" s="81" t="s">
        <v>2139</v>
      </c>
      <c r="D34" s="82" t="s">
        <v>2140</v>
      </c>
      <c r="E34" s="81">
        <v>138</v>
      </c>
      <c r="F34" s="83" t="s">
        <v>2141</v>
      </c>
      <c r="G34" s="83" t="s">
        <v>2142</v>
      </c>
      <c r="H34" s="100">
        <v>26.4</v>
      </c>
      <c r="I34" s="453">
        <v>40.07</v>
      </c>
      <c r="J34" s="457">
        <v>36.74</v>
      </c>
      <c r="K34" s="457">
        <v>33.567617496012581</v>
      </c>
      <c r="L34" s="88">
        <v>17.834190521256016</v>
      </c>
      <c r="M34" s="98">
        <f>+VALUE(RIGHT(G34,2))</f>
        <v>42</v>
      </c>
      <c r="N34" s="90">
        <f t="shared" si="7"/>
        <v>0.95404761904761903</v>
      </c>
      <c r="O34" s="274">
        <v>4</v>
      </c>
      <c r="P34" s="271">
        <f t="shared" si="8"/>
        <v>10.0175</v>
      </c>
      <c r="Q34" s="271">
        <f t="shared" si="9"/>
        <v>219.0759970305711</v>
      </c>
      <c r="R34" s="396">
        <f t="shared" si="10"/>
        <v>0</v>
      </c>
      <c r="S34" s="396">
        <f t="shared" si="11"/>
        <v>0</v>
      </c>
      <c r="T34" s="396">
        <f t="shared" si="12"/>
        <v>0</v>
      </c>
      <c r="U34" s="396">
        <f t="shared" si="13"/>
        <v>0</v>
      </c>
      <c r="V34" s="241">
        <f t="shared" si="3"/>
        <v>0</v>
      </c>
      <c r="W34" s="720"/>
      <c r="X34" s="344" t="s">
        <v>2014</v>
      </c>
      <c r="Y34" s="344" t="s">
        <v>2014</v>
      </c>
      <c r="Z34" s="697"/>
      <c r="AA34" s="700"/>
      <c r="AB34" s="703"/>
      <c r="AC34" s="706"/>
      <c r="AD34" s="706"/>
      <c r="AE34" s="709"/>
      <c r="AF34" s="678"/>
      <c r="AG34" s="656"/>
      <c r="AH34" s="61"/>
      <c r="AI34" s="749">
        <v>1</v>
      </c>
      <c r="AJ34" s="80">
        <f t="shared" si="4"/>
        <v>1</v>
      </c>
      <c r="AK34" s="80">
        <f t="shared" si="5"/>
        <v>4</v>
      </c>
    </row>
    <row r="35" spans="1:37" ht="12.95" customHeight="1" x14ac:dyDescent="0.25">
      <c r="A35" s="80" t="e">
        <f>1+#REF!</f>
        <v>#REF!</v>
      </c>
      <c r="B35" s="80"/>
      <c r="C35" s="92" t="s">
        <v>2143</v>
      </c>
      <c r="D35" s="93" t="s">
        <v>2144</v>
      </c>
      <c r="E35" s="92">
        <v>69</v>
      </c>
      <c r="F35" s="94" t="s">
        <v>2090</v>
      </c>
      <c r="G35" s="94" t="s">
        <v>2122</v>
      </c>
      <c r="H35" s="100">
        <v>12.48</v>
      </c>
      <c r="I35" s="96">
        <v>8.4499999999999993</v>
      </c>
      <c r="J35" s="97">
        <v>10.564739625180218</v>
      </c>
      <c r="K35" s="457">
        <v>7.7496085861877422</v>
      </c>
      <c r="L35" s="88">
        <v>7.1459643342806789</v>
      </c>
      <c r="M35" s="98">
        <f>+VALUE(RIGHT(G35,4))</f>
        <v>11.2</v>
      </c>
      <c r="N35" s="90">
        <f t="shared" si="7"/>
        <v>0.94328032367680525</v>
      </c>
      <c r="O35" s="274">
        <v>2</v>
      </c>
      <c r="P35" s="271">
        <f t="shared" si="8"/>
        <v>5.2823698125901091</v>
      </c>
      <c r="Q35" s="271">
        <f t="shared" si="9"/>
        <v>244.37320779311318</v>
      </c>
      <c r="R35" s="396">
        <f t="shared" si="10"/>
        <v>0</v>
      </c>
      <c r="S35" s="396">
        <f t="shared" si="11"/>
        <v>0</v>
      </c>
      <c r="T35" s="396">
        <f t="shared" si="12"/>
        <v>0</v>
      </c>
      <c r="U35" s="396">
        <f t="shared" si="13"/>
        <v>0</v>
      </c>
      <c r="V35" s="241">
        <f t="shared" si="3"/>
        <v>0</v>
      </c>
      <c r="W35" s="349" t="s">
        <v>2014</v>
      </c>
      <c r="X35" s="338" t="s">
        <v>2013</v>
      </c>
      <c r="Y35" s="338" t="s">
        <v>2013</v>
      </c>
      <c r="Z35" s="92" t="s">
        <v>2450</v>
      </c>
      <c r="AA35" s="225">
        <v>556</v>
      </c>
      <c r="AB35" s="223">
        <v>2</v>
      </c>
      <c r="AC35" s="225"/>
      <c r="AD35" s="225"/>
      <c r="AE35" s="226"/>
      <c r="AF35" s="249">
        <v>82</v>
      </c>
      <c r="AG35" s="102" t="s">
        <v>2092</v>
      </c>
      <c r="AH35" s="61"/>
      <c r="AI35" s="394">
        <f>+IF(W35="y",1,0)</f>
        <v>1</v>
      </c>
      <c r="AJ35" s="80">
        <f t="shared" si="4"/>
        <v>0</v>
      </c>
      <c r="AK35" s="80">
        <f t="shared" si="5"/>
        <v>0</v>
      </c>
    </row>
    <row r="36" spans="1:37" x14ac:dyDescent="0.25">
      <c r="A36" s="80" t="e">
        <f>1+A35</f>
        <v>#REF!</v>
      </c>
      <c r="B36" s="80"/>
      <c r="C36" s="92" t="s">
        <v>2145</v>
      </c>
      <c r="D36" s="93" t="s">
        <v>2146</v>
      </c>
      <c r="E36" s="92">
        <v>138</v>
      </c>
      <c r="F36" s="94" t="s">
        <v>2081</v>
      </c>
      <c r="G36" s="94" t="s">
        <v>2098</v>
      </c>
      <c r="H36" s="100">
        <v>13.2</v>
      </c>
      <c r="I36" s="96" t="s">
        <v>2092</v>
      </c>
      <c r="J36" s="97">
        <v>18.309764976801205</v>
      </c>
      <c r="K36" s="457">
        <v>14.736963575205838</v>
      </c>
      <c r="L36" s="88">
        <v>6.7684731033342116</v>
      </c>
      <c r="M36" s="98">
        <f>+VALUE(RIGHT(G36,2))</f>
        <v>25</v>
      </c>
      <c r="N36" s="90">
        <f t="shared" si="7"/>
        <v>0.73239059907204818</v>
      </c>
      <c r="O36" s="274">
        <v>3</v>
      </c>
      <c r="P36" s="271">
        <f t="shared" si="8"/>
        <v>6.1032549922670682</v>
      </c>
      <c r="Q36" s="271">
        <f t="shared" si="9"/>
        <v>266.9481752059333</v>
      </c>
      <c r="R36" s="396" t="str">
        <f t="shared" si="10"/>
        <v>-</v>
      </c>
      <c r="S36" s="396">
        <f t="shared" si="11"/>
        <v>18.309764976801205</v>
      </c>
      <c r="T36" s="396">
        <f t="shared" si="12"/>
        <v>14.736963575205838</v>
      </c>
      <c r="U36" s="396">
        <f t="shared" si="13"/>
        <v>6.7684731033342116</v>
      </c>
      <c r="V36" s="241">
        <f t="shared" si="3"/>
        <v>18.309764976801205</v>
      </c>
      <c r="W36" s="349" t="s">
        <v>2014</v>
      </c>
      <c r="X36" s="338" t="s">
        <v>2014</v>
      </c>
      <c r="Y36" s="338" t="s">
        <v>2014</v>
      </c>
      <c r="Z36" s="92" t="s">
        <v>2024</v>
      </c>
      <c r="AA36" s="225">
        <v>556</v>
      </c>
      <c r="AB36" s="223"/>
      <c r="AC36" s="225">
        <v>1</v>
      </c>
      <c r="AD36" s="225"/>
      <c r="AE36" s="226"/>
      <c r="AF36" s="266">
        <v>201</v>
      </c>
      <c r="AG36" s="264">
        <f>+(MAX(I36:J36)+MAX(I22:J22))/MIN(60,AF36)</f>
        <v>0.45289713472375887</v>
      </c>
      <c r="AH36" s="61"/>
      <c r="AI36" s="394">
        <f>+IF(W36="y",1,0)</f>
        <v>1</v>
      </c>
      <c r="AJ36" s="80">
        <f t="shared" si="4"/>
        <v>1</v>
      </c>
      <c r="AK36" s="80">
        <f t="shared" si="5"/>
        <v>3</v>
      </c>
    </row>
    <row r="37" spans="1:37" ht="12.95" customHeight="1" x14ac:dyDescent="0.25">
      <c r="A37" s="80" t="e">
        <f>1+A36</f>
        <v>#REF!</v>
      </c>
      <c r="B37" s="80"/>
      <c r="C37" s="92" t="s">
        <v>2147</v>
      </c>
      <c r="D37" s="93" t="s">
        <v>2148</v>
      </c>
      <c r="E37" s="92">
        <v>138</v>
      </c>
      <c r="F37" s="94" t="s">
        <v>2081</v>
      </c>
      <c r="G37" s="94" t="s">
        <v>2098</v>
      </c>
      <c r="H37" s="100">
        <v>26.4</v>
      </c>
      <c r="I37" s="96">
        <v>14.61</v>
      </c>
      <c r="J37" s="97">
        <v>19.99282881885804</v>
      </c>
      <c r="K37" s="457">
        <v>21.333946394783087</v>
      </c>
      <c r="L37" s="88">
        <v>18.553337770965474</v>
      </c>
      <c r="M37" s="98">
        <f>+VALUE(RIGHT(G37,2))</f>
        <v>25</v>
      </c>
      <c r="N37" s="90">
        <f t="shared" si="7"/>
        <v>0.85335785579132351</v>
      </c>
      <c r="O37" s="274">
        <v>3</v>
      </c>
      <c r="P37" s="271">
        <f t="shared" si="8"/>
        <v>7.1113154649276957</v>
      </c>
      <c r="Q37" s="271">
        <f t="shared" si="9"/>
        <v>155.51969310486191</v>
      </c>
      <c r="R37" s="396">
        <f t="shared" si="10"/>
        <v>0</v>
      </c>
      <c r="S37" s="396">
        <f t="shared" si="11"/>
        <v>0</v>
      </c>
      <c r="T37" s="396">
        <f t="shared" si="12"/>
        <v>0</v>
      </c>
      <c r="U37" s="396">
        <f t="shared" si="13"/>
        <v>0</v>
      </c>
      <c r="V37" s="241">
        <f t="shared" si="3"/>
        <v>0</v>
      </c>
      <c r="W37" s="349" t="s">
        <v>2014</v>
      </c>
      <c r="X37" s="338" t="s">
        <v>2014</v>
      </c>
      <c r="Y37" s="338" t="s">
        <v>2014</v>
      </c>
      <c r="Z37" s="92" t="s">
        <v>2024</v>
      </c>
      <c r="AA37" s="225">
        <v>795</v>
      </c>
      <c r="AB37" s="223"/>
      <c r="AC37" s="225">
        <v>1</v>
      </c>
      <c r="AD37" s="225"/>
      <c r="AE37" s="226"/>
      <c r="AF37" s="249">
        <v>251</v>
      </c>
      <c r="AG37" s="224">
        <f>+MAX(I37:L37)/MIN(60,AF37)</f>
        <v>0.35556577324638478</v>
      </c>
      <c r="AH37" s="61"/>
      <c r="AI37" s="394">
        <f>+IF(W37="y",1,0)</f>
        <v>1</v>
      </c>
      <c r="AJ37" s="80">
        <f t="shared" si="4"/>
        <v>1</v>
      </c>
      <c r="AK37" s="80">
        <f t="shared" si="5"/>
        <v>3</v>
      </c>
    </row>
    <row r="38" spans="1:37" ht="12.95" customHeight="1" x14ac:dyDescent="0.25">
      <c r="A38" s="80" t="e">
        <f>1+A37</f>
        <v>#REF!</v>
      </c>
      <c r="B38" s="80"/>
      <c r="C38" s="92" t="s">
        <v>2149</v>
      </c>
      <c r="D38" s="93" t="s">
        <v>2150</v>
      </c>
      <c r="E38" s="92">
        <v>138</v>
      </c>
      <c r="F38" s="94" t="s">
        <v>2081</v>
      </c>
      <c r="G38" s="94" t="s">
        <v>2138</v>
      </c>
      <c r="H38" s="100">
        <v>26.4</v>
      </c>
      <c r="I38" s="96">
        <v>39.64</v>
      </c>
      <c r="J38" s="97">
        <v>39.478684461569905</v>
      </c>
      <c r="K38" s="457">
        <v>27.828995228504379</v>
      </c>
      <c r="L38" s="88">
        <v>25.794584566944817</v>
      </c>
      <c r="M38" s="98">
        <f>+VALUE(RIGHT(G38,4))</f>
        <v>41.5</v>
      </c>
      <c r="N38" s="90">
        <f t="shared" si="7"/>
        <v>0.9551807228915663</v>
      </c>
      <c r="O38" s="274">
        <v>3</v>
      </c>
      <c r="P38" s="271">
        <f t="shared" si="8"/>
        <v>13.213333333333333</v>
      </c>
      <c r="Q38" s="271">
        <f t="shared" si="9"/>
        <v>288.96672563985817</v>
      </c>
      <c r="R38" s="396">
        <f t="shared" si="10"/>
        <v>39.64</v>
      </c>
      <c r="S38" s="396">
        <f t="shared" si="11"/>
        <v>39.478684461569905</v>
      </c>
      <c r="T38" s="396">
        <f t="shared" si="12"/>
        <v>27.828995228504379</v>
      </c>
      <c r="U38" s="396">
        <f t="shared" si="13"/>
        <v>25.794584566944817</v>
      </c>
      <c r="V38" s="241">
        <f t="shared" si="3"/>
        <v>39.64</v>
      </c>
      <c r="W38" s="349" t="s">
        <v>2014</v>
      </c>
      <c r="X38" s="338" t="s">
        <v>2014</v>
      </c>
      <c r="Y38" s="338" t="s">
        <v>2014</v>
      </c>
      <c r="Z38" s="92" t="s">
        <v>2024</v>
      </c>
      <c r="AA38" s="225">
        <v>795</v>
      </c>
      <c r="AB38" s="223"/>
      <c r="AC38" s="225">
        <v>1</v>
      </c>
      <c r="AD38" s="225"/>
      <c r="AE38" s="226"/>
      <c r="AF38" s="249">
        <v>251</v>
      </c>
      <c r="AG38" s="264">
        <f>+MAX(I38:L38)/MIN(60,AF38)</f>
        <v>0.66066666666666662</v>
      </c>
      <c r="AH38" s="61"/>
      <c r="AI38" s="394">
        <f>+IF(W38="y",1,0)</f>
        <v>1</v>
      </c>
      <c r="AJ38" s="80">
        <f t="shared" si="4"/>
        <v>1</v>
      </c>
      <c r="AK38" s="80">
        <f t="shared" si="5"/>
        <v>3</v>
      </c>
    </row>
    <row r="39" spans="1:37" ht="12.95" customHeight="1" x14ac:dyDescent="0.25">
      <c r="A39" s="80" t="e">
        <f>1+A38</f>
        <v>#REF!</v>
      </c>
      <c r="B39" s="80"/>
      <c r="C39" s="106" t="s">
        <v>2151</v>
      </c>
      <c r="D39" s="107" t="s">
        <v>2152</v>
      </c>
      <c r="E39" s="106">
        <v>138</v>
      </c>
      <c r="F39" s="108" t="s">
        <v>2083</v>
      </c>
      <c r="G39" s="108" t="s">
        <v>2138</v>
      </c>
      <c r="H39" s="100">
        <v>26.4</v>
      </c>
      <c r="I39" s="455">
        <v>22.65</v>
      </c>
      <c r="J39" s="456">
        <v>24.59</v>
      </c>
      <c r="K39" s="457">
        <v>22.566308597958237</v>
      </c>
      <c r="L39" s="88">
        <v>21.154533289281776</v>
      </c>
      <c r="M39" s="98">
        <f>+VALUE(RIGHT(G39,4))</f>
        <v>41.5</v>
      </c>
      <c r="N39" s="90">
        <f t="shared" si="7"/>
        <v>0.59253012048192766</v>
      </c>
      <c r="O39" s="276">
        <v>2</v>
      </c>
      <c r="P39" s="271">
        <f t="shared" si="8"/>
        <v>12.295</v>
      </c>
      <c r="Q39" s="271">
        <f t="shared" si="9"/>
        <v>268.88339241236554</v>
      </c>
      <c r="R39" s="396">
        <f t="shared" si="10"/>
        <v>22.65</v>
      </c>
      <c r="S39" s="396">
        <f t="shared" si="11"/>
        <v>24.59</v>
      </c>
      <c r="T39" s="396">
        <f t="shared" si="12"/>
        <v>22.566308597958237</v>
      </c>
      <c r="U39" s="396">
        <f t="shared" si="13"/>
        <v>21.154533289281776</v>
      </c>
      <c r="V39" s="241">
        <f t="shared" si="3"/>
        <v>24.59</v>
      </c>
      <c r="W39" s="721" t="s">
        <v>2014</v>
      </c>
      <c r="X39" s="338" t="s">
        <v>2014</v>
      </c>
      <c r="Y39" s="338" t="s">
        <v>2014</v>
      </c>
      <c r="Z39" s="695" t="s">
        <v>2450</v>
      </c>
      <c r="AA39" s="698">
        <v>795</v>
      </c>
      <c r="AB39" s="701"/>
      <c r="AC39" s="704">
        <v>2</v>
      </c>
      <c r="AD39" s="704"/>
      <c r="AE39" s="707"/>
      <c r="AF39" s="676">
        <v>184</v>
      </c>
      <c r="AG39" s="728" t="s">
        <v>2092</v>
      </c>
      <c r="AH39" s="61"/>
      <c r="AI39" s="749">
        <f>+IF(W39="y",1,0)</f>
        <v>1</v>
      </c>
      <c r="AJ39" s="80">
        <f t="shared" si="4"/>
        <v>1</v>
      </c>
      <c r="AK39" s="80">
        <f t="shared" si="5"/>
        <v>2</v>
      </c>
    </row>
    <row r="40" spans="1:37" x14ac:dyDescent="0.25">
      <c r="A40" s="80"/>
      <c r="B40" s="80"/>
      <c r="C40" s="92" t="s">
        <v>2151</v>
      </c>
      <c r="D40" s="93" t="s">
        <v>2152</v>
      </c>
      <c r="E40" s="92">
        <v>138</v>
      </c>
      <c r="F40" s="94" t="s">
        <v>2084</v>
      </c>
      <c r="G40" s="94" t="s">
        <v>2153</v>
      </c>
      <c r="H40" s="100">
        <v>26.4</v>
      </c>
      <c r="I40" s="96">
        <v>30.79</v>
      </c>
      <c r="J40" s="97">
        <v>28.42</v>
      </c>
      <c r="K40" s="457">
        <v>28.094444969270942</v>
      </c>
      <c r="L40" s="88">
        <v>28.042833562665962</v>
      </c>
      <c r="M40" s="98">
        <f>+VALUE(RIGHT(G40,4))</f>
        <v>46.7</v>
      </c>
      <c r="N40" s="90">
        <f t="shared" si="7"/>
        <v>0.65931477516059955</v>
      </c>
      <c r="O40" s="275">
        <v>2</v>
      </c>
      <c r="P40" s="271">
        <f t="shared" si="8"/>
        <v>15.395</v>
      </c>
      <c r="Q40" s="271">
        <f t="shared" si="9"/>
        <v>336.67831038538975</v>
      </c>
      <c r="R40" s="396">
        <f t="shared" si="10"/>
        <v>30.79</v>
      </c>
      <c r="S40" s="396">
        <f t="shared" si="11"/>
        <v>28.42</v>
      </c>
      <c r="T40" s="396">
        <f t="shared" si="12"/>
        <v>28.094444969270942</v>
      </c>
      <c r="U40" s="396">
        <f t="shared" si="13"/>
        <v>28.042833562665962</v>
      </c>
      <c r="V40" s="241">
        <f t="shared" si="3"/>
        <v>30.79</v>
      </c>
      <c r="W40" s="720"/>
      <c r="X40" s="344" t="s">
        <v>2014</v>
      </c>
      <c r="Y40" s="344" t="s">
        <v>2014</v>
      </c>
      <c r="Z40" s="697"/>
      <c r="AA40" s="700"/>
      <c r="AB40" s="703"/>
      <c r="AC40" s="706"/>
      <c r="AD40" s="706"/>
      <c r="AE40" s="709"/>
      <c r="AF40" s="678"/>
      <c r="AG40" s="656"/>
      <c r="AH40" s="61"/>
      <c r="AI40" s="749">
        <v>1</v>
      </c>
      <c r="AJ40" s="80">
        <f t="shared" si="4"/>
        <v>1</v>
      </c>
      <c r="AK40" s="80">
        <f t="shared" si="5"/>
        <v>2</v>
      </c>
    </row>
    <row r="41" spans="1:37" x14ac:dyDescent="0.25">
      <c r="A41" s="80"/>
      <c r="B41" s="80"/>
      <c r="C41" s="92" t="s">
        <v>2154</v>
      </c>
      <c r="D41" s="93" t="s">
        <v>2155</v>
      </c>
      <c r="E41" s="92">
        <v>138</v>
      </c>
      <c r="F41" s="94" t="s">
        <v>2081</v>
      </c>
      <c r="G41" s="94" t="s">
        <v>2156</v>
      </c>
      <c r="H41" s="100">
        <v>26.4</v>
      </c>
      <c r="I41" s="96">
        <v>27.91</v>
      </c>
      <c r="J41" s="97">
        <v>23.106945478998199</v>
      </c>
      <c r="K41" s="97">
        <v>30.208579435119397</v>
      </c>
      <c r="L41" s="105">
        <v>32.049259943847034</v>
      </c>
      <c r="M41" s="98">
        <f>+VALUE(RIGHT(G41,4))</f>
        <v>42</v>
      </c>
      <c r="N41" s="90">
        <f t="shared" si="7"/>
        <v>0.76307761771064364</v>
      </c>
      <c r="O41" s="275">
        <v>4</v>
      </c>
      <c r="P41" s="271">
        <f t="shared" si="8"/>
        <v>8.0123149859617584</v>
      </c>
      <c r="Q41" s="271">
        <f t="shared" si="9"/>
        <v>175.22394749913238</v>
      </c>
      <c r="R41" s="396">
        <f t="shared" si="10"/>
        <v>0</v>
      </c>
      <c r="S41" s="396">
        <f t="shared" si="11"/>
        <v>0</v>
      </c>
      <c r="T41" s="396">
        <f t="shared" si="12"/>
        <v>0</v>
      </c>
      <c r="U41" s="396">
        <f t="shared" si="13"/>
        <v>0</v>
      </c>
      <c r="V41" s="241">
        <f t="shared" si="3"/>
        <v>0</v>
      </c>
      <c r="W41" s="349" t="s">
        <v>2014</v>
      </c>
      <c r="X41" s="338" t="s">
        <v>2014</v>
      </c>
      <c r="Y41" s="338" t="s">
        <v>2014</v>
      </c>
      <c r="Z41" s="92" t="s">
        <v>2450</v>
      </c>
      <c r="AA41" s="220" t="s">
        <v>2457</v>
      </c>
      <c r="AB41" s="223"/>
      <c r="AC41" s="225">
        <v>2</v>
      </c>
      <c r="AD41" s="225"/>
      <c r="AE41" s="226"/>
      <c r="AF41" s="249">
        <v>301</v>
      </c>
      <c r="AG41" s="102" t="s">
        <v>2092</v>
      </c>
      <c r="AH41" s="61"/>
      <c r="AI41" s="394">
        <f>+IF(W41="y",1,0)</f>
        <v>1</v>
      </c>
      <c r="AJ41" s="80">
        <f t="shared" si="4"/>
        <v>1</v>
      </c>
      <c r="AK41" s="80">
        <f t="shared" si="5"/>
        <v>4</v>
      </c>
    </row>
    <row r="42" spans="1:37" x14ac:dyDescent="0.25">
      <c r="A42" s="80"/>
      <c r="B42" s="80"/>
      <c r="C42" s="92" t="s">
        <v>2157</v>
      </c>
      <c r="D42" s="93" t="s">
        <v>2158</v>
      </c>
      <c r="E42" s="92">
        <v>138</v>
      </c>
      <c r="F42" s="94" t="s">
        <v>2081</v>
      </c>
      <c r="G42" s="94" t="s">
        <v>2159</v>
      </c>
      <c r="H42" s="100">
        <v>26.4</v>
      </c>
      <c r="I42" s="96">
        <v>35.909999999999997</v>
      </c>
      <c r="J42" s="97">
        <v>25.396791165262609</v>
      </c>
      <c r="K42" s="97">
        <v>30.064561312091705</v>
      </c>
      <c r="L42" s="105">
        <v>26.516226811506581</v>
      </c>
      <c r="M42" s="98">
        <f>+VALUE(RIGHT(G42,4))</f>
        <v>42</v>
      </c>
      <c r="N42" s="90">
        <f t="shared" si="7"/>
        <v>0.85499999999999987</v>
      </c>
      <c r="O42" s="275">
        <v>4</v>
      </c>
      <c r="P42" s="271">
        <f t="shared" si="8"/>
        <v>8.9774999999999991</v>
      </c>
      <c r="Q42" s="271">
        <f t="shared" si="9"/>
        <v>196.33189551704038</v>
      </c>
      <c r="R42" s="396">
        <f t="shared" si="10"/>
        <v>0</v>
      </c>
      <c r="S42" s="396">
        <f t="shared" si="11"/>
        <v>0</v>
      </c>
      <c r="T42" s="396">
        <f t="shared" si="12"/>
        <v>0</v>
      </c>
      <c r="U42" s="396">
        <f t="shared" si="13"/>
        <v>0</v>
      </c>
      <c r="V42" s="241">
        <f t="shared" si="3"/>
        <v>0</v>
      </c>
      <c r="W42" s="349" t="s">
        <v>2014</v>
      </c>
      <c r="X42" s="338" t="s">
        <v>2014</v>
      </c>
      <c r="Y42" s="338" t="s">
        <v>2014</v>
      </c>
      <c r="Z42" s="92" t="s">
        <v>2450</v>
      </c>
      <c r="AA42" s="220" t="s">
        <v>2455</v>
      </c>
      <c r="AB42" s="223"/>
      <c r="AC42" s="225">
        <v>2</v>
      </c>
      <c r="AD42" s="225"/>
      <c r="AE42" s="226"/>
      <c r="AF42" s="249">
        <f>201+201</f>
        <v>402</v>
      </c>
      <c r="AG42" s="102" t="s">
        <v>2092</v>
      </c>
      <c r="AH42" s="61"/>
      <c r="AI42" s="394">
        <f>+IF(W42="y",1,0)</f>
        <v>1</v>
      </c>
      <c r="AJ42" s="80">
        <f t="shared" si="4"/>
        <v>1</v>
      </c>
      <c r="AK42" s="80">
        <f t="shared" si="5"/>
        <v>4</v>
      </c>
    </row>
    <row r="43" spans="1:37" ht="13.5" thickBot="1" x14ac:dyDescent="0.3">
      <c r="C43" s="109"/>
      <c r="D43" s="110"/>
      <c r="E43" s="111"/>
      <c r="F43" s="112"/>
      <c r="G43" s="112"/>
      <c r="H43" s="110"/>
      <c r="I43" s="113"/>
      <c r="J43" s="113"/>
      <c r="K43" s="126"/>
      <c r="L43" s="114"/>
      <c r="M43" s="115" t="s">
        <v>8</v>
      </c>
      <c r="N43" s="116"/>
      <c r="O43" s="240"/>
      <c r="P43" s="240"/>
      <c r="Q43" s="117"/>
      <c r="R43" s="117" t="str">
        <f>+IF(OR(I43="-",I43&lt;$M43),0,$M43)</f>
        <v/>
      </c>
      <c r="S43" s="117" t="str">
        <f>+IF(OR(J43="-",J43&lt;$M43),0,$M43)</f>
        <v/>
      </c>
      <c r="T43" s="117" t="str">
        <f>+IF(OR(K43="-",K43&lt;$M43),0,$M43)</f>
        <v/>
      </c>
      <c r="U43" s="117" t="str">
        <f>+IF(OR(L43="-",L43&lt;$M43),0,$M43)</f>
        <v/>
      </c>
      <c r="V43" s="240" t="str">
        <f>+IF(OR(M43="-",M43&lt;$M43),0,$M43)</f>
        <v/>
      </c>
      <c r="W43" s="351"/>
      <c r="X43" s="352"/>
      <c r="Y43" s="353"/>
      <c r="Z43" s="111"/>
      <c r="AA43" s="261"/>
      <c r="AB43" s="111"/>
      <c r="AC43" s="112"/>
      <c r="AD43" s="112"/>
      <c r="AE43" s="110"/>
      <c r="AF43" s="160"/>
      <c r="AG43" s="160"/>
      <c r="AH43" s="61"/>
      <c r="AI43" s="61"/>
      <c r="AJ43" s="61"/>
      <c r="AK43" s="61"/>
    </row>
    <row r="44" spans="1:37" ht="15" customHeight="1" thickBot="1" x14ac:dyDescent="0.3">
      <c r="H44" s="178" t="s">
        <v>2427</v>
      </c>
      <c r="I44" s="177">
        <f>+SUM(I7:I42)</f>
        <v>759.16000000000008</v>
      </c>
      <c r="J44" s="177">
        <f>+SUM(J7:J42)</f>
        <v>790.75536735968956</v>
      </c>
      <c r="K44" s="177">
        <f>+SUM(K7:K42)</f>
        <v>778.58083265702157</v>
      </c>
      <c r="L44" s="177">
        <f>+SUM(L7:L42)</f>
        <v>735.98244031307877</v>
      </c>
      <c r="M44" s="118">
        <f>+SUM(M7:M43)</f>
        <v>1226.1000000000001</v>
      </c>
      <c r="O44" s="666" t="s">
        <v>2519</v>
      </c>
      <c r="P44" s="667"/>
      <c r="Q44" s="668"/>
      <c r="R44" s="885">
        <f>+SUM(R7:R43)</f>
        <v>315.69</v>
      </c>
      <c r="S44" s="886">
        <f>+SUM(S7:S43)</f>
        <v>349.20800575751451</v>
      </c>
      <c r="T44" s="886">
        <f>+SUM(T7:T43)</f>
        <v>265.79231285999964</v>
      </c>
      <c r="U44" s="886">
        <f>+SUM(U7:U43)</f>
        <v>230.69807491564535</v>
      </c>
      <c r="V44" s="887">
        <f>+SUM(V7:V43)</f>
        <v>369.28522315985248</v>
      </c>
      <c r="W44" s="345"/>
      <c r="X44" s="345"/>
      <c r="Y44" s="345"/>
      <c r="Z44" s="730" t="s">
        <v>2470</v>
      </c>
      <c r="AA44" s="731"/>
      <c r="AB44" s="731"/>
      <c r="AC44" s="731"/>
      <c r="AD44" s="731"/>
      <c r="AE44" s="731"/>
      <c r="AF44" s="731"/>
      <c r="AG44" s="732"/>
      <c r="AH44" s="61"/>
      <c r="AI44" s="362">
        <f>+SUM(AI7:AI42)</f>
        <v>32</v>
      </c>
      <c r="AJ44" s="362">
        <f>+SUM(AJ7:AJ42)</f>
        <v>29</v>
      </c>
      <c r="AK44" s="362">
        <f>+SUM(AK7:AK42)</f>
        <v>101</v>
      </c>
    </row>
    <row r="45" spans="1:37" ht="15" customHeight="1" thickBot="1" x14ac:dyDescent="0.3">
      <c r="H45" s="180"/>
      <c r="I45" s="181"/>
      <c r="J45" s="181"/>
      <c r="K45" s="181"/>
      <c r="L45" s="181"/>
      <c r="M45" s="181"/>
      <c r="O45" s="669"/>
      <c r="P45" s="670"/>
      <c r="Q45" s="671"/>
      <c r="R45" s="181"/>
      <c r="S45" s="181"/>
      <c r="T45" s="181"/>
      <c r="U45" s="181"/>
      <c r="Z45" s="733"/>
      <c r="AA45" s="734"/>
      <c r="AB45" s="734"/>
      <c r="AC45" s="734"/>
      <c r="AD45" s="734"/>
      <c r="AE45" s="734"/>
      <c r="AF45" s="734"/>
      <c r="AG45" s="735"/>
      <c r="AH45" s="61"/>
      <c r="AI45" s="62"/>
      <c r="AJ45" s="61"/>
      <c r="AK45" s="61"/>
    </row>
    <row r="46" spans="1:37" ht="15" customHeight="1" thickBot="1" x14ac:dyDescent="0.3">
      <c r="D46" s="63" t="s">
        <v>2160</v>
      </c>
      <c r="E46" s="61"/>
      <c r="Z46" s="736" t="s">
        <v>2471</v>
      </c>
      <c r="AA46" s="737"/>
      <c r="AB46" s="737"/>
      <c r="AC46" s="737"/>
      <c r="AD46" s="737"/>
      <c r="AE46" s="737"/>
      <c r="AF46" s="737"/>
      <c r="AG46" s="738"/>
      <c r="AH46" s="80" t="s">
        <v>2499</v>
      </c>
      <c r="AI46" s="362">
        <f>+AI44+Canseau!AI22+Northern!AI35+Sydney!AI26+Valley!AI37+Western!AI38</f>
        <v>68</v>
      </c>
      <c r="AJ46" s="362">
        <f>+AJ44+Canseau!AJ22+Northern!AJ35+Sydney!AJ26+Valley!AJ37+Western!AJ38</f>
        <v>68</v>
      </c>
      <c r="AK46" s="362">
        <f>+AK44+Canseau!AK22+Northern!AK35+Sydney!AK26+Valley!AK37+Western!AK38</f>
        <v>189</v>
      </c>
    </row>
    <row r="47" spans="1:37" ht="12.75" customHeight="1" thickBot="1" x14ac:dyDescent="0.3">
      <c r="D47" s="145" t="s">
        <v>2161</v>
      </c>
      <c r="E47" s="61"/>
      <c r="K47" s="120" t="s">
        <v>2162</v>
      </c>
      <c r="L47" s="121" t="s">
        <v>2163</v>
      </c>
      <c r="M47" s="122" t="s">
        <v>2164</v>
      </c>
      <c r="N47" s="657" t="s">
        <v>2001</v>
      </c>
      <c r="O47" s="658"/>
      <c r="P47" s="658"/>
      <c r="Q47" s="659"/>
      <c r="R47" s="277" t="s">
        <v>2015</v>
      </c>
      <c r="V47" s="123"/>
      <c r="W47" s="123"/>
      <c r="X47" s="123"/>
      <c r="Y47" s="123"/>
      <c r="Z47" s="739"/>
      <c r="AA47" s="740"/>
      <c r="AB47" s="740"/>
      <c r="AC47" s="740"/>
      <c r="AD47" s="740"/>
      <c r="AE47" s="740"/>
      <c r="AF47" s="740"/>
      <c r="AG47" s="741"/>
      <c r="AH47" s="80" t="s">
        <v>2501</v>
      </c>
      <c r="AI47" s="362">
        <f>+COUNT(AI7:AI42)+COUNT(Canseau!AI7:AI20)+COUNT(Northern!AI7:AI33)+COUNT(Sydney!AI7:AI24)+COUNT(Valley!AI7:AI35)+COUNT(Western!AI7:AI36)</f>
        <v>132</v>
      </c>
      <c r="AJ47" s="362">
        <f>+COUNT(AJ7:AJ42)+COUNT(Canseau!AJ7:AJ20)+COUNT(Northern!AJ7:AJ33)+COUNT(Sydney!AJ7:AJ24)+COUNT(Valley!AJ7:AJ35)+COUNT(Western!AJ7:AJ36)</f>
        <v>154</v>
      </c>
      <c r="AK47" s="362">
        <f>+SUM(O7:O42)+SUM(Canseau!O7:O20)+SUM(Northern!O7:O33)+SUM(Sydney!O7:O24)+SUM(Valley!O7:O35)+SUM(Western!O7:O36)</f>
        <v>413</v>
      </c>
    </row>
    <row r="48" spans="1:37" ht="15" customHeight="1" thickTop="1" thickBot="1" x14ac:dyDescent="0.3">
      <c r="D48" s="145" t="s">
        <v>2165</v>
      </c>
      <c r="E48" s="61"/>
      <c r="K48" s="86" t="s">
        <v>2166</v>
      </c>
      <c r="L48" s="124">
        <v>46.7</v>
      </c>
      <c r="M48" s="87">
        <f>+M44+L48</f>
        <v>1272.8000000000002</v>
      </c>
      <c r="N48" s="660" t="s">
        <v>2167</v>
      </c>
      <c r="O48" s="661"/>
      <c r="P48" s="661"/>
      <c r="Q48" s="662"/>
      <c r="R48" s="149">
        <v>2018</v>
      </c>
      <c r="V48" s="123"/>
      <c r="W48" s="123"/>
      <c r="X48" s="123"/>
      <c r="Y48" s="123"/>
      <c r="Z48" s="742"/>
      <c r="AA48" s="743"/>
      <c r="AB48" s="743"/>
      <c r="AC48" s="743"/>
      <c r="AD48" s="743"/>
      <c r="AE48" s="743"/>
      <c r="AF48" s="743"/>
      <c r="AG48" s="744"/>
      <c r="AH48" s="61" t="s">
        <v>2502</v>
      </c>
      <c r="AI48" s="395">
        <f>+AI46/AI47</f>
        <v>0.51515151515151514</v>
      </c>
      <c r="AJ48" s="395">
        <f>+AJ46/AJ47</f>
        <v>0.44155844155844154</v>
      </c>
      <c r="AK48" s="395">
        <f>+AK46/AK47</f>
        <v>0.4576271186440678</v>
      </c>
    </row>
    <row r="49" spans="4:33" ht="13.5" thickBot="1" x14ac:dyDescent="0.3">
      <c r="D49" s="125"/>
      <c r="E49" s="61"/>
      <c r="K49" s="126"/>
      <c r="L49" s="114"/>
      <c r="M49" s="127"/>
      <c r="N49" s="663"/>
      <c r="O49" s="664"/>
      <c r="P49" s="664"/>
      <c r="Q49" s="665"/>
      <c r="R49" s="278"/>
      <c r="V49" s="61"/>
      <c r="W49" s="61"/>
      <c r="X49" s="61"/>
      <c r="Y49" s="61"/>
      <c r="Z49" s="61"/>
      <c r="AA49" s="61"/>
      <c r="AG49" s="125"/>
    </row>
    <row r="50" spans="4:33" x14ac:dyDescent="0.25">
      <c r="Z50" s="265"/>
      <c r="AA50" s="265"/>
      <c r="AB50" s="265"/>
      <c r="AC50" s="265"/>
      <c r="AD50" s="265"/>
      <c r="AE50" s="265"/>
      <c r="AF50" s="265"/>
      <c r="AG50" s="265"/>
    </row>
    <row r="51" spans="4:33" ht="15.75" customHeight="1" x14ac:dyDescent="0.25">
      <c r="Z51" s="265"/>
      <c r="AA51" s="265"/>
      <c r="AB51" s="265"/>
      <c r="AC51" s="265"/>
      <c r="AD51" s="265"/>
      <c r="AE51" s="265"/>
      <c r="AF51" s="265"/>
      <c r="AG51" s="265"/>
    </row>
    <row r="52" spans="4:33" x14ac:dyDescent="0.25">
      <c r="I52" s="61" t="s">
        <v>2023</v>
      </c>
      <c r="Z52" s="265"/>
      <c r="AA52" s="265"/>
      <c r="AB52" s="265"/>
      <c r="AC52" s="265"/>
      <c r="AD52" s="265"/>
      <c r="AE52" s="265"/>
      <c r="AF52" s="265"/>
      <c r="AG52" s="265"/>
    </row>
    <row r="53" spans="4:33" x14ac:dyDescent="0.25">
      <c r="Z53" s="265"/>
      <c r="AA53" s="265"/>
      <c r="AB53" s="265"/>
      <c r="AC53" s="265"/>
      <c r="AD53" s="265"/>
      <c r="AE53" s="265"/>
      <c r="AF53" s="265"/>
      <c r="AG53" s="265"/>
    </row>
    <row r="54" spans="4:33" x14ac:dyDescent="0.25">
      <c r="Z54" s="265"/>
      <c r="AA54" s="265"/>
      <c r="AB54" s="265"/>
      <c r="AC54" s="265"/>
      <c r="AD54" s="265"/>
      <c r="AE54" s="265"/>
      <c r="AF54" s="265"/>
      <c r="AG54" s="265"/>
    </row>
    <row r="65490" spans="1:32" s="61" customFormat="1" x14ac:dyDescent="0.25">
      <c r="A65490" s="59"/>
      <c r="B65490" s="59"/>
      <c r="C65490" s="59"/>
      <c r="D65490" s="59"/>
      <c r="E65490" s="59"/>
      <c r="F65490" s="59"/>
      <c r="G65490" s="59"/>
      <c r="H65490" s="59"/>
      <c r="M65490" s="62"/>
      <c r="N65490" s="59"/>
      <c r="O65490" s="59"/>
      <c r="P65490" s="59"/>
      <c r="Q65490" s="59"/>
      <c r="R65490" s="59"/>
      <c r="S65490" s="59"/>
      <c r="T65490" s="59"/>
      <c r="U65490" s="59"/>
      <c r="V65490" s="59"/>
      <c r="W65490" s="59"/>
      <c r="X65490" s="59"/>
      <c r="Y65490" s="59"/>
      <c r="Z65490" s="59"/>
      <c r="AA65490" s="59"/>
      <c r="AB65490" s="59"/>
      <c r="AC65490" s="59"/>
      <c r="AD65490" s="59"/>
      <c r="AE65490" s="59"/>
      <c r="AF65490" s="59"/>
    </row>
  </sheetData>
  <autoFilter ref="C5:N48" xr:uid="{00000000-0009-0000-0000-000016000000}"/>
  <mergeCells count="112">
    <mergeCell ref="AI29:AI31"/>
    <mergeCell ref="AI33:AI34"/>
    <mergeCell ref="AI39:AI40"/>
    <mergeCell ref="AK12:AK13"/>
    <mergeCell ref="AI7:AI9"/>
    <mergeCell ref="AI10:AI11"/>
    <mergeCell ref="AI12:AI13"/>
    <mergeCell ref="AI15:AI16"/>
    <mergeCell ref="AI26:AI27"/>
    <mergeCell ref="W39:W40"/>
    <mergeCell ref="W29:W31"/>
    <mergeCell ref="W33:W34"/>
    <mergeCell ref="W15:W16"/>
    <mergeCell ref="W26:W27"/>
    <mergeCell ref="W10:W11"/>
    <mergeCell ref="O5:O6"/>
    <mergeCell ref="P5:P6"/>
    <mergeCell ref="Q5:Q6"/>
    <mergeCell ref="Z44:AG45"/>
    <mergeCell ref="Z46:AG48"/>
    <mergeCell ref="AF33:AF34"/>
    <mergeCell ref="AG33:AG34"/>
    <mergeCell ref="Z39:Z40"/>
    <mergeCell ref="AA39:AA40"/>
    <mergeCell ref="AB39:AB40"/>
    <mergeCell ref="AC39:AC40"/>
    <mergeCell ref="AD39:AD40"/>
    <mergeCell ref="AE39:AE40"/>
    <mergeCell ref="AF39:AF40"/>
    <mergeCell ref="AG39:AG40"/>
    <mergeCell ref="Z33:Z34"/>
    <mergeCell ref="AA33:AA34"/>
    <mergeCell ref="AB33:AB34"/>
    <mergeCell ref="AC33:AC34"/>
    <mergeCell ref="AD33:AD34"/>
    <mergeCell ref="AE33:AE34"/>
    <mergeCell ref="AF26:AF27"/>
    <mergeCell ref="AG26:AG27"/>
    <mergeCell ref="Z29:Z31"/>
    <mergeCell ref="AA29:AA31"/>
    <mergeCell ref="AB29:AB31"/>
    <mergeCell ref="AC29:AC31"/>
    <mergeCell ref="AD29:AD31"/>
    <mergeCell ref="AE29:AE31"/>
    <mergeCell ref="AF29:AF31"/>
    <mergeCell ref="AG29:AG31"/>
    <mergeCell ref="Z26:Z27"/>
    <mergeCell ref="AA26:AA27"/>
    <mergeCell ref="AB26:AB27"/>
    <mergeCell ref="AC26:AC27"/>
    <mergeCell ref="AD26:AD27"/>
    <mergeCell ref="AE26:AE27"/>
    <mergeCell ref="Z15:Z16"/>
    <mergeCell ref="AA15:AA16"/>
    <mergeCell ref="AB15:AB16"/>
    <mergeCell ref="AC15:AC16"/>
    <mergeCell ref="AD15:AD16"/>
    <mergeCell ref="AE15:AE16"/>
    <mergeCell ref="AF15:AF16"/>
    <mergeCell ref="AG15:AG16"/>
    <mergeCell ref="Z12:Z13"/>
    <mergeCell ref="AA12:AA13"/>
    <mergeCell ref="AB12:AB13"/>
    <mergeCell ref="AC12:AC13"/>
    <mergeCell ref="AD12:AD13"/>
    <mergeCell ref="AE12:AE13"/>
    <mergeCell ref="AF7:AF9"/>
    <mergeCell ref="AG7:AG9"/>
    <mergeCell ref="V12:V13"/>
    <mergeCell ref="Z3:AG4"/>
    <mergeCell ref="AB5:AE5"/>
    <mergeCell ref="AG5:AG6"/>
    <mergeCell ref="Z7:Z9"/>
    <mergeCell ref="AA7:AA9"/>
    <mergeCell ref="AB7:AB9"/>
    <mergeCell ref="AC7:AC9"/>
    <mergeCell ref="AD7:AD9"/>
    <mergeCell ref="AE7:AE9"/>
    <mergeCell ref="AF12:AF13"/>
    <mergeCell ref="AG12:AG13"/>
    <mergeCell ref="Y5:Y6"/>
    <mergeCell ref="X5:X6"/>
    <mergeCell ref="W5:W6"/>
    <mergeCell ref="W7:W9"/>
    <mergeCell ref="W12:W13"/>
    <mergeCell ref="W3:Y4"/>
    <mergeCell ref="N47:Q47"/>
    <mergeCell ref="N48:Q48"/>
    <mergeCell ref="N49:Q49"/>
    <mergeCell ref="J12:J13"/>
    <mergeCell ref="R12:R13"/>
    <mergeCell ref="S12:S13"/>
    <mergeCell ref="T12:T13"/>
    <mergeCell ref="O44:Q45"/>
    <mergeCell ref="P12:P13"/>
    <mergeCell ref="O12:O13"/>
    <mergeCell ref="Q12:Q13"/>
    <mergeCell ref="M5:M6"/>
    <mergeCell ref="N5:N6"/>
    <mergeCell ref="K12:K13"/>
    <mergeCell ref="L12:L13"/>
    <mergeCell ref="M12:M13"/>
    <mergeCell ref="N12:N13"/>
    <mergeCell ref="R3:V4"/>
    <mergeCell ref="C1:F1"/>
    <mergeCell ref="C3:D4"/>
    <mergeCell ref="E3:H4"/>
    <mergeCell ref="I3:L4"/>
    <mergeCell ref="M3:N4"/>
    <mergeCell ref="O3:Q4"/>
    <mergeCell ref="U12:U13"/>
    <mergeCell ref="I12:I13"/>
  </mergeCells>
  <conditionalFormatting sqref="N7:N12 N14:N42">
    <cfRule type="cellIs" dxfId="59" priority="54" stopIfTrue="1" operator="greaterThan">
      <formula>1.06</formula>
    </cfRule>
  </conditionalFormatting>
  <conditionalFormatting sqref="Q7:Q42">
    <cfRule type="cellIs" dxfId="58" priority="35" operator="greaterThan">
      <formula>260</formula>
    </cfRule>
  </conditionalFormatting>
  <conditionalFormatting sqref="W39">
    <cfRule type="cellIs" dxfId="57" priority="17" stopIfTrue="1" operator="between">
      <formula>1</formula>
      <formula>1.33</formula>
    </cfRule>
  </conditionalFormatting>
  <conditionalFormatting sqref="Y29">
    <cfRule type="cellIs" dxfId="56" priority="11" stopIfTrue="1" operator="between">
      <formula>1</formula>
      <formula>1.33</formula>
    </cfRule>
  </conditionalFormatting>
  <conditionalFormatting sqref="W14:W15 W12 W7 W10 W17:W18 W20:W25 W35:W38 W28 W32 W41:W43">
    <cfRule type="cellIs" dxfId="55" priority="34" stopIfTrue="1" operator="between">
      <formula>1</formula>
      <formula>1.33</formula>
    </cfRule>
  </conditionalFormatting>
  <conditionalFormatting sqref="W7">
    <cfRule type="cellIs" dxfId="54" priority="33" stopIfTrue="1" operator="between">
      <formula>1</formula>
      <formula>1.33</formula>
    </cfRule>
  </conditionalFormatting>
  <conditionalFormatting sqref="W14:W15 W17:W18 W20:W25 W35:W38 W28 W32 W41:W43">
    <cfRule type="cellIs" dxfId="53" priority="32" stopIfTrue="1" operator="between">
      <formula>1</formula>
      <formula>1.33</formula>
    </cfRule>
  </conditionalFormatting>
  <conditionalFormatting sqref="W29">
    <cfRule type="cellIs" dxfId="52" priority="22" stopIfTrue="1" operator="between">
      <formula>1</formula>
      <formula>1.33</formula>
    </cfRule>
  </conditionalFormatting>
  <conditionalFormatting sqref="X29">
    <cfRule type="cellIs" dxfId="51" priority="21" stopIfTrue="1" operator="between">
      <formula>1</formula>
      <formula>1.33</formula>
    </cfRule>
  </conditionalFormatting>
  <conditionalFormatting sqref="X7">
    <cfRule type="cellIs" dxfId="50" priority="31" stopIfTrue="1" operator="between">
      <formula>1</formula>
      <formula>1.33</formula>
    </cfRule>
  </conditionalFormatting>
  <conditionalFormatting sqref="X7">
    <cfRule type="cellIs" dxfId="49" priority="30" stopIfTrue="1" operator="between">
      <formula>1</formula>
      <formula>1.33</formula>
    </cfRule>
  </conditionalFormatting>
  <conditionalFormatting sqref="W29">
    <cfRule type="cellIs" dxfId="48" priority="23" stopIfTrue="1" operator="between">
      <formula>1</formula>
      <formula>1.33</formula>
    </cfRule>
  </conditionalFormatting>
  <conditionalFormatting sqref="W19">
    <cfRule type="cellIs" dxfId="47" priority="27" stopIfTrue="1" operator="between">
      <formula>1</formula>
      <formula>1.33</formula>
    </cfRule>
  </conditionalFormatting>
  <conditionalFormatting sqref="W19">
    <cfRule type="cellIs" dxfId="46" priority="26" stopIfTrue="1" operator="between">
      <formula>1</formula>
      <formula>1.33</formula>
    </cfRule>
  </conditionalFormatting>
  <conditionalFormatting sqref="W33">
    <cfRule type="cellIs" dxfId="45" priority="25" stopIfTrue="1" operator="between">
      <formula>1</formula>
      <formula>1.33</formula>
    </cfRule>
  </conditionalFormatting>
  <conditionalFormatting sqref="W26">
    <cfRule type="cellIs" dxfId="44" priority="24" stopIfTrue="1" operator="between">
      <formula>1</formula>
      <formula>1.33</formula>
    </cfRule>
  </conditionalFormatting>
  <conditionalFormatting sqref="Y7">
    <cfRule type="cellIs" dxfId="43" priority="14" stopIfTrue="1" operator="between">
      <formula>1</formula>
      <formula>1.33</formula>
    </cfRule>
  </conditionalFormatting>
  <conditionalFormatting sqref="X29">
    <cfRule type="cellIs" dxfId="42" priority="20" stopIfTrue="1" operator="between">
      <formula>1</formula>
      <formula>1.33</formula>
    </cfRule>
  </conditionalFormatting>
  <conditionalFormatting sqref="Y29">
    <cfRule type="cellIs" dxfId="41" priority="12" stopIfTrue="1" operator="between">
      <formula>1</formula>
      <formula>1.33</formula>
    </cfRule>
  </conditionalFormatting>
  <conditionalFormatting sqref="Y7">
    <cfRule type="cellIs" dxfId="40" priority="13" stopIfTrue="1" operator="between">
      <formula>1</formula>
      <formula>1.33</formula>
    </cfRule>
  </conditionalFormatting>
  <pageMargins left="0.7" right="0.7" top="0.75" bottom="0.75" header="0.3" footer="0.3"/>
  <pageSetup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e6adf1c-5a3b-4162-a28f-5e712d13fd4b">NSPIREGAFF4-756792442-33</_dlc_DocId>
    <_dlc_DocIdUrl xmlns="5e6adf1c-5a3b-4162-a28f-5e712d13fd4b">
      <Url>https://thegrid.emera.com/Sites/RegAffairs4/DSM/DSM20232025/_layouts/15/DocIdRedir.aspx?ID=NSPIREGAFF4-756792442-33</Url>
      <Description>NSPIREGAFF4-756792442-33</Description>
    </_dlc_DocIdUrl>
    <Status_ xmlns="0be58713-c047-4367-9a74-7328f99ee9e2">14</Status_>
    <Refer_x0020_to xmlns="0be58713-c047-4367-9a74-7328f99ee9e2" xsi:nil="true"/>
    <IR_Writer xmlns="0be58713-c047-4367-9a74-7328f99ee9e2">Charlton, John</IR_Writer>
    <IR_Filing_Date xmlns="0be58713-c047-4367-9a74-7328f99ee9e2" xsi:nil="true"/>
    <Sensitive xmlns="0be58713-c047-4367-9a74-7328f99ee9e2">false</Sensitive>
    <IR_Owner xmlns="0be58713-c047-4367-9a74-7328f99ee9e2">Milligan, Chris</IR_Owner>
    <IR_Received_Date xmlns="0be58713-c047-4367-9a74-7328f99ee9e2" xsi:nil="true"/>
    <Batch xmlns="0be58713-c047-4367-9a74-7328f99ee9e2">&lt;select&gt;</Batch>
    <Requester xmlns="0be58713-c047-4367-9a74-7328f99ee9e2">IG</Requester>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7 Years" ma:contentTypeID="0x0101001F4B50EB2A5E814B991DA92EB315904C005A452C81F66F80438F4A50E22BF26843" ma:contentTypeVersion="21" ma:contentTypeDescription="Retention Policy - Documents of this type are set to expire 7 years from the document's 'Modified' date.." ma:contentTypeScope="" ma:versionID="f4d2b03d6789e6d39ee45f87845bf408">
  <xsd:schema xmlns:xsd="http://www.w3.org/2001/XMLSchema" xmlns:xs="http://www.w3.org/2001/XMLSchema" xmlns:p="http://schemas.microsoft.com/office/2006/metadata/properties" xmlns:ns2="0be58713-c047-4367-9a74-7328f99ee9e2" xmlns:ns3="5e6adf1c-5a3b-4162-a28f-5e712d13fd4b" xmlns:ns4="47fc0ed1-d4fe-4c9b-a943-d9dd6853ffd1" targetNamespace="http://schemas.microsoft.com/office/2006/metadata/properties" ma:root="true" ma:fieldsID="83509a9623398f812b69a993b4a23be6" ns2:_="" ns3:_="" ns4:_="">
    <xsd:import namespace="0be58713-c047-4367-9a74-7328f99ee9e2"/>
    <xsd:import namespace="5e6adf1c-5a3b-4162-a28f-5e712d13fd4b"/>
    <xsd:import namespace="47fc0ed1-d4fe-4c9b-a943-d9dd6853ffd1"/>
    <xsd:element name="properties">
      <xsd:complexType>
        <xsd:sequence>
          <xsd:element name="documentManagement">
            <xsd:complexType>
              <xsd:all>
                <xsd:element ref="ns2:Status_" minOccurs="0"/>
                <xsd:element ref="ns2:Sensitive" minOccurs="0"/>
                <xsd:element ref="ns2:Requester" minOccurs="0"/>
                <xsd:element ref="ns2:Refer_x0020_to" minOccurs="0"/>
                <xsd:element ref="ns2:IR_Writer" minOccurs="0"/>
                <xsd:element ref="ns2:IR_Owner" minOccurs="0"/>
                <xsd:element ref="ns2:IR_Filing_Date" minOccurs="0"/>
                <xsd:element ref="ns2:IR_Received_Date" minOccurs="0"/>
                <xsd:element ref="ns2:Batch"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e58713-c047-4367-9a74-7328f99ee9e2" elementFormDefault="qualified">
    <xsd:import namespace="http://schemas.microsoft.com/office/2006/documentManagement/types"/>
    <xsd:import namespace="http://schemas.microsoft.com/office/infopath/2007/PartnerControls"/>
    <xsd:element name="Status_" ma:index="1" nillable="true" ma:displayName="Status_" ma:list="{122ac627-406d-48d5-a763-d4f4757350ce}" ma:internalName="Status_" ma:readOnly="false" ma:showField="Title">
      <xsd:simpleType>
        <xsd:restriction base="dms:Lookup"/>
      </xsd:simpleType>
    </xsd:element>
    <xsd:element name="Sensitive" ma:index="2" nillable="true" ma:displayName="Sensitive" ma:default="0" ma:internalName="Sensitive" ma:readOnly="false">
      <xsd:simpleType>
        <xsd:restriction base="dms:Boolean"/>
      </xsd:simpleType>
    </xsd:element>
    <xsd:element name="Requester" ma:index="3" nillable="true" ma:displayName="Requester" ma:default="IG" ma:format="Dropdown" ma:internalName="Requester">
      <xsd:simpleType>
        <xsd:union memberTypes="dms:Text">
          <xsd:simpleType>
            <xsd:restriction base="dms:Choice">
              <xsd:enumeration value="IG"/>
              <xsd:enumeration value="NSUARB"/>
              <xsd:enumeration value="&lt;&lt;unspecified&gt;&gt;"/>
            </xsd:restriction>
          </xsd:simpleType>
        </xsd:union>
      </xsd:simpleType>
    </xsd:element>
    <xsd:element name="Refer_x0020_to" ma:index="5" nillable="true" ma:displayName="Refer to" ma:internalName="Refer_x0020_to" ma:readOnly="false">
      <xsd:simpleType>
        <xsd:restriction base="dms:Text">
          <xsd:maxLength value="255"/>
        </xsd:restriction>
      </xsd:simpleType>
    </xsd:element>
    <xsd:element name="IR_Writer" ma:index="6" nillable="true" ma:displayName="IR_Writer" ma:default="&lt;select&gt;" ma:description="The person assigned to draft the response of the information request." ma:format="Dropdown" ma:internalName="IR_Writer" ma:readOnly="false">
      <xsd:simpleType>
        <xsd:union memberTypes="dms:Text">
          <xsd:simpleType>
            <xsd:restriction base="dms:Choice">
              <xsd:enumeration value="&lt;select&gt;"/>
              <xsd:enumeration value="Wood, Tim"/>
              <xsd:enumeration value="Milojevic, Mila"/>
              <xsd:enumeration value="Ross, Jennifer"/>
              <xsd:enumeration value="Curry, Brian"/>
              <xsd:enumeration value="Allen, Sandy"/>
              <xsd:enumeration value="Grus, Voytek"/>
              <xsd:enumeration value="Connell, Shawn"/>
              <xsd:enumeration value="Flemming, Craig"/>
            </xsd:restriction>
          </xsd:simpleType>
        </xsd:union>
      </xsd:simpleType>
    </xsd:element>
    <xsd:element name="IR_Owner" ma:index="7" nillable="true" ma:displayName="IR_Owner" ma:default="&lt;select&gt;" ma:description="The Owner accountable for ensuring completion of the Information Request." ma:format="Dropdown" ma:internalName="IR_Owner" ma:readOnly="false">
      <xsd:simpleType>
        <xsd:union memberTypes="dms:Text">
          <xsd:simpleType>
            <xsd:restriction base="dms:Choice">
              <xsd:enumeration value="&lt;select&gt;"/>
              <xsd:enumeration value="Wood, Tim"/>
              <xsd:enumeration value="Milojevic, Mila"/>
              <xsd:enumeration value="Ross, Jennifer"/>
              <xsd:enumeration value="Curry, Brian"/>
              <xsd:enumeration value="Allen, Sandy"/>
              <xsd:enumeration value="Grus, Voytek"/>
              <xsd:enumeration value="Connell, Shawn"/>
              <xsd:enumeration value="Flemming, Craig"/>
            </xsd:restriction>
          </xsd:simpleType>
        </xsd:union>
      </xsd:simpleType>
    </xsd:element>
    <xsd:element name="IR_Filing_Date" ma:index="8" nillable="true" ma:displayName="Filing_Date" ma:format="DateOnly" ma:internalName="IR_Filing_Date" ma:readOnly="false">
      <xsd:simpleType>
        <xsd:restriction base="dms:DateTime"/>
      </xsd:simpleType>
    </xsd:element>
    <xsd:element name="IR_Received_Date" ma:index="9" nillable="true" ma:displayName="Received_Date" ma:format="DateOnly" ma:internalName="IR_Received_Date" ma:readOnly="false">
      <xsd:simpleType>
        <xsd:restriction base="dms:DateTime"/>
      </xsd:simpleType>
    </xsd:element>
    <xsd:element name="Batch" ma:index="10" nillable="true" ma:displayName="Batch" ma:default="&lt;select&gt;" ma:format="Dropdown" ma:internalName="Batch" ma:readOnly="false">
      <xsd:simpleType>
        <xsd:restriction base="dms:Choice">
          <xsd:enumeration value="&lt;select&gt;"/>
          <xsd:enumeration value="Batch 1"/>
          <xsd:enumeration value="Batch 2"/>
          <xsd:enumeration value="Batch 3"/>
        </xsd:restriction>
      </xsd:simpleType>
    </xsd:element>
  </xsd:schema>
  <xsd:schema xmlns:xsd="http://www.w3.org/2001/XMLSchema" xmlns:xs="http://www.w3.org/2001/XMLSchema" xmlns:dms="http://schemas.microsoft.com/office/2006/documentManagement/types" xmlns:pc="http://schemas.microsoft.com/office/infopath/2007/PartnerControls" targetNamespace="5e6adf1c-5a3b-4162-a28f-5e712d13fd4b" elementFormDefault="qualified">
    <xsd:import namespace="http://schemas.microsoft.com/office/2006/documentManagement/types"/>
    <xsd:import namespace="http://schemas.microsoft.com/office/infopath/2007/PartnerControls"/>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7fc0ed1-d4fe-4c9b-a943-d9dd6853ffd1"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4" ma:displayName="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0CF556-8418-4AF7-9703-116E4673CCF8}">
  <ds:schemaRefs>
    <ds:schemaRef ds:uri="http://purl.org/dc/elements/1.1/"/>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0be58713-c047-4367-9a74-7328f99ee9e2"/>
    <ds:schemaRef ds:uri="http://schemas.openxmlformats.org/package/2006/metadata/core-properties"/>
    <ds:schemaRef ds:uri="47fc0ed1-d4fe-4c9b-a943-d9dd6853ffd1"/>
    <ds:schemaRef ds:uri="5e6adf1c-5a3b-4162-a28f-5e712d13fd4b"/>
    <ds:schemaRef ds:uri="http://www.w3.org/XML/1998/namespace"/>
  </ds:schemaRefs>
</ds:datastoreItem>
</file>

<file path=customXml/itemProps2.xml><?xml version="1.0" encoding="utf-8"?>
<ds:datastoreItem xmlns:ds="http://schemas.openxmlformats.org/officeDocument/2006/customXml" ds:itemID="{0DCE1C0D-EE85-455C-9939-5DE40D9C973E}">
  <ds:schemaRefs>
    <ds:schemaRef ds:uri="http://schemas.microsoft.com/office/2006/metadata/customXsn"/>
  </ds:schemaRefs>
</ds:datastoreItem>
</file>

<file path=customXml/itemProps3.xml><?xml version="1.0" encoding="utf-8"?>
<ds:datastoreItem xmlns:ds="http://schemas.openxmlformats.org/officeDocument/2006/customXml" ds:itemID="{09F013B2-4115-4B27-A27F-B3E386587C66}">
  <ds:schemaRefs>
    <ds:schemaRef ds:uri="http://schemas.microsoft.com/sharepoint/events"/>
  </ds:schemaRefs>
</ds:datastoreItem>
</file>

<file path=customXml/itemProps4.xml><?xml version="1.0" encoding="utf-8"?>
<ds:datastoreItem xmlns:ds="http://schemas.openxmlformats.org/officeDocument/2006/customXml" ds:itemID="{1E2FBD0C-144C-48C2-941E-3A15E4246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e58713-c047-4367-9a74-7328f99ee9e2"/>
    <ds:schemaRef ds:uri="5e6adf1c-5a3b-4162-a28f-5e712d13fd4b"/>
    <ds:schemaRef ds:uri="47fc0ed1-d4fe-4c9b-a943-d9dd6853ff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306D770-D134-4C3B-89B1-3449003B73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Method</vt:lpstr>
      <vt:lpstr>Criteria</vt:lpstr>
      <vt:lpstr>Carrying Charge</vt:lpstr>
      <vt:lpstr>Interruptables</vt:lpstr>
      <vt:lpstr>Results Summary</vt:lpstr>
      <vt:lpstr>2011-2020</vt:lpstr>
      <vt:lpstr>Matter &amp; CI#</vt:lpstr>
      <vt:lpstr>Snapshot Summary</vt:lpstr>
      <vt:lpstr>Halifax</vt:lpstr>
      <vt:lpstr>Canseau</vt:lpstr>
      <vt:lpstr>Northern</vt:lpstr>
      <vt:lpstr>Sydney</vt:lpstr>
      <vt:lpstr>Valley</vt:lpstr>
      <vt:lpstr>Western</vt:lpstr>
      <vt:lpstr>Interruptables!PAGE1</vt:lpstr>
      <vt:lpstr>'2011-2020'!Print_Area</vt:lpstr>
      <vt:lpstr>Canseau!Print_Area</vt:lpstr>
      <vt:lpstr>Halifax!Print_Area</vt:lpstr>
      <vt:lpstr>Interruptables!Print_Area</vt:lpstr>
      <vt:lpstr>Northern!Print_Area</vt:lpstr>
      <vt:lpstr>'Snapshot Summary'!Print_Area</vt:lpstr>
      <vt:lpstr>Sydney!Print_Area</vt:lpstr>
      <vt:lpstr>Valley!Print_Area</vt:lpstr>
      <vt:lpstr>Western!Print_Area</vt:lpstr>
      <vt:lpstr>'2011-2020'!Print_Titles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Avoided T&amp; D Costs</dc:title>
  <dc:creator>Hartlin, Matthew</dc:creator>
  <cp:lastModifiedBy>Pavlidis, Alexandra</cp:lastModifiedBy>
  <cp:lastPrinted>2022-04-28T16:11:44Z</cp:lastPrinted>
  <dcterms:created xsi:type="dcterms:W3CDTF">2020-09-09T17:23:10Z</dcterms:created>
  <dcterms:modified xsi:type="dcterms:W3CDTF">2022-04-28T16:16:26Z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0x0101001F4B50EB2A5E814B991DA92EB315904C005A452C81F66F80438F4A50E22BF26843</vt:lpwstr>
  </property>
  <property fmtid="{D5CDD505-2E9C-101B-9397-08002B2CF9AE}" pid="3" name="_dlc_DocIdItemGuid">
    <vt:lpwstr>ab6ad76d-e764-4ea9-a706-8884326b0857</vt:lpwstr>
  </property>
</Properties>
</file>